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ca.local\wa\NREG\Data\NROSH+\Draft Work and Analysis\Lookup tool\2023_tools\"/>
    </mc:Choice>
  </mc:AlternateContent>
  <xr:revisionPtr revIDLastSave="0" documentId="13_ncr:1_{4B96CCA9-7C4A-4783-88E3-6A569D61EA58}" xr6:coauthVersionLast="47" xr6:coauthVersionMax="47" xr10:uidLastSave="{00000000-0000-0000-0000-000000000000}"/>
  <workbookProtection workbookAlgorithmName="SHA-512" workbookHashValue="kPyQDTSiX3SQ8eSpR3nekPEFyYoC+YQ1wCtkYHJgF1zxOQT2TPdMvz+1amc9tJ7w3i8Xkz7BpIPUfaR3caA6cA==" workbookSaltValue="4hN9ZzyQz8tWwuK/sTJesw==" workbookSpinCount="100000" lockStructure="1"/>
  <bookViews>
    <workbookView xWindow="-120" yWindow="-120" windowWidth="29040" windowHeight="15840" tabRatio="789" xr2:uid="{D3F8C8F7-2C4E-4528-A752-A1B4779F4B60}"/>
  </bookViews>
  <sheets>
    <sheet name="Introduction and Contents" sheetId="10" r:id="rId1"/>
    <sheet name="Glossary" sheetId="11" r:id="rId2"/>
    <sheet name="Version History" sheetId="12" r:id="rId3"/>
    <sheet name="PRP LA trend tool 2015-23" sheetId="1" r:id="rId4"/>
    <sheet name="PRP_Counts" sheetId="16" state="veryHidden" r:id="rId5"/>
    <sheet name="How to use the search function" sheetId="13" r:id="rId6"/>
    <sheet name="Y_1" sheetId="2" state="veryHidden" r:id="rId7"/>
    <sheet name="Y_2" sheetId="3" state="veryHidden" r:id="rId8"/>
    <sheet name="Y_3" sheetId="4" state="veryHidden" r:id="rId9"/>
    <sheet name="Y_4" sheetId="5" state="veryHidden" r:id="rId10"/>
    <sheet name="Y_5" sheetId="6" state="veryHidden" r:id="rId11"/>
    <sheet name="Y_6" sheetId="7" state="veryHidden" r:id="rId12"/>
    <sheet name="Y_7" sheetId="9" state="veryHidden" r:id="rId13"/>
    <sheet name="Y_8" sheetId="14" state="veryHidden" r:id="rId14"/>
    <sheet name="Y_9" sheetId="15" state="veryHidden" r:id="rId15"/>
    <sheet name="Search Box Config" sheetId="8" state="veryHidden" r:id="rId16"/>
  </sheets>
  <definedNames>
    <definedName name="PRPcounts">PRP_Counts!$G$5:$M$322</definedName>
    <definedName name="validation_list">OFFSET('Search Box Config'!$D$2,,,COUNTIF('Search Box Config'!$D$2:$D$310,"?*"))</definedName>
    <definedName name="Y_1">Y_1!$B$4:$AG$322</definedName>
    <definedName name="Y_2">Y_2!$B$4:$AG$322</definedName>
    <definedName name="Y_3">Y_3!$B$4:$AG$322</definedName>
    <definedName name="Y_4">Y_4!$B$4:$AG$322</definedName>
    <definedName name="Y_5">Y_5!$B$4:$AG$322</definedName>
    <definedName name="Y_6">Y_6!$B$4:$AG$322</definedName>
    <definedName name="Y_7">Y_7!$B$4:$AG$322</definedName>
    <definedName name="Y_8">Y_8!$B$4:$AG$322</definedName>
    <definedName name="Y_9">Y_9!$B$4:$AG$322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1" l="1"/>
  <c r="L8" i="1"/>
  <c r="K9" i="1"/>
  <c r="K8" i="1"/>
  <c r="F8" i="1"/>
  <c r="E8" i="1"/>
  <c r="F4" i="1"/>
  <c r="F9" i="1" s="1"/>
  <c r="E9" i="1" l="1"/>
  <c r="M364" i="1"/>
  <c r="M363" i="1"/>
  <c r="M362" i="1"/>
  <c r="M361" i="1"/>
  <c r="M298" i="1"/>
  <c r="M297" i="1"/>
  <c r="M296" i="1"/>
  <c r="M295" i="1"/>
  <c r="M294" i="1"/>
  <c r="M252" i="1"/>
  <c r="M251" i="1"/>
  <c r="M208" i="1"/>
  <c r="M207" i="1"/>
  <c r="M156" i="1"/>
  <c r="M155" i="1"/>
  <c r="M154" i="1"/>
  <c r="M153" i="1"/>
  <c r="M152" i="1"/>
  <c r="M101" i="1"/>
  <c r="M100" i="1"/>
  <c r="M99" i="1"/>
  <c r="M98" i="1"/>
  <c r="M97" i="1"/>
  <c r="M55" i="1"/>
  <c r="M54" i="1"/>
  <c r="M49" i="1"/>
  <c r="M47" i="1"/>
  <c r="M46" i="1"/>
  <c r="M45" i="1"/>
  <c r="M44" i="1"/>
  <c r="M43" i="1"/>
  <c r="M42" i="1"/>
  <c r="B38" i="1"/>
  <c r="Z275" i="1" l="1"/>
  <c r="Z276" i="1"/>
  <c r="Z277" i="1"/>
  <c r="Z273" i="1"/>
  <c r="Z274" i="1"/>
  <c r="M41" i="1"/>
  <c r="E42" i="1"/>
  <c r="L364" i="1"/>
  <c r="L363" i="1"/>
  <c r="L362" i="1"/>
  <c r="L361" i="1"/>
  <c r="L298" i="1"/>
  <c r="L297" i="1"/>
  <c r="L296" i="1"/>
  <c r="L295" i="1"/>
  <c r="L294" i="1"/>
  <c r="L252" i="1"/>
  <c r="L251" i="1"/>
  <c r="L208" i="1"/>
  <c r="L207" i="1"/>
  <c r="L156" i="1"/>
  <c r="L155" i="1"/>
  <c r="L154" i="1"/>
  <c r="L153" i="1"/>
  <c r="L152" i="1"/>
  <c r="L101" i="1"/>
  <c r="L100" i="1"/>
  <c r="L99" i="1"/>
  <c r="L98" i="1"/>
  <c r="L97" i="1"/>
  <c r="L55" i="1"/>
  <c r="L54" i="1"/>
  <c r="L49" i="1"/>
  <c r="L47" i="1"/>
  <c r="L46" i="1"/>
  <c r="L45" i="1"/>
  <c r="L44" i="1"/>
  <c r="L43" i="1"/>
  <c r="L42" i="1"/>
  <c r="O368" i="1"/>
  <c r="G154" i="1"/>
  <c r="K291" i="1"/>
  <c r="K364" i="1"/>
  <c r="K363" i="1"/>
  <c r="K362" i="1"/>
  <c r="K361" i="1"/>
  <c r="K298" i="1"/>
  <c r="K297" i="1"/>
  <c r="K296" i="1"/>
  <c r="K295" i="1"/>
  <c r="K294" i="1"/>
  <c r="K252" i="1"/>
  <c r="K251" i="1"/>
  <c r="K208" i="1"/>
  <c r="K207" i="1"/>
  <c r="K156" i="1"/>
  <c r="K155" i="1"/>
  <c r="K154" i="1"/>
  <c r="K153" i="1"/>
  <c r="K152" i="1"/>
  <c r="K101" i="1"/>
  <c r="K100" i="1"/>
  <c r="K99" i="1"/>
  <c r="K98" i="1"/>
  <c r="K97" i="1"/>
  <c r="K55" i="1"/>
  <c r="K54" i="1"/>
  <c r="K49" i="1"/>
  <c r="K47" i="1"/>
  <c r="K46" i="1"/>
  <c r="K45" i="1"/>
  <c r="K44" i="1"/>
  <c r="K43" i="1"/>
  <c r="K42" i="1"/>
  <c r="B48" i="1" l="1"/>
  <c r="M306" i="1"/>
  <c r="M167" i="1"/>
  <c r="M158" i="1"/>
  <c r="M111" i="1"/>
  <c r="M304" i="1"/>
  <c r="M214" i="1"/>
  <c r="M166" i="1"/>
  <c r="M110" i="1"/>
  <c r="M164" i="1"/>
  <c r="M310" i="1"/>
  <c r="M301" i="1"/>
  <c r="M257" i="1"/>
  <c r="M210" i="1"/>
  <c r="M162" i="1"/>
  <c r="M106" i="1"/>
  <c r="M48" i="1"/>
  <c r="M160" i="1"/>
  <c r="M113" i="1"/>
  <c r="M104" i="1"/>
  <c r="M303" i="1"/>
  <c r="M165" i="1"/>
  <c r="M302" i="1"/>
  <c r="M107" i="1"/>
  <c r="M309" i="1"/>
  <c r="M300" i="1"/>
  <c r="M255" i="1"/>
  <c r="M161" i="1"/>
  <c r="M105" i="1"/>
  <c r="M63" i="1"/>
  <c r="M254" i="1"/>
  <c r="M62" i="1"/>
  <c r="M58" i="1"/>
  <c r="M213" i="1"/>
  <c r="M258" i="1"/>
  <c r="M308" i="1"/>
  <c r="M307" i="1"/>
  <c r="M168" i="1"/>
  <c r="M159" i="1"/>
  <c r="M112" i="1"/>
  <c r="M103" i="1"/>
  <c r="M59" i="1"/>
  <c r="M109" i="1"/>
  <c r="M211" i="1"/>
  <c r="M365" i="1"/>
  <c r="M366" i="1"/>
  <c r="M367" i="1"/>
  <c r="M56" i="1"/>
  <c r="L366" i="1"/>
  <c r="L56" i="1"/>
  <c r="L365" i="1"/>
  <c r="L166" i="1"/>
  <c r="L110" i="1"/>
  <c r="Y274" i="1"/>
  <c r="L214" i="1"/>
  <c r="L304" i="1"/>
  <c r="L41" i="1"/>
  <c r="L58" i="1"/>
  <c r="L111" i="1"/>
  <c r="L158" i="1"/>
  <c r="L167" i="1"/>
  <c r="Y275" i="1"/>
  <c r="L306" i="1"/>
  <c r="L59" i="1"/>
  <c r="L103" i="1"/>
  <c r="L112" i="1"/>
  <c r="L159" i="1"/>
  <c r="L168" i="1"/>
  <c r="Y276" i="1"/>
  <c r="L307" i="1"/>
  <c r="L62" i="1"/>
  <c r="L104" i="1"/>
  <c r="L113" i="1"/>
  <c r="L160" i="1"/>
  <c r="L254" i="1"/>
  <c r="Y277" i="1"/>
  <c r="L308" i="1"/>
  <c r="L48" i="1"/>
  <c r="L63" i="1"/>
  <c r="L105" i="1"/>
  <c r="L161" i="1"/>
  <c r="L255" i="1"/>
  <c r="L300" i="1"/>
  <c r="L309" i="1"/>
  <c r="L106" i="1"/>
  <c r="L162" i="1"/>
  <c r="L210" i="1"/>
  <c r="L257" i="1"/>
  <c r="L301" i="1"/>
  <c r="L310" i="1"/>
  <c r="L107" i="1"/>
  <c r="L164" i="1"/>
  <c r="L211" i="1"/>
  <c r="L258" i="1"/>
  <c r="L302" i="1"/>
  <c r="L109" i="1"/>
  <c r="L165" i="1"/>
  <c r="L213" i="1"/>
  <c r="Y273" i="1"/>
  <c r="L303" i="1"/>
  <c r="L367" i="1"/>
  <c r="E257" i="1"/>
  <c r="F257" i="1"/>
  <c r="H257" i="1"/>
  <c r="K257" i="1"/>
  <c r="G257" i="1"/>
  <c r="I257" i="1"/>
  <c r="J257" i="1"/>
  <c r="K304" i="1"/>
  <c r="K41" i="1"/>
  <c r="K161" i="1"/>
  <c r="K103" i="1"/>
  <c r="K59" i="1"/>
  <c r="K105" i="1"/>
  <c r="K63" i="1"/>
  <c r="K301" i="1"/>
  <c r="K62" i="1"/>
  <c r="K104" i="1"/>
  <c r="K162" i="1"/>
  <c r="K254" i="1"/>
  <c r="K306" i="1"/>
  <c r="K167" i="1"/>
  <c r="K307" i="1"/>
  <c r="K48" i="1"/>
  <c r="K106" i="1"/>
  <c r="K168" i="1"/>
  <c r="K310" i="1"/>
  <c r="K109" i="1"/>
  <c r="K111" i="1"/>
  <c r="K158" i="1"/>
  <c r="K112" i="1"/>
  <c r="K159" i="1"/>
  <c r="K210" i="1"/>
  <c r="K58" i="1"/>
  <c r="K113" i="1"/>
  <c r="K160" i="1"/>
  <c r="K308" i="1"/>
  <c r="K255" i="1"/>
  <c r="K300" i="1"/>
  <c r="K309" i="1"/>
  <c r="K107" i="1"/>
  <c r="K164" i="1"/>
  <c r="K211" i="1"/>
  <c r="K258" i="1"/>
  <c r="K302" i="1"/>
  <c r="K165" i="1"/>
  <c r="K213" i="1"/>
  <c r="K303" i="1"/>
  <c r="K110" i="1"/>
  <c r="K166" i="1"/>
  <c r="K214" i="1"/>
  <c r="K366" i="1"/>
  <c r="K365" i="1"/>
  <c r="B248" i="1" l="1"/>
  <c r="B204" i="1"/>
  <c r="B148" i="1"/>
  <c r="B149" i="1"/>
  <c r="N115" i="1"/>
  <c r="M60" i="1"/>
  <c r="Z278" i="1"/>
  <c r="M64" i="1"/>
  <c r="L64" i="1"/>
  <c r="Y278" i="1"/>
  <c r="L60" i="1"/>
  <c r="X276" i="1"/>
  <c r="X277" i="1"/>
  <c r="X273" i="1"/>
  <c r="X274" i="1"/>
  <c r="X275" i="1"/>
  <c r="K367" i="1"/>
  <c r="K56" i="1"/>
  <c r="J364" i="1"/>
  <c r="J363" i="1"/>
  <c r="J362" i="1"/>
  <c r="J361" i="1"/>
  <c r="I364" i="1"/>
  <c r="I363" i="1"/>
  <c r="I362" i="1"/>
  <c r="I361" i="1"/>
  <c r="H364" i="1"/>
  <c r="H363" i="1"/>
  <c r="H362" i="1"/>
  <c r="H361" i="1"/>
  <c r="G364" i="1"/>
  <c r="G363" i="1"/>
  <c r="G362" i="1"/>
  <c r="G361" i="1"/>
  <c r="F364" i="1"/>
  <c r="F363" i="1"/>
  <c r="F362" i="1"/>
  <c r="F361" i="1"/>
  <c r="E364" i="1"/>
  <c r="E363" i="1"/>
  <c r="E362" i="1"/>
  <c r="E361" i="1"/>
  <c r="X278" i="1" l="1"/>
  <c r="J298" i="1"/>
  <c r="J297" i="1"/>
  <c r="J296" i="1"/>
  <c r="J295" i="1"/>
  <c r="J294" i="1"/>
  <c r="I298" i="1"/>
  <c r="I297" i="1"/>
  <c r="I296" i="1"/>
  <c r="I295" i="1"/>
  <c r="I294" i="1"/>
  <c r="H298" i="1"/>
  <c r="H297" i="1"/>
  <c r="H296" i="1"/>
  <c r="H295" i="1"/>
  <c r="H294" i="1"/>
  <c r="G298" i="1"/>
  <c r="G297" i="1"/>
  <c r="G296" i="1"/>
  <c r="G295" i="1"/>
  <c r="G294" i="1"/>
  <c r="F298" i="1"/>
  <c r="F297" i="1"/>
  <c r="F296" i="1"/>
  <c r="F295" i="1"/>
  <c r="F294" i="1"/>
  <c r="E298" i="1"/>
  <c r="E297" i="1"/>
  <c r="E296" i="1"/>
  <c r="E295" i="1"/>
  <c r="E294" i="1"/>
  <c r="J252" i="1"/>
  <c r="J251" i="1"/>
  <c r="I252" i="1"/>
  <c r="I251" i="1"/>
  <c r="H252" i="1"/>
  <c r="H251" i="1"/>
  <c r="G252" i="1"/>
  <c r="G251" i="1"/>
  <c r="F252" i="1"/>
  <c r="F251" i="1"/>
  <c r="E252" i="1"/>
  <c r="E251" i="1"/>
  <c r="J208" i="1"/>
  <c r="J207" i="1"/>
  <c r="I208" i="1"/>
  <c r="I207" i="1"/>
  <c r="H208" i="1"/>
  <c r="H207" i="1"/>
  <c r="G208" i="1"/>
  <c r="G207" i="1"/>
  <c r="F208" i="1"/>
  <c r="F207" i="1"/>
  <c r="E208" i="1"/>
  <c r="E207" i="1"/>
  <c r="J156" i="1"/>
  <c r="J155" i="1"/>
  <c r="J154" i="1"/>
  <c r="J153" i="1"/>
  <c r="J152" i="1"/>
  <c r="I156" i="1"/>
  <c r="I155" i="1"/>
  <c r="I154" i="1"/>
  <c r="I153" i="1"/>
  <c r="I152" i="1"/>
  <c r="H156" i="1"/>
  <c r="H155" i="1"/>
  <c r="H154" i="1"/>
  <c r="H153" i="1"/>
  <c r="H152" i="1"/>
  <c r="G156" i="1"/>
  <c r="G155" i="1"/>
  <c r="G153" i="1"/>
  <c r="G152" i="1"/>
  <c r="F156" i="1"/>
  <c r="F155" i="1"/>
  <c r="F154" i="1"/>
  <c r="F153" i="1"/>
  <c r="F152" i="1"/>
  <c r="E156" i="1"/>
  <c r="E155" i="1"/>
  <c r="E154" i="1"/>
  <c r="E153" i="1"/>
  <c r="E152" i="1"/>
  <c r="J101" i="1"/>
  <c r="J100" i="1"/>
  <c r="J99" i="1"/>
  <c r="J98" i="1"/>
  <c r="J97" i="1"/>
  <c r="I101" i="1"/>
  <c r="I100" i="1"/>
  <c r="I99" i="1"/>
  <c r="I98" i="1"/>
  <c r="I97" i="1"/>
  <c r="H101" i="1"/>
  <c r="H100" i="1"/>
  <c r="H99" i="1"/>
  <c r="H98" i="1"/>
  <c r="H97" i="1"/>
  <c r="G101" i="1"/>
  <c r="G100" i="1"/>
  <c r="G99" i="1"/>
  <c r="G98" i="1"/>
  <c r="G97" i="1"/>
  <c r="F101" i="1"/>
  <c r="F100" i="1"/>
  <c r="F99" i="1"/>
  <c r="F98" i="1"/>
  <c r="F97" i="1"/>
  <c r="E101" i="1"/>
  <c r="E100" i="1"/>
  <c r="E99" i="1"/>
  <c r="E98" i="1"/>
  <c r="E97" i="1"/>
  <c r="J55" i="1"/>
  <c r="J54" i="1"/>
  <c r="I55" i="1"/>
  <c r="I54" i="1"/>
  <c r="H55" i="1"/>
  <c r="H54" i="1"/>
  <c r="G55" i="1"/>
  <c r="G54" i="1"/>
  <c r="F55" i="1"/>
  <c r="F54" i="1"/>
  <c r="E55" i="1"/>
  <c r="E54" i="1"/>
  <c r="J49" i="1"/>
  <c r="J47" i="1"/>
  <c r="J46" i="1"/>
  <c r="J45" i="1"/>
  <c r="J44" i="1"/>
  <c r="J43" i="1"/>
  <c r="J42" i="1"/>
  <c r="I49" i="1"/>
  <c r="I47" i="1"/>
  <c r="I46" i="1"/>
  <c r="I45" i="1"/>
  <c r="I44" i="1"/>
  <c r="I43" i="1"/>
  <c r="I42" i="1"/>
  <c r="H49" i="1"/>
  <c r="H47" i="1"/>
  <c r="H46" i="1"/>
  <c r="H45" i="1"/>
  <c r="H44" i="1"/>
  <c r="H43" i="1"/>
  <c r="H42" i="1"/>
  <c r="G49" i="1"/>
  <c r="G47" i="1"/>
  <c r="G46" i="1"/>
  <c r="G45" i="1"/>
  <c r="G44" i="1"/>
  <c r="G43" i="1"/>
  <c r="G42" i="1"/>
  <c r="F49" i="1"/>
  <c r="F47" i="1"/>
  <c r="F46" i="1"/>
  <c r="F45" i="1"/>
  <c r="F44" i="1"/>
  <c r="F43" i="1"/>
  <c r="F42" i="1"/>
  <c r="A2" i="8"/>
  <c r="A3" i="8" s="1"/>
  <c r="A4" i="8" s="1"/>
  <c r="W277" i="1" l="1"/>
  <c r="W273" i="1"/>
  <c r="W274" i="1"/>
  <c r="W275" i="1"/>
  <c r="W276" i="1"/>
  <c r="A5" i="8"/>
  <c r="A6" i="8" s="1"/>
  <c r="A7" i="8" l="1"/>
  <c r="A8" i="8" s="1"/>
  <c r="A9" i="8" l="1"/>
  <c r="A10" i="8" l="1"/>
  <c r="A11" i="8" s="1"/>
  <c r="A12" i="8" l="1"/>
  <c r="A13" i="8" l="1"/>
  <c r="A14" i="8" l="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E49" i="1" l="1"/>
  <c r="E47" i="1"/>
  <c r="E46" i="1"/>
  <c r="E45" i="1"/>
  <c r="E44" i="1"/>
  <c r="E43" i="1"/>
  <c r="J367" i="1"/>
  <c r="H366" i="1"/>
  <c r="E366" i="1"/>
  <c r="B342" i="1"/>
  <c r="T274" i="1"/>
  <c r="R273" i="1"/>
  <c r="B293" i="1"/>
  <c r="B250" i="1"/>
  <c r="B206" i="1"/>
  <c r="B151" i="1"/>
  <c r="B96" i="1"/>
  <c r="B53" i="1"/>
  <c r="M346" i="1" l="1"/>
  <c r="M345" i="1"/>
  <c r="M344" i="1"/>
  <c r="M343" i="1"/>
  <c r="L344" i="1"/>
  <c r="L343" i="1"/>
  <c r="L346" i="1"/>
  <c r="L345" i="1"/>
  <c r="K346" i="1"/>
  <c r="K345" i="1"/>
  <c r="K344" i="1"/>
  <c r="K343" i="1"/>
  <c r="J345" i="1"/>
  <c r="H345" i="1"/>
  <c r="J344" i="1"/>
  <c r="H344" i="1"/>
  <c r="J343" i="1"/>
  <c r="H343" i="1"/>
  <c r="I346" i="1"/>
  <c r="G346" i="1"/>
  <c r="I345" i="1"/>
  <c r="G345" i="1"/>
  <c r="I344" i="1"/>
  <c r="G344" i="1"/>
  <c r="I343" i="1"/>
  <c r="G343" i="1"/>
  <c r="J346" i="1"/>
  <c r="H346" i="1"/>
  <c r="F343" i="1"/>
  <c r="E346" i="1"/>
  <c r="E345" i="1"/>
  <c r="E343" i="1"/>
  <c r="F346" i="1"/>
  <c r="F345" i="1"/>
  <c r="F344" i="1"/>
  <c r="E344" i="1"/>
  <c r="J310" i="1"/>
  <c r="J301" i="1"/>
  <c r="I309" i="1"/>
  <c r="I300" i="1"/>
  <c r="H308" i="1"/>
  <c r="G307" i="1"/>
  <c r="F306" i="1"/>
  <c r="E304" i="1"/>
  <c r="I258" i="1"/>
  <c r="H255" i="1"/>
  <c r="E258" i="1"/>
  <c r="J211" i="1"/>
  <c r="G214" i="1"/>
  <c r="F211" i="1"/>
  <c r="J161" i="1"/>
  <c r="I160" i="1"/>
  <c r="H168" i="1"/>
  <c r="H159" i="1"/>
  <c r="G167" i="1"/>
  <c r="G158" i="1"/>
  <c r="F166" i="1"/>
  <c r="E165" i="1"/>
  <c r="F167" i="1"/>
  <c r="J309" i="1"/>
  <c r="J300" i="1"/>
  <c r="I308" i="1"/>
  <c r="H307" i="1"/>
  <c r="G306" i="1"/>
  <c r="F304" i="1"/>
  <c r="E303" i="1"/>
  <c r="H254" i="1"/>
  <c r="J210" i="1"/>
  <c r="G213" i="1"/>
  <c r="F210" i="1"/>
  <c r="J160" i="1"/>
  <c r="I168" i="1"/>
  <c r="I159" i="1"/>
  <c r="H167" i="1"/>
  <c r="H158" i="1"/>
  <c r="G166" i="1"/>
  <c r="F165" i="1"/>
  <c r="E164" i="1"/>
  <c r="J302" i="1"/>
  <c r="H309" i="1"/>
  <c r="G308" i="1"/>
  <c r="F213" i="1"/>
  <c r="J308" i="1"/>
  <c r="I307" i="1"/>
  <c r="H306" i="1"/>
  <c r="G304" i="1"/>
  <c r="F303" i="1"/>
  <c r="E302" i="1"/>
  <c r="J258" i="1"/>
  <c r="I255" i="1"/>
  <c r="F258" i="1"/>
  <c r="E255" i="1"/>
  <c r="H214" i="1"/>
  <c r="G211" i="1"/>
  <c r="J168" i="1"/>
  <c r="J159" i="1"/>
  <c r="I167" i="1"/>
  <c r="I158" i="1"/>
  <c r="H166" i="1"/>
  <c r="G165" i="1"/>
  <c r="F164" i="1"/>
  <c r="E162" i="1"/>
  <c r="I301" i="1"/>
  <c r="F307" i="1"/>
  <c r="E210" i="1"/>
  <c r="J162" i="1"/>
  <c r="I161" i="1"/>
  <c r="J307" i="1"/>
  <c r="I306" i="1"/>
  <c r="H304" i="1"/>
  <c r="G303" i="1"/>
  <c r="F302" i="1"/>
  <c r="E310" i="1"/>
  <c r="E301" i="1"/>
  <c r="I254" i="1"/>
  <c r="E254" i="1"/>
  <c r="H213" i="1"/>
  <c r="G210" i="1"/>
  <c r="J167" i="1"/>
  <c r="J158" i="1"/>
  <c r="I166" i="1"/>
  <c r="H165" i="1"/>
  <c r="G164" i="1"/>
  <c r="F162" i="1"/>
  <c r="E161" i="1"/>
  <c r="H300" i="1"/>
  <c r="G168" i="1"/>
  <c r="F158" i="1"/>
  <c r="J306" i="1"/>
  <c r="I304" i="1"/>
  <c r="H303" i="1"/>
  <c r="G302" i="1"/>
  <c r="F310" i="1"/>
  <c r="F301" i="1"/>
  <c r="E309" i="1"/>
  <c r="E300" i="1"/>
  <c r="J255" i="1"/>
  <c r="G258" i="1"/>
  <c r="F255" i="1"/>
  <c r="I214" i="1"/>
  <c r="H211" i="1"/>
  <c r="E214" i="1"/>
  <c r="J166" i="1"/>
  <c r="I165" i="1"/>
  <c r="H164" i="1"/>
  <c r="G162" i="1"/>
  <c r="F161" i="1"/>
  <c r="E160" i="1"/>
  <c r="I310" i="1"/>
  <c r="E306" i="1"/>
  <c r="H160" i="1"/>
  <c r="G159" i="1"/>
  <c r="E166" i="1"/>
  <c r="J304" i="1"/>
  <c r="I303" i="1"/>
  <c r="H302" i="1"/>
  <c r="G310" i="1"/>
  <c r="G301" i="1"/>
  <c r="F309" i="1"/>
  <c r="F300" i="1"/>
  <c r="E308" i="1"/>
  <c r="J254" i="1"/>
  <c r="F254" i="1"/>
  <c r="I213" i="1"/>
  <c r="H210" i="1"/>
  <c r="E213" i="1"/>
  <c r="J165" i="1"/>
  <c r="I164" i="1"/>
  <c r="H162" i="1"/>
  <c r="G161" i="1"/>
  <c r="F160" i="1"/>
  <c r="E168" i="1"/>
  <c r="E159" i="1"/>
  <c r="G254" i="1"/>
  <c r="J303" i="1"/>
  <c r="I302" i="1"/>
  <c r="H310" i="1"/>
  <c r="H301" i="1"/>
  <c r="G309" i="1"/>
  <c r="G300" i="1"/>
  <c r="F308" i="1"/>
  <c r="E307" i="1"/>
  <c r="H258" i="1"/>
  <c r="G255" i="1"/>
  <c r="J214" i="1"/>
  <c r="I211" i="1"/>
  <c r="F214" i="1"/>
  <c r="E211" i="1"/>
  <c r="J164" i="1"/>
  <c r="I162" i="1"/>
  <c r="H161" i="1"/>
  <c r="G160" i="1"/>
  <c r="F168" i="1"/>
  <c r="F159" i="1"/>
  <c r="E167" i="1"/>
  <c r="E158" i="1"/>
  <c r="J213" i="1"/>
  <c r="I210" i="1"/>
  <c r="S274" i="1"/>
  <c r="U275" i="1"/>
  <c r="R277" i="1"/>
  <c r="U274" i="1"/>
  <c r="S277" i="1"/>
  <c r="T273" i="1"/>
  <c r="V274" i="1"/>
  <c r="R276" i="1"/>
  <c r="T277" i="1"/>
  <c r="U273" i="1"/>
  <c r="S276" i="1"/>
  <c r="U277" i="1"/>
  <c r="V275" i="1"/>
  <c r="V273" i="1"/>
  <c r="R275" i="1"/>
  <c r="T276" i="1"/>
  <c r="V277" i="1"/>
  <c r="S273" i="1"/>
  <c r="S275" i="1"/>
  <c r="U276" i="1"/>
  <c r="R274" i="1"/>
  <c r="T275" i="1"/>
  <c r="V276" i="1"/>
  <c r="J112" i="1"/>
  <c r="J103" i="1"/>
  <c r="I111" i="1"/>
  <c r="H110" i="1"/>
  <c r="G109" i="1"/>
  <c r="F107" i="1"/>
  <c r="E106" i="1"/>
  <c r="J111" i="1"/>
  <c r="I110" i="1"/>
  <c r="H109" i="1"/>
  <c r="G107" i="1"/>
  <c r="F106" i="1"/>
  <c r="E105" i="1"/>
  <c r="J110" i="1"/>
  <c r="I109" i="1"/>
  <c r="H107" i="1"/>
  <c r="G106" i="1"/>
  <c r="F105" i="1"/>
  <c r="E113" i="1"/>
  <c r="E104" i="1"/>
  <c r="E107" i="1"/>
  <c r="J109" i="1"/>
  <c r="I107" i="1"/>
  <c r="H106" i="1"/>
  <c r="G105" i="1"/>
  <c r="F113" i="1"/>
  <c r="F104" i="1"/>
  <c r="E112" i="1"/>
  <c r="E103" i="1"/>
  <c r="J107" i="1"/>
  <c r="I106" i="1"/>
  <c r="H105" i="1"/>
  <c r="G113" i="1"/>
  <c r="G104" i="1"/>
  <c r="F112" i="1"/>
  <c r="F103" i="1"/>
  <c r="E111" i="1"/>
  <c r="J106" i="1"/>
  <c r="I105" i="1"/>
  <c r="H113" i="1"/>
  <c r="H104" i="1"/>
  <c r="G112" i="1"/>
  <c r="G103" i="1"/>
  <c r="F111" i="1"/>
  <c r="E110" i="1"/>
  <c r="J113" i="1"/>
  <c r="J104" i="1"/>
  <c r="I112" i="1"/>
  <c r="I103" i="1"/>
  <c r="H111" i="1"/>
  <c r="J105" i="1"/>
  <c r="I113" i="1"/>
  <c r="I104" i="1"/>
  <c r="H112" i="1"/>
  <c r="H103" i="1"/>
  <c r="G111" i="1"/>
  <c r="F110" i="1"/>
  <c r="E109" i="1"/>
  <c r="G110" i="1"/>
  <c r="F109" i="1"/>
  <c r="I62" i="1"/>
  <c r="J58" i="1"/>
  <c r="F58" i="1"/>
  <c r="I58" i="1"/>
  <c r="J63" i="1"/>
  <c r="E59" i="1"/>
  <c r="G58" i="1"/>
  <c r="J59" i="1"/>
  <c r="H63" i="1"/>
  <c r="I59" i="1"/>
  <c r="H62" i="1"/>
  <c r="G59" i="1"/>
  <c r="F62" i="1"/>
  <c r="E58" i="1"/>
  <c r="F59" i="1"/>
  <c r="G63" i="1"/>
  <c r="H59" i="1"/>
  <c r="E63" i="1"/>
  <c r="G62" i="1"/>
  <c r="H58" i="1"/>
  <c r="E62" i="1"/>
  <c r="F63" i="1"/>
  <c r="J62" i="1"/>
  <c r="I63" i="1"/>
  <c r="J48" i="1"/>
  <c r="I48" i="1"/>
  <c r="H48" i="1"/>
  <c r="G48" i="1"/>
  <c r="F48" i="1"/>
  <c r="F41" i="1"/>
  <c r="G41" i="1"/>
  <c r="H365" i="1"/>
  <c r="G367" i="1"/>
  <c r="I365" i="1"/>
  <c r="H41" i="1"/>
  <c r="M8" i="1"/>
  <c r="M9" i="1"/>
  <c r="I56" i="1"/>
  <c r="F56" i="1"/>
  <c r="J41" i="1"/>
  <c r="G56" i="1"/>
  <c r="J56" i="1"/>
  <c r="G8" i="1"/>
  <c r="E48" i="1"/>
  <c r="E41" i="1"/>
  <c r="I366" i="1"/>
  <c r="E365" i="1"/>
  <c r="H56" i="1"/>
  <c r="J366" i="1"/>
  <c r="F365" i="1"/>
  <c r="E367" i="1"/>
  <c r="G365" i="1"/>
  <c r="F367" i="1"/>
  <c r="I41" i="1"/>
  <c r="F366" i="1"/>
  <c r="H367" i="1"/>
  <c r="J365" i="1"/>
  <c r="E56" i="1"/>
  <c r="G366" i="1"/>
  <c r="I367" i="1"/>
  <c r="M349" i="1" l="1"/>
  <c r="M348" i="1"/>
  <c r="M347" i="1"/>
  <c r="L347" i="1"/>
  <c r="L348" i="1"/>
  <c r="L349" i="1"/>
  <c r="J348" i="1"/>
  <c r="K348" i="1"/>
  <c r="K347" i="1"/>
  <c r="K349" i="1"/>
  <c r="J349" i="1"/>
  <c r="K60" i="1"/>
  <c r="J347" i="1"/>
  <c r="K64" i="1"/>
  <c r="F348" i="1"/>
  <c r="I64" i="1"/>
  <c r="G347" i="1"/>
  <c r="F60" i="1"/>
  <c r="F347" i="1"/>
  <c r="H347" i="1"/>
  <c r="G9" i="1"/>
  <c r="E60" i="1"/>
  <c r="E64" i="1"/>
  <c r="B203" i="1"/>
  <c r="B247" i="1"/>
  <c r="B291" i="1"/>
  <c r="B94" i="1"/>
  <c r="F349" i="1"/>
  <c r="G60" i="1"/>
  <c r="J64" i="1"/>
  <c r="E349" i="1"/>
  <c r="H348" i="1"/>
  <c r="G349" i="1"/>
  <c r="E348" i="1"/>
  <c r="E347" i="1"/>
  <c r="I347" i="1"/>
  <c r="F64" i="1"/>
  <c r="H64" i="1"/>
  <c r="I349" i="1"/>
  <c r="H60" i="1"/>
  <c r="H349" i="1"/>
  <c r="B253" i="1"/>
  <c r="B209" i="1"/>
  <c r="B57" i="1"/>
  <c r="B102" i="1"/>
  <c r="B157" i="1"/>
  <c r="B351" i="1"/>
  <c r="B299" i="1"/>
  <c r="G348" i="1"/>
  <c r="I348" i="1"/>
  <c r="J60" i="1"/>
  <c r="G64" i="1"/>
  <c r="B340" i="1"/>
  <c r="I60" i="1"/>
  <c r="M355" i="1" l="1"/>
  <c r="M354" i="1"/>
  <c r="M353" i="1"/>
  <c r="M352" i="1"/>
  <c r="L355" i="1"/>
  <c r="L354" i="1"/>
  <c r="L353" i="1"/>
  <c r="L352" i="1"/>
  <c r="K355" i="1"/>
  <c r="K354" i="1"/>
  <c r="K353" i="1"/>
  <c r="K352" i="1"/>
  <c r="J355" i="1"/>
  <c r="J354" i="1"/>
  <c r="H354" i="1"/>
  <c r="F354" i="1"/>
  <c r="H353" i="1"/>
  <c r="F353" i="1"/>
  <c r="H352" i="1"/>
  <c r="F352" i="1"/>
  <c r="G355" i="1"/>
  <c r="E355" i="1"/>
  <c r="G354" i="1"/>
  <c r="E354" i="1"/>
  <c r="G353" i="1"/>
  <c r="E353" i="1"/>
  <c r="G352" i="1"/>
  <c r="E352" i="1"/>
  <c r="H355" i="1"/>
  <c r="F355" i="1"/>
  <c r="J353" i="1"/>
  <c r="J352" i="1"/>
  <c r="I355" i="1"/>
  <c r="I354" i="1"/>
  <c r="I353" i="1"/>
  <c r="I352" i="1"/>
  <c r="M356" i="1" l="1"/>
  <c r="M357" i="1"/>
  <c r="M358" i="1"/>
  <c r="L358" i="1"/>
  <c r="L357" i="1"/>
  <c r="L356" i="1"/>
  <c r="F356" i="1"/>
  <c r="H356" i="1"/>
  <c r="I356" i="1"/>
  <c r="K356" i="1"/>
  <c r="K357" i="1"/>
  <c r="G356" i="1"/>
  <c r="K358" i="1"/>
  <c r="E356" i="1"/>
  <c r="J356" i="1"/>
  <c r="F357" i="1"/>
  <c r="F358" i="1"/>
  <c r="I358" i="1"/>
  <c r="I357" i="1"/>
  <c r="H357" i="1"/>
  <c r="H358" i="1"/>
  <c r="G357" i="1"/>
  <c r="J357" i="1"/>
  <c r="E357" i="1"/>
  <c r="G358" i="1"/>
  <c r="J358" i="1"/>
  <c r="E358" i="1"/>
  <c r="D2" i="8" l="1"/>
  <c r="V278" i="1" l="1"/>
  <c r="T278" i="1"/>
  <c r="D5" i="8"/>
  <c r="D6" i="8" l="1"/>
  <c r="D3" i="8"/>
  <c r="D10" i="8"/>
  <c r="D7" i="8"/>
  <c r="D8" i="8"/>
  <c r="R278" i="1"/>
  <c r="U278" i="1"/>
  <c r="S278" i="1"/>
  <c r="W278" i="1"/>
  <c r="D4" i="8"/>
  <c r="D131" i="8"/>
  <c r="D296" i="8"/>
  <c r="D76" i="8"/>
  <c r="D167" i="8"/>
  <c r="D307" i="8"/>
  <c r="D89" i="8"/>
  <c r="D79" i="8"/>
  <c r="D83" i="8"/>
  <c r="D108" i="8"/>
  <c r="D50" i="8"/>
  <c r="D191" i="8"/>
  <c r="D144" i="8"/>
  <c r="D300" i="8"/>
  <c r="D277" i="8"/>
  <c r="D101" i="8"/>
  <c r="D58" i="8"/>
  <c r="D75" i="8"/>
  <c r="D17" i="8"/>
  <c r="D207" i="8"/>
  <c r="D268" i="8"/>
  <c r="D114" i="8"/>
  <c r="D222" i="8"/>
  <c r="D139" i="8"/>
  <c r="D182" i="8"/>
  <c r="D44" i="8"/>
  <c r="D138" i="8"/>
  <c r="D289" i="8"/>
  <c r="D19" i="8"/>
  <c r="D291" i="8"/>
  <c r="D172" i="8"/>
  <c r="D198" i="8"/>
  <c r="D90" i="8"/>
  <c r="D45" i="8"/>
  <c r="D165" i="8"/>
  <c r="D264" i="8"/>
  <c r="D149" i="8"/>
  <c r="D115" i="8"/>
  <c r="D190" i="8"/>
  <c r="D153" i="8"/>
  <c r="D43" i="8"/>
  <c r="D119" i="8"/>
  <c r="D242" i="8"/>
  <c r="D170" i="8"/>
  <c r="D247" i="8"/>
  <c r="D62" i="8"/>
  <c r="D275" i="8"/>
  <c r="D240" i="8"/>
  <c r="D23" i="8"/>
  <c r="D127" i="8"/>
  <c r="D185" i="8"/>
  <c r="D249" i="8"/>
  <c r="D248" i="8"/>
  <c r="D15" i="8"/>
  <c r="D183" i="8"/>
  <c r="D232" i="8"/>
  <c r="D107" i="8"/>
  <c r="D270" i="8"/>
  <c r="D81" i="8"/>
  <c r="D57" i="8"/>
  <c r="D255" i="8"/>
  <c r="D215" i="8"/>
  <c r="D229" i="8"/>
  <c r="D219" i="8"/>
  <c r="D202" i="8"/>
  <c r="D199" i="8"/>
  <c r="D309" i="8"/>
  <c r="D26" i="8"/>
  <c r="D188" i="8"/>
  <c r="D99" i="8"/>
  <c r="D156" i="8"/>
  <c r="D39" i="8"/>
  <c r="D179" i="8"/>
  <c r="D295" i="8"/>
  <c r="D195" i="8"/>
  <c r="D28" i="8"/>
  <c r="D73" i="8"/>
  <c r="D217" i="8"/>
  <c r="D142" i="8"/>
  <c r="D241" i="8"/>
  <c r="D203" i="8"/>
  <c r="D258" i="8"/>
  <c r="D163" i="8"/>
  <c r="D103" i="8"/>
  <c r="D9" i="8"/>
  <c r="D282" i="8"/>
  <c r="D158" i="8"/>
  <c r="D228" i="8"/>
  <c r="D98" i="8"/>
  <c r="D25" i="8"/>
  <c r="D168" i="8"/>
  <c r="D145" i="8"/>
  <c r="D29" i="8"/>
  <c r="D257" i="8"/>
  <c r="D186" i="8"/>
  <c r="D221" i="8"/>
  <c r="D157" i="8"/>
  <c r="D49" i="8"/>
  <c r="D95" i="8"/>
  <c r="D187" i="8"/>
  <c r="D256" i="8"/>
  <c r="D20" i="8"/>
  <c r="D181" i="8"/>
  <c r="D121" i="8"/>
  <c r="D214" i="8"/>
  <c r="D147" i="8"/>
  <c r="D77" i="8"/>
  <c r="D146" i="8"/>
  <c r="D227" i="8"/>
  <c r="D130" i="8"/>
  <c r="D310" i="8"/>
  <c r="D192" i="8"/>
  <c r="D82" i="8"/>
  <c r="D60" i="8"/>
  <c r="D91" i="8"/>
  <c r="D272" i="8"/>
  <c r="D283" i="8"/>
  <c r="D34" i="8"/>
  <c r="D93" i="8"/>
  <c r="D64" i="8"/>
  <c r="D47" i="8"/>
  <c r="D213" i="8"/>
  <c r="D134" i="8"/>
  <c r="D31" i="8"/>
  <c r="D298" i="8"/>
  <c r="D96" i="8"/>
  <c r="D11" i="8"/>
  <c r="D161" i="8"/>
  <c r="D220" i="8"/>
  <c r="D51" i="8"/>
  <c r="D164" i="8"/>
  <c r="D281" i="8"/>
  <c r="D125" i="8"/>
  <c r="D189" i="8"/>
  <c r="D305" i="8"/>
  <c r="D254" i="8"/>
  <c r="D299" i="8"/>
  <c r="D175" i="8"/>
  <c r="D65" i="8"/>
  <c r="D143" i="8"/>
  <c r="D33" i="8"/>
  <c r="D141" i="8"/>
  <c r="D285" i="8"/>
  <c r="D35" i="8"/>
  <c r="D260" i="8"/>
  <c r="D196" i="8"/>
  <c r="D140" i="8"/>
  <c r="D200" i="8"/>
  <c r="D42" i="8"/>
  <c r="D92" i="8"/>
  <c r="D245" i="8"/>
  <c r="D69" i="8"/>
  <c r="D239" i="8"/>
  <c r="D259" i="8"/>
  <c r="D303" i="8"/>
  <c r="D171" i="8"/>
  <c r="D274" i="8"/>
  <c r="D18" i="8"/>
  <c r="D100" i="8"/>
  <c r="D78" i="8"/>
  <c r="D27" i="8"/>
  <c r="D16" i="8"/>
  <c r="D12" i="8"/>
  <c r="D194" i="8"/>
  <c r="D197" i="8"/>
  <c r="D263" i="8"/>
  <c r="D216" i="8"/>
  <c r="D67" i="8"/>
  <c r="D111" i="8"/>
  <c r="D225" i="8"/>
  <c r="D244" i="8"/>
  <c r="D71" i="8"/>
  <c r="D301" i="8"/>
  <c r="D174" i="8"/>
  <c r="D276" i="8"/>
  <c r="D250" i="8"/>
  <c r="D278" i="8"/>
  <c r="D235" i="8"/>
  <c r="D94" i="8"/>
  <c r="D160" i="8"/>
  <c r="D72" i="8"/>
  <c r="D238" i="8"/>
  <c r="D133" i="8"/>
  <c r="D166" i="8"/>
  <c r="D104" i="8"/>
  <c r="D288" i="8"/>
  <c r="D21" i="8"/>
  <c r="D308" i="8"/>
  <c r="D218" i="8"/>
  <c r="D290" i="8"/>
  <c r="D116" i="8"/>
  <c r="D224" i="8"/>
  <c r="D38" i="8"/>
  <c r="D41" i="8"/>
  <c r="D105" i="8"/>
  <c r="D284" i="8"/>
  <c r="D209" i="8"/>
  <c r="D293" i="8"/>
  <c r="D211" i="8"/>
  <c r="D32" i="8"/>
  <c r="D271" i="8"/>
  <c r="D204" i="8"/>
  <c r="D129" i="8"/>
  <c r="D97" i="8"/>
  <c r="D24" i="8"/>
  <c r="D184" i="8"/>
  <c r="D37" i="8"/>
  <c r="D261" i="8"/>
  <c r="D152" i="8"/>
  <c r="D267" i="8"/>
  <c r="D56" i="8"/>
  <c r="D151" i="8"/>
  <c r="D85" i="8"/>
  <c r="D252" i="8"/>
  <c r="D30" i="8"/>
  <c r="D124" i="8"/>
  <c r="D223" i="8"/>
  <c r="D132" i="8"/>
  <c r="D36" i="8"/>
  <c r="D120" i="8"/>
  <c r="D178" i="8"/>
  <c r="D180" i="8"/>
  <c r="D280" i="8"/>
  <c r="D306" i="8"/>
  <c r="D231" i="8"/>
  <c r="D279" i="8"/>
  <c r="D84" i="8"/>
  <c r="D266" i="8"/>
  <c r="D251" i="8"/>
  <c r="D14" i="8"/>
  <c r="D201" i="8"/>
  <c r="D206" i="8"/>
  <c r="D176" i="8"/>
  <c r="D193" i="8"/>
  <c r="D122" i="8"/>
  <c r="D135" i="8"/>
  <c r="D243" i="8"/>
  <c r="D287" i="8"/>
  <c r="D253" i="8"/>
  <c r="D123" i="8"/>
  <c r="D154" i="8"/>
  <c r="D61" i="8"/>
  <c r="D106" i="8"/>
  <c r="D13" i="8"/>
  <c r="D113" i="8"/>
  <c r="D87" i="8"/>
  <c r="D173" i="8"/>
  <c r="D54" i="8"/>
  <c r="D117" i="8"/>
  <c r="D109" i="8"/>
  <c r="D292" i="8"/>
  <c r="D230" i="8"/>
  <c r="D46" i="8"/>
  <c r="D269" i="8"/>
  <c r="D304" i="8"/>
  <c r="D233" i="8"/>
  <c r="D226" i="8"/>
  <c r="D302" i="8"/>
  <c r="D68" i="8"/>
  <c r="D22" i="8"/>
  <c r="D88" i="8"/>
  <c r="D74" i="8"/>
  <c r="D155" i="8"/>
  <c r="D273" i="8"/>
  <c r="D265" i="8"/>
  <c r="D128" i="8"/>
  <c r="D86" i="8"/>
  <c r="D137" i="8"/>
  <c r="D286" i="8"/>
  <c r="D162" i="8"/>
  <c r="D80" i="8"/>
  <c r="D294" i="8"/>
  <c r="D159" i="8"/>
  <c r="D55" i="8"/>
  <c r="D212" i="8"/>
  <c r="D110" i="8"/>
  <c r="D70" i="8"/>
  <c r="D40" i="8"/>
  <c r="D63" i="8"/>
  <c r="D297" i="8"/>
  <c r="D48" i="8"/>
  <c r="D126" i="8"/>
  <c r="D177" i="8"/>
  <c r="D205" i="8"/>
  <c r="D148" i="8"/>
  <c r="D236" i="8"/>
  <c r="D169" i="8"/>
  <c r="D150" i="8"/>
  <c r="D237" i="8"/>
  <c r="D59" i="8"/>
  <c r="D52" i="8"/>
  <c r="D102" i="8"/>
  <c r="D136" i="8"/>
  <c r="D210" i="8"/>
  <c r="D234" i="8"/>
  <c r="D66" i="8"/>
  <c r="D246" i="8"/>
  <c r="D112" i="8"/>
  <c r="D262" i="8"/>
  <c r="D208" i="8"/>
  <c r="D53" i="8"/>
  <c r="D118" i="8"/>
  <c r="C2" i="8" l="1"/>
  <c r="C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 Parker</author>
  </authors>
  <commentList>
    <comment ref="F3" authorId="0" shapeId="0" xr:uid="{9C8AE054-F2B4-4B25-8B54-AE1EE4A136CF}">
      <text>
        <r>
          <rPr>
            <b/>
            <sz val="9"/>
            <color indexed="81"/>
            <rFont val="Tahoma"/>
            <family val="2"/>
          </rPr>
          <t>To search for a local authority area, either click in the blank box then click the arrow to select an area name from the list of all areas, or enter a search term in the box, press enter, then click the arrow to select from matching names. To reset, use the delete key to clear the search box.</t>
        </r>
        <r>
          <rPr>
            <sz val="9"/>
            <color indexed="81"/>
            <rFont val="Tahoma"/>
            <family val="2"/>
          </rPr>
          <t xml:space="preserve">
</t>
        </r>
      </text>
    </comment>
  </commentList>
</comments>
</file>

<file path=xl/sharedStrings.xml><?xml version="1.0" encoding="utf-8"?>
<sst xmlns="http://schemas.openxmlformats.org/spreadsheetml/2006/main" count="8137" uniqueCount="822">
  <si>
    <t>Change</t>
  </si>
  <si>
    <t xml:space="preserve">Region </t>
  </si>
  <si>
    <t>PRPs operating in the LA area:</t>
  </si>
  <si>
    <t>Small PRPs in the LA area:</t>
  </si>
  <si>
    <t>PRPs operating in the region:</t>
  </si>
  <si>
    <t>Large PRPs In the LA Area:</t>
  </si>
  <si>
    <r>
      <t xml:space="preserve">Provision Type </t>
    </r>
    <r>
      <rPr>
        <sz val="8"/>
        <color theme="1"/>
        <rFont val="Arial"/>
        <family val="2"/>
      </rPr>
      <t>(including Affordable Rent units in GN, SH and HOP)</t>
    </r>
  </si>
  <si>
    <t>Low cost rental</t>
  </si>
  <si>
    <t>General needs</t>
  </si>
  <si>
    <t>Supported housing</t>
  </si>
  <si>
    <t>Housing for older people</t>
  </si>
  <si>
    <t>Low cost home ownership (LCHO)</t>
  </si>
  <si>
    <t>Total</t>
  </si>
  <si>
    <t>England</t>
  </si>
  <si>
    <t>Decent Homes Standard (DHS)</t>
  </si>
  <si>
    <t>Total social rented stock owned (GN, SH and HOP)</t>
  </si>
  <si>
    <t>Total number of units owned which failed the DHS</t>
  </si>
  <si>
    <t>Percentage of units owned which failed the DHS</t>
  </si>
  <si>
    <t>Net rent</t>
  </si>
  <si>
    <t>Service charge^</t>
  </si>
  <si>
    <t>Gross rent^</t>
  </si>
  <si>
    <t>Unit count</t>
  </si>
  <si>
    <t xml:space="preserve">^ The average service charge relates only to the stock which has a service charge (i.e., zero service charges are not included). However, gross rent does include stock with no service charge.  The sum of the net rent and service charge presented in this table does not equal the gross rent.  </t>
  </si>
  <si>
    <t>Affordable Rent general needs</t>
  </si>
  <si>
    <t>Gross rent</t>
  </si>
  <si>
    <t>Sales by PRPs by type - Large PRPs only</t>
  </si>
  <si>
    <t>Total sales to registered providers</t>
  </si>
  <si>
    <t>Total sales to tenants</t>
  </si>
  <si>
    <t>Total sales to other</t>
  </si>
  <si>
    <t>Total vacant general needs self-contained units</t>
  </si>
  <si>
    <t xml:space="preserve">General needs - self contained - owned </t>
  </si>
  <si>
    <t>Vacant and available for letting</t>
  </si>
  <si>
    <t>Vacant and not available for letting</t>
  </si>
  <si>
    <t>Total number of vacant units</t>
  </si>
  <si>
    <t>% of units vacant</t>
  </si>
  <si>
    <t>% of units vacant and available for letting</t>
  </si>
  <si>
    <t>Large PRPs only - unweighted.</t>
  </si>
  <si>
    <t>Includes intermediate rent and Affordable Rent general needs units</t>
  </si>
  <si>
    <t>Table 1</t>
  </si>
  <si>
    <t>Table 2</t>
  </si>
  <si>
    <t>Table 3</t>
  </si>
  <si>
    <t>Table 4</t>
  </si>
  <si>
    <t>Table 5</t>
  </si>
  <si>
    <t>Table 6</t>
  </si>
  <si>
    <t>Table 7</t>
  </si>
  <si>
    <t>Table 8</t>
  </si>
  <si>
    <t>LA code</t>
  </si>
  <si>
    <t>Local Authority name</t>
  </si>
  <si>
    <t>GNSC - ALL PRPS</t>
  </si>
  <si>
    <t>GNBSPs  - ALL PRPS</t>
  </si>
  <si>
    <t>SH - ALL PRPS</t>
  </si>
  <si>
    <t>HOP - ALL PRPS</t>
  </si>
  <si>
    <t>LCHO &lt;100% Equity LARGE ONLY</t>
  </si>
  <si>
    <t>All Stock - ALL PRPS (LCHO LARGE ONLY)</t>
  </si>
  <si>
    <t>Rental Stock Total - ALL PRPS</t>
  </si>
  <si>
    <t>DHS_Fails - ALL PRPS</t>
  </si>
  <si>
    <t>Average_GN_NET</t>
  </si>
  <si>
    <t>Combined_Tot_GN_All_Soc_Rent</t>
  </si>
  <si>
    <t>Service Charge</t>
  </si>
  <si>
    <t>Gross_Rent</t>
  </si>
  <si>
    <t>GN_SOCIAL RENT_UNIT_COUNT (EXCLUDES AR)</t>
  </si>
  <si>
    <t>Net Rent</t>
  </si>
  <si>
    <t>Social Rent</t>
  </si>
  <si>
    <t>Gross Rent</t>
  </si>
  <si>
    <t>Unit Count</t>
  </si>
  <si>
    <t>GN_Aff_Rnt</t>
  </si>
  <si>
    <t>Tot_GN_Aff_Rnt_Units</t>
  </si>
  <si>
    <t>AR SH/HOP - Gross Rent - LA</t>
  </si>
  <si>
    <t>AR SH/HOP - Unit Count - LA</t>
  </si>
  <si>
    <t>SBS244_LA_SBS_Tot_Sale_RP</t>
  </si>
  <si>
    <t>SBS245_LA_SBS_Tot_Sale_Ten</t>
  </si>
  <si>
    <t>SBS246_LA_SBS_Tot_Sale_Other</t>
  </si>
  <si>
    <t>CLCHO015_LA_Fst_Tran_Sale_LCHO</t>
  </si>
  <si>
    <t>CLCHO016_LA_100Perc_Stair_Sale_LCHO</t>
  </si>
  <si>
    <t>NEW Large PRP - GN SC stock</t>
  </si>
  <si>
    <t>SU065_LA_Vac_avail_GN_SC</t>
  </si>
  <si>
    <t>SU066_LA_Vac_not_avail_GN_SC</t>
  </si>
  <si>
    <t>SU067_Tot_vac_GN_SC</t>
  </si>
  <si>
    <t>East Midlands</t>
  </si>
  <si>
    <t>East of England</t>
  </si>
  <si>
    <t>London</t>
  </si>
  <si>
    <t>North East</t>
  </si>
  <si>
    <t>North West</t>
  </si>
  <si>
    <t>South East</t>
  </si>
  <si>
    <t>South West</t>
  </si>
  <si>
    <t>West Midlands</t>
  </si>
  <si>
    <t>E07000223</t>
  </si>
  <si>
    <t>Adur</t>
  </si>
  <si>
    <t>E07000026</t>
  </si>
  <si>
    <t>Allerdale</t>
  </si>
  <si>
    <t>E07000032</t>
  </si>
  <si>
    <t>Amber Valley</t>
  </si>
  <si>
    <t>E07000224</t>
  </si>
  <si>
    <t>Arun</t>
  </si>
  <si>
    <t>E07000170</t>
  </si>
  <si>
    <t>Ashfield</t>
  </si>
  <si>
    <t>E07000105</t>
  </si>
  <si>
    <t>Ashford</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</si>
  <si>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</si>
  <si>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</si>
  <si>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</si>
  <si>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</si>
  <si>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</si>
  <si>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</si>
  <si>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</si>
  <si>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</si>
  <si>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</si>
  <si>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</si>
  <si>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</si>
  <si>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</si>
  <si>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</si>
  <si>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</si>
  <si>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</si>
  <si>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</si>
  <si>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</si>
  <si>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</si>
  <si>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</si>
  <si>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</si>
  <si>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</si>
  <si>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</si>
  <si>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</si>
  <si>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</si>
  <si>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</si>
  <si>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</si>
  <si>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</si>
  <si>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</si>
  <si>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</si>
  <si>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</si>
  <si>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</si>
  <si>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</si>
  <si>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</si>
  <si>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</si>
  <si>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</si>
  <si>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</si>
  <si>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E06000058</t>
  </si>
  <si>
    <t>Bournemouth Christchurch and Poole</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</si>
  <si>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</si>
  <si>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</si>
  <si>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</si>
  <si>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</si>
  <si>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</si>
  <si>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</si>
  <si>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</si>
  <si>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</si>
  <si>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</si>
  <si>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</si>
  <si>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</si>
  <si>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</si>
  <si>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</si>
  <si>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</si>
  <si>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</si>
  <si>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</si>
  <si>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</si>
  <si>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</si>
  <si>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</si>
  <si>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</si>
  <si>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</si>
  <si>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</si>
  <si>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</si>
  <si>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</si>
  <si>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</si>
  <si>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</si>
  <si>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</si>
  <si>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</si>
  <si>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</si>
  <si>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</si>
  <si>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</si>
  <si>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</si>
  <si>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</si>
  <si>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</si>
  <si>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</si>
  <si>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</si>
  <si>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</si>
  <si>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</si>
  <si>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</si>
  <si>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</si>
  <si>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</si>
  <si>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</si>
  <si>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</si>
  <si>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</si>
  <si>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</si>
  <si>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</si>
  <si>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</si>
  <si>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</si>
  <si>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</si>
  <si>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</si>
  <si>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</si>
  <si>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</si>
  <si>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</si>
  <si>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</si>
  <si>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</si>
  <si>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</si>
  <si>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</si>
  <si>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</si>
  <si>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</si>
  <si>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</si>
  <si>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</si>
  <si>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</si>
  <si>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E07000118</t>
  </si>
  <si>
    <t>Chorley</t>
  </si>
  <si>
    <t>E09000001</t>
  </si>
  <si>
    <t>City of London</t>
  </si>
  <si>
    <t>E07000071</t>
  </si>
  <si>
    <t>Colchester</t>
  </si>
  <si>
    <t>E07000029</t>
  </si>
  <si>
    <t>Copeland</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</si>
  <si>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</si>
  <si>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</si>
  <si>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</si>
  <si>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</si>
  <si>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</si>
  <si>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</si>
  <si>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</si>
  <si>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</si>
  <si>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</si>
  <si>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</si>
  <si>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</si>
  <si>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</si>
  <si>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</si>
  <si>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</si>
  <si>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</si>
  <si>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</si>
  <si>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</si>
  <si>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</si>
  <si>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</si>
  <si>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</si>
  <si>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E06000015</t>
  </si>
  <si>
    <t>Derby</t>
  </si>
  <si>
    <t>E07000035</t>
  </si>
  <si>
    <t>Derbyshire Dales</t>
  </si>
  <si>
    <t>E08000017</t>
  </si>
  <si>
    <t>Doncaster</t>
  </si>
  <si>
    <t>E06000059</t>
  </si>
  <si>
    <t>Dorset</t>
  </si>
  <si>
    <t>E07000108</t>
  </si>
  <si>
    <t>Dover</t>
  </si>
  <si>
    <t>E08000027</t>
  </si>
  <si>
    <t>Dudley</t>
  </si>
  <si>
    <t>E09000009</t>
  </si>
  <si>
    <t>Ealing</t>
  </si>
  <si>
    <t>E07000009</t>
  </si>
  <si>
    <t>East Cambridgeshire</t>
  </si>
  <si>
    <t>E07000040</t>
  </si>
  <si>
    <t>East Devon</t>
  </si>
  <si>
    <t>E07000085</t>
  </si>
  <si>
    <t>East Hampshire</t>
  </si>
  <si>
    <t>E07000242</t>
  </si>
  <si>
    <t>East Hertfordshire</t>
  </si>
  <si>
    <t>E07000137</t>
  </si>
  <si>
    <t>East Lindsey</t>
  </si>
  <si>
    <t>E06000011</t>
  </si>
  <si>
    <t>East Riding of Yorkshire</t>
  </si>
  <si>
    <t>E07000193</t>
  </si>
  <si>
    <t>East Staffordshire</t>
  </si>
  <si>
    <t>E07000244</t>
  </si>
  <si>
    <t>East Suffolk</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</si>
  <si>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</si>
  <si>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</si>
  <si>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</si>
  <si>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</si>
  <si>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</si>
  <si>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</si>
  <si>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</si>
  <si>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</si>
  <si>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</si>
  <si>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</si>
  <si>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</si>
  <si>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</si>
  <si>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</si>
  <si>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</si>
  <si>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</si>
  <si>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</si>
  <si>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</si>
  <si>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</si>
  <si>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</si>
  <si>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</si>
  <si>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</si>
  <si>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</si>
  <si>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E07000112</t>
  </si>
  <si>
    <t>Folkestone and Hythe</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</si>
  <si>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</si>
  <si>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</si>
  <si>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</si>
  <si>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</si>
  <si>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</si>
  <si>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</si>
  <si>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</si>
  <si>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</si>
  <si>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</si>
  <si>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</si>
  <si>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</si>
  <si>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</si>
  <si>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</si>
  <si>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</si>
  <si>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</si>
  <si>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</si>
  <si>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</si>
  <si>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</si>
  <si>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</si>
  <si>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</si>
  <si>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</si>
  <si>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</si>
  <si>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</si>
  <si>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</si>
  <si>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</si>
  <si>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</si>
  <si>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</si>
  <si>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</si>
  <si>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</si>
  <si>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</si>
  <si>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</si>
  <si>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</si>
  <si>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</si>
  <si>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</si>
  <si>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</si>
  <si>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</si>
  <si>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</si>
  <si>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</si>
  <si>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</si>
  <si>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</si>
  <si>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</si>
  <si>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</si>
  <si>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</si>
  <si>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</si>
  <si>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</si>
  <si>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</si>
  <si>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</si>
  <si>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</si>
  <si>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</si>
  <si>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</si>
  <si>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</si>
  <si>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</si>
  <si>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</si>
  <si>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</si>
  <si>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</si>
  <si>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</si>
  <si>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</si>
  <si>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</si>
  <si>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</si>
  <si>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</si>
  <si>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</si>
  <si>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</si>
  <si>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</si>
  <si>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</si>
  <si>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</si>
  <si>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</si>
  <si>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</si>
  <si>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</si>
  <si>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</si>
  <si>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</si>
  <si>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</si>
  <si>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</si>
  <si>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</si>
  <si>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</si>
  <si>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</si>
  <si>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</si>
  <si>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</si>
  <si>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</si>
  <si>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</si>
  <si>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</si>
  <si>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</si>
  <si>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</si>
  <si>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</si>
  <si>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</si>
  <si>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</si>
  <si>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</si>
  <si>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</si>
  <si>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</si>
  <si>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</si>
  <si>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</si>
  <si>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</si>
  <si>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</si>
  <si>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</si>
  <si>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</si>
  <si>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</si>
  <si>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</si>
  <si>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</si>
  <si>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</si>
  <si>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</si>
  <si>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</si>
  <si>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</si>
  <si>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</si>
  <si>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</si>
  <si>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</si>
  <si>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</si>
  <si>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</si>
  <si>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</si>
  <si>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</si>
  <si>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</si>
  <si>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</si>
  <si>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</si>
  <si>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</si>
  <si>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</si>
  <si>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</si>
  <si>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</si>
  <si>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</si>
  <si>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</si>
  <si>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</si>
  <si>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</si>
  <si>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</si>
  <si>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</si>
  <si>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</si>
  <si>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</si>
  <si>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</si>
  <si>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</si>
  <si>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</si>
  <si>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</si>
  <si>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</si>
  <si>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</si>
  <si>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</si>
  <si>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</si>
  <si>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</si>
  <si>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</si>
  <si>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</si>
  <si>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</si>
  <si>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</si>
  <si>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</si>
  <si>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</si>
  <si>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</si>
  <si>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</si>
  <si>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</si>
  <si>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</si>
  <si>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</si>
  <si>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</si>
  <si>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</si>
  <si>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</si>
  <si>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</si>
  <si>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</si>
  <si>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</si>
  <si>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</si>
  <si>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</si>
  <si>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</si>
  <si>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</si>
  <si>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</si>
  <si>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</si>
  <si>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</si>
  <si>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</si>
  <si>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</si>
  <si>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</si>
  <si>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</si>
  <si>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</si>
  <si>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</si>
  <si>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</si>
  <si>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</si>
  <si>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</si>
  <si>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</si>
  <si>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</si>
  <si>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</si>
  <si>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</si>
  <si>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</si>
  <si>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</si>
  <si>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</si>
  <si>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</si>
  <si>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</si>
  <si>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</si>
  <si>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</si>
  <si>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</si>
  <si>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</si>
  <si>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</si>
  <si>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</si>
  <si>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</si>
  <si>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</si>
  <si>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</si>
  <si>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</si>
  <si>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</si>
  <si>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</si>
  <si>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</si>
  <si>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</si>
  <si>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E06000044</t>
  </si>
  <si>
    <t>Portsmouth</t>
  </si>
  <si>
    <t>E07000123</t>
  </si>
  <si>
    <t>Preston</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</si>
  <si>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</si>
  <si>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</si>
  <si>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</si>
  <si>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</si>
  <si>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</si>
  <si>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</si>
  <si>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</si>
  <si>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</si>
  <si>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</si>
  <si>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</si>
  <si>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</si>
  <si>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</si>
  <si>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</si>
  <si>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</si>
  <si>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</si>
  <si>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</si>
  <si>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</si>
  <si>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</si>
  <si>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</si>
  <si>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</si>
  <si>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</si>
  <si>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</si>
  <si>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</si>
  <si>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</si>
  <si>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</si>
  <si>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</si>
  <si>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</si>
  <si>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</si>
  <si>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</si>
  <si>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</si>
  <si>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</si>
  <si>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</si>
  <si>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</si>
  <si>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</si>
  <si>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</si>
  <si>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</si>
  <si>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</si>
  <si>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</si>
  <si>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</si>
  <si>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</si>
  <si>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</si>
  <si>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</si>
  <si>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</si>
  <si>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</si>
  <si>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</si>
  <si>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</si>
  <si>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</si>
  <si>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</si>
  <si>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</si>
  <si>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</si>
  <si>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</si>
  <si>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</si>
  <si>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</si>
  <si>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</si>
  <si>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E06000051</t>
  </si>
  <si>
    <t>Shropshire</t>
  </si>
  <si>
    <t>E06000039</t>
  </si>
  <si>
    <t>Slough</t>
  </si>
  <si>
    <t>E08000029</t>
  </si>
  <si>
    <t>Solihull</t>
  </si>
  <si>
    <t>E07000246</t>
  </si>
  <si>
    <t>Somerset West and Taunton</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</si>
  <si>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</si>
  <si>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</si>
  <si>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</si>
  <si>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</si>
  <si>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</si>
  <si>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</si>
  <si>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</si>
  <si>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</si>
  <si>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</si>
  <si>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</si>
  <si>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</si>
  <si>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</si>
  <si>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</si>
  <si>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</si>
  <si>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</si>
  <si>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</si>
  <si>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</si>
  <si>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</si>
  <si>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</si>
  <si>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</si>
  <si>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</si>
  <si>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</si>
  <si>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</si>
  <si>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</si>
  <si>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</si>
  <si>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</si>
  <si>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</si>
  <si>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</si>
  <si>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</si>
  <si>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</si>
  <si>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</si>
  <si>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</si>
  <si>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</si>
  <si>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</si>
  <si>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</si>
  <si>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</si>
  <si>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</si>
  <si>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</si>
  <si>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</si>
  <si>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</si>
  <si>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</si>
  <si>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</si>
  <si>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</si>
  <si>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</si>
  <si>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</si>
  <si>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</si>
  <si>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</si>
  <si>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</si>
  <si>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</si>
  <si>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</si>
  <si>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</si>
  <si>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</si>
  <si>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</si>
  <si>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</si>
  <si>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</si>
  <si>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</si>
  <si>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</si>
  <si>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</si>
  <si>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</si>
  <si>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</si>
  <si>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</si>
  <si>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</si>
  <si>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</si>
  <si>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</si>
  <si>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</si>
  <si>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</si>
  <si>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</si>
  <si>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</si>
  <si>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</si>
  <si>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</si>
  <si>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</si>
  <si>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</si>
  <si>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</si>
  <si>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</si>
  <si>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</si>
  <si>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</si>
  <si>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</si>
  <si>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</si>
  <si>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</si>
  <si>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</si>
  <si>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</si>
  <si>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</si>
  <si>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</si>
  <si>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</si>
  <si>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</si>
  <si>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</si>
  <si>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</si>
  <si>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</si>
  <si>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</si>
  <si>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</si>
  <si>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</si>
  <si>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</si>
  <si>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</si>
  <si>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</si>
  <si>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</si>
  <si>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</si>
  <si>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</si>
  <si>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</si>
  <si>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</si>
  <si>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</si>
  <si>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</si>
  <si>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</si>
  <si>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</si>
  <si>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</si>
  <si>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</si>
  <si>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</si>
  <si>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</si>
  <si>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</si>
  <si>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</si>
  <si>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</si>
  <si>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</si>
  <si>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</si>
  <si>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</si>
  <si>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</si>
  <si>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</si>
  <si>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</si>
  <si>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E07000216</t>
  </si>
  <si>
    <t>Waverley</t>
  </si>
  <si>
    <t>E07000065</t>
  </si>
  <si>
    <t>Wealden</t>
  </si>
  <si>
    <t>E07000241</t>
  </si>
  <si>
    <t>Welwyn Hatfield</t>
  </si>
  <si>
    <t>E06000037</t>
  </si>
  <si>
    <t>West Berkshire</t>
  </si>
  <si>
    <t>E07000047</t>
  </si>
  <si>
    <t>West Devon</t>
  </si>
  <si>
    <t>E07000127</t>
  </si>
  <si>
    <t>West Lancashire</t>
  </si>
  <si>
    <t>E07000142</t>
  </si>
  <si>
    <t>West Lindsey</t>
  </si>
  <si>
    <t>E07000181</t>
  </si>
  <si>
    <t>West Oxfordshire</t>
  </si>
  <si>
    <t>E07000245</t>
  </si>
  <si>
    <t>West Suffolk</t>
  </si>
  <si>
    <t>E09000033</t>
  </si>
  <si>
    <t>Westminster</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</si>
  <si>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</si>
  <si>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</si>
  <si>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</si>
  <si>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</si>
  <si>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</si>
  <si>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</si>
  <si>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</si>
  <si>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</si>
  <si>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</si>
  <si>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</si>
  <si>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</si>
  <si>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</si>
  <si>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</si>
  <si>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</si>
  <si>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</si>
  <si>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</si>
  <si>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</si>
  <si>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</si>
  <si>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</si>
  <si>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</si>
  <si>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</si>
  <si>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</si>
  <si>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E07000128</t>
  </si>
  <si>
    <t>Wyre</t>
  </si>
  <si>
    <t>E07000239</t>
  </si>
  <si>
    <t>Wyre Forest</t>
  </si>
  <si>
    <t>E06000014</t>
  </si>
  <si>
    <t>York</t>
  </si>
  <si>
    <t>Lookup search</t>
  </si>
  <si>
    <t>Local Authority Names</t>
  </si>
  <si>
    <t>Dynamic Range</t>
  </si>
  <si>
    <t>PRP Counts</t>
  </si>
  <si>
    <t>Region</t>
  </si>
  <si>
    <t>Row Labels</t>
  </si>
  <si>
    <t>LA Name</t>
  </si>
  <si>
    <t>2015 Large</t>
  </si>
  <si>
    <t>2015 Small</t>
  </si>
  <si>
    <t>2015 All</t>
  </si>
  <si>
    <t>Check</t>
  </si>
  <si>
    <t>Table 7 raw</t>
  </si>
  <si>
    <t>J</t>
  </si>
  <si>
    <t>K</t>
  </si>
  <si>
    <t>L</t>
  </si>
  <si>
    <t xml:space="preserve">All needs met   </t>
  </si>
  <si>
    <t>Some needs met</t>
  </si>
  <si>
    <t>No needs met</t>
  </si>
  <si>
    <t>Contents</t>
  </si>
  <si>
    <t>Section</t>
  </si>
  <si>
    <r>
      <t>Description</t>
    </r>
    <r>
      <rPr>
        <sz val="12"/>
        <rFont val="Arial"/>
        <family val="2"/>
      </rPr>
      <t xml:space="preserve"> </t>
    </r>
    <r>
      <rPr>
        <sz val="9"/>
        <rFont val="Arial"/>
        <family val="2"/>
      </rPr>
      <t>(click links below)</t>
    </r>
  </si>
  <si>
    <t>Glossary</t>
  </si>
  <si>
    <t>Total social units by provision type</t>
  </si>
  <si>
    <t>Decent Homes Standard</t>
  </si>
  <si>
    <t>General needs - average weekly rent and units</t>
  </si>
  <si>
    <t>Affordable Rent general needs - average weekly rent and units</t>
  </si>
  <si>
    <t>Affordable Rent supported housing  - average weekly rent and units</t>
  </si>
  <si>
    <t>Total vacant general needs self-contained</t>
  </si>
  <si>
    <t xml:space="preserve">Source: </t>
  </si>
  <si>
    <t>For further information please contact the Referrals and Regulatory Enquiries Team</t>
  </si>
  <si>
    <t xml:space="preserve">Telephone: 0300 1245 225 </t>
  </si>
  <si>
    <t xml:space="preserve">Email: </t>
  </si>
  <si>
    <t>enquiries@rsh.gov.uk</t>
  </si>
  <si>
    <t>Affordable Rent</t>
  </si>
  <si>
    <r>
      <t xml:space="preserve">Affordable Rent homes are those made available to households eligible for low cost rental housing at a rent level of no more than 80% (inclusive of service charges) of local market rents. Affordable Rent homes can be either newly built, acquired from other PRPs or converted from existing low cost rented homes, but only where they form part of an agreement with Homes England or the Greater London Authority. They can be either general needs or supported housing. See also </t>
    </r>
    <r>
      <rPr>
        <b/>
        <sz val="12"/>
        <color theme="1"/>
        <rFont val="Arial"/>
        <family val="2"/>
      </rPr>
      <t>London Affordable Rent</t>
    </r>
    <r>
      <rPr>
        <sz val="12"/>
        <color theme="1"/>
        <rFont val="Arial"/>
        <family val="2"/>
      </rPr>
      <t xml:space="preserve">.  </t>
    </r>
  </si>
  <si>
    <t>General needs housing</t>
  </si>
  <si>
    <t>General needs housing covers the bulk of housing stock for rent. It includes both self-contained units and non-self-contained hostel/ shared housing units and bedspaces. General needs housing is stock that is not designated for specific client groups.</t>
  </si>
  <si>
    <t xml:space="preserve">The total charged to tenants inclusive of all rent and property related service charges. </t>
  </si>
  <si>
    <t>Intermediate rent</t>
  </si>
  <si>
    <t>Large PRPs</t>
  </si>
  <si>
    <t xml:space="preserve">For the purposes of the SDR release this includes all PRPs that own 1,000 or more units of social housing and complete the ‘long SDR form’. </t>
  </si>
  <si>
    <t>London Affordable Rent</t>
  </si>
  <si>
    <t xml:space="preserve">LCHO accommodation is defined in the Housing and Regeneration Act 2008 as being that occupied or made available for occupation in accordance with shared ownership arrangements, shared equity arrangements, or shared ownership trusts; and it is made available to people whose needs are not adequately served by the commercial housing market. </t>
  </si>
  <si>
    <t xml:space="preserve">LCHO figures do not include ‘fully staircased’ properties, that is properties once occupied under relevant arrangements but where the occupier has for example acquired a 100% share of a shared ownership property or repaid an equity loan on a shared equity property in full. Fully staircased properties where the landlord has retained a freehold interest are included under ‘leasehold’ properties. </t>
  </si>
  <si>
    <t>The conditions under which LCHO properties are regarded as sold to occupiers (e.g. through being fully staircased) are more formally set out in Housing and Regeneration Act 2008.</t>
  </si>
  <si>
    <t>The term low cost rental is used in these statistics to denote any stock which meets the definition of low cost rental accommodation in the Housing and Regeneration Act 2008. It must be available for rent, with a rent below market value, and in accordance with the rules designed to ensure that it is made available to people whose needs are not adequately served by the commercial housing market.</t>
  </si>
  <si>
    <t>The rent charged to tenants excluding all service charges.</t>
  </si>
  <si>
    <t>Non-self-contained unit (bedspace)</t>
  </si>
  <si>
    <t>A non-self-contained unit will consist of an area in a hostel/ dormitory or other similar entity or a room or rooms (within a block of flats, sheltered scheme, house in multiple occupation or similar entity) which is/ are private to the tenant but which require sharing of some or all living, cooking, bathroom or toilet amenities.</t>
  </si>
  <si>
    <t>Owned stock</t>
  </si>
  <si>
    <t xml:space="preserve">An RP owns property when it: (a) holds the freehold title or a leasehold interest (of any length) in that property; and (b) is the body with a direct legal relationship with the occupants of the property (this body is often described as the landlord). </t>
  </si>
  <si>
    <t>Private registered providers (PRPs)</t>
  </si>
  <si>
    <t>Self-contained unit</t>
  </si>
  <si>
    <t>A self-contained unit is one in which all the rooms (including kitchen, bathroom and toilet) in a household’s accommodation are behind a door, which only that household can use and therefore allows that household exclusive use of them. Some self-contained units, especially flats, may have some common services such as a central boiler for heating and/ or hot water. Households which share a common entrance hall, but otherwise have all their accommodation behind their own front door are self-contained. Bedsits are considered self-contained units.</t>
  </si>
  <si>
    <t>Service charges</t>
  </si>
  <si>
    <t xml:space="preserve">Service charges are payable by some tenants in addition to rent. Service charges usually reflect additional services which may not be provided to every tenant, or which may be connected with communal facilities rather than being particular to the occupation of a dwelling. Service charges are subject to separate legal requirements and are limited to covering the cost of providing the services. </t>
  </si>
  <si>
    <t>Small PRPs</t>
  </si>
  <si>
    <t xml:space="preserve">These are PRPs that own fewer than 1,000 social housing units/ bedspaces and that complete the ‘short SDR form’. </t>
  </si>
  <si>
    <t>Social housing</t>
  </si>
  <si>
    <t>Social housing is defined in the Housing and Regeneration Act 2008 sections 68-77. The term covers low cost rental, low cost home ownership and accommodation owned by PRPs as previously defined in the Housing Act 1996.</t>
  </si>
  <si>
    <t>Social stock</t>
  </si>
  <si>
    <t xml:space="preserve">Social stock is used in these statistics to denote the total number of low cost rental and low cost home ownership units. Social stock figures do not include social leasehold units or any other stock type. Total social stock figures represent the number of self-contained units plus bedspaces.  </t>
  </si>
  <si>
    <t>Version</t>
  </si>
  <si>
    <t>Publication Date</t>
  </si>
  <si>
    <t xml:space="preserve">Changes </t>
  </si>
  <si>
    <t>Original release</t>
  </si>
  <si>
    <t>Contact</t>
  </si>
  <si>
    <t>Telephone: Referrals and Regulatory Enquires Team on 0300 1245 225</t>
  </si>
  <si>
    <t>Version: 1.0</t>
  </si>
  <si>
    <t>To select a name from the full list of all Local Authorities:</t>
  </si>
  <si>
    <t>To use the Search function:</t>
  </si>
  <si>
    <t xml:space="preserve">Select Local Authority area: </t>
  </si>
  <si>
    <t>Buckinghamshire</t>
  </si>
  <si>
    <t>Click on the blank box, then click on drop down arrow to select a name from the list of all Local Authorities.</t>
  </si>
  <si>
    <t>a)  Enter a search term in the blank box and press "Enter".</t>
  </si>
  <si>
    <t>b) Then click on the box again, then click drop down arrow to select a name from the (filtered) matching results.</t>
  </si>
  <si>
    <t>To reset, use the delete key to clear the search box contents, then click back on the box.</t>
  </si>
  <si>
    <t>E06000060</t>
  </si>
  <si>
    <r>
      <t>Formula rent</t>
    </r>
    <r>
      <rPr>
        <vertAlign val="superscript"/>
        <sz val="10"/>
        <color theme="1"/>
        <rFont val="Arial"/>
        <family val="2"/>
      </rPr>
      <t>1</t>
    </r>
  </si>
  <si>
    <r>
      <t xml:space="preserve">Click for help on the </t>
    </r>
    <r>
      <rPr>
        <b/>
        <u/>
        <sz val="10"/>
        <color theme="10"/>
        <rFont val="Arial"/>
        <family val="2"/>
      </rPr>
      <t>search function</t>
    </r>
  </si>
  <si>
    <t>Affordable Rent supported housing/housing for older people</t>
  </si>
  <si>
    <t>Exceptions/excepted units (rents)</t>
  </si>
  <si>
    <t>Units with an absolute exception from the statutory rent setting requirements set out in the Rent Policy Statement.</t>
  </si>
  <si>
    <t>Units that fully meet the definition of intermediate rent accommodation specified in the Rent Policy Statement.</t>
  </si>
  <si>
    <t xml:space="preserve">Units can only be counted as supported housing if they meet the definition of supported housing specified in the Rent Policy Statement. The fact that a tenant receives support services in their home does not make it supported housing. </t>
  </si>
  <si>
    <t>In these statistics social rent refers to all low cost rental units that are general needs or supported housing (excluding Affordable Rent and intermediate rent units). This includes units with exceptions from standard rent rules.</t>
  </si>
  <si>
    <t>Formula rent</t>
  </si>
  <si>
    <t>How to use the drop down list and Search function to select an LA name</t>
  </si>
  <si>
    <t>Supported housing/housing for older people - average weekly rent and units</t>
  </si>
  <si>
    <t>PRPs are providers of social housing in England that are registered with us and are not local authorities. This is the definition of PRPs in the Housing and Regeneration Act 2008.</t>
  </si>
  <si>
    <t>Yorkshire and the Humber</t>
  </si>
  <si>
    <t>How to use the search function</t>
  </si>
  <si>
    <r>
      <t xml:space="preserve">London Affordable Rent (LAR), was introduced in 2016 by the Mayor of London. LAR units are Affordable Rent units in London let at or below the weekly rent benchmarks set by the GLA. They are included in Affordable Rent figures in the LADR collection. For more information see </t>
    </r>
    <r>
      <rPr>
        <u/>
        <sz val="12"/>
        <color rgb="FF59468D"/>
        <rFont val="Arial"/>
        <family val="2"/>
      </rPr>
      <t>https://www.london.gov.uk/what-we-do/housing-and-land/homes-londoners-affordable-homes-programmes/homes-londoners-affordable-homes-programme-2016-2023</t>
    </r>
    <r>
      <rPr>
        <sz val="12"/>
        <color theme="1"/>
        <rFont val="Arial"/>
        <family val="2"/>
      </rPr>
      <t>.</t>
    </r>
  </si>
  <si>
    <t>Sales by PRPs by type - large PRPs only</t>
  </si>
  <si>
    <t>General needs (social rent)*</t>
  </si>
  <si>
    <t>Supported housing/housing for older people (social rent)*</t>
  </si>
  <si>
    <t>*Excludes Affordable Rent and intermediate rent, but includes other units with an exception under the Rent Policy Statement.</t>
  </si>
  <si>
    <t>Always start with a blank box (cell E3, sheet "PRP LA trend tool 2015-22").</t>
  </si>
  <si>
    <t>1. Figures for 2015-2016 are for target rent, 2017-2020 are for social rent rate and from 2021 formula rent.</t>
  </si>
  <si>
    <t>North Northamptonshire</t>
  </si>
  <si>
    <t>West Northamptonshire</t>
  </si>
  <si>
    <t>E06000061</t>
  </si>
  <si>
    <t>E06000062</t>
  </si>
  <si>
    <t>highlighted figures are included in the chart</t>
  </si>
  <si>
    <t>% of units vacant not available for letting</t>
  </si>
  <si>
    <t>PRP local authority trend tool (SDR data) 2015-2023</t>
  </si>
  <si>
    <t>Owned stock.  Large PRPs only - unweighted.  Stock outside England is excluded.  Source: SDR 2015-2023.</t>
  </si>
  <si>
    <t>Owned stock. Stock outside England is excluded. Source: SDR 2015-2023.</t>
  </si>
  <si>
    <t>Source: SDR 2015-2023.</t>
  </si>
  <si>
    <t>Yorkshire and The Humber</t>
  </si>
  <si>
    <t>PRP LA trend tool 2015-23</t>
  </si>
  <si>
    <t>Statistical Data Return (SDR) 1 April to 31 March 2015-2023</t>
  </si>
  <si>
    <t>Publication date: October 2023</t>
  </si>
  <si>
    <r>
      <t xml:space="preserve">This tool collates data collected through the Statistical Data Return (SDR), to provide a summary overview of Private Registered Provider (PRP) stock at geographic levels (England, regional and local authority).  It returns a range of values, including counts of social rented units owned by type, along with average rent values for the selected areas.  It is easily printable, allowing comparisons to be made.
</t>
    </r>
    <r>
      <rPr>
        <b/>
        <sz val="12"/>
        <color theme="1"/>
        <rFont val="Arial"/>
        <family val="2"/>
      </rPr>
      <t xml:space="preserve">Select the relevant geographic areas from the drop down list in cell E3 of sheet "PRP LA trend tool 2015-23".
</t>
    </r>
    <r>
      <rPr>
        <b/>
        <sz val="12"/>
        <color rgb="FFFF0000"/>
        <rFont val="Arial"/>
        <family val="2"/>
      </rPr>
      <t xml:space="preserve">Or enter a search term in cell E3, press enter, click on cell E3 again, click arrow and select from matching names.
</t>
    </r>
    <r>
      <rPr>
        <sz val="12"/>
        <rFont val="Arial"/>
        <family val="2"/>
      </rPr>
      <t xml:space="preserve">
All figures are unweighted, as reported by the providers. </t>
    </r>
  </si>
  <si>
    <t>October 2023</t>
  </si>
  <si>
    <t>The definitions presented below are provided for clarity of terms and categories within this release. They are consistent with the manner in which data was collected in the 2023 SDR and LADR collections (based on a view ‘as at’ or ‘in the year to’ 31 March 2023). See the 2022-23 SDR and LADR guidance published as part of the individual statistics for more information.</t>
  </si>
  <si>
    <t>2023 Large</t>
  </si>
  <si>
    <t>2023 Small</t>
  </si>
  <si>
    <t>2023 All</t>
  </si>
  <si>
    <t>Return to sheet "PRP LA trend tool 2015-23"</t>
  </si>
  <si>
    <t>First tranche LCHO sales</t>
  </si>
  <si>
    <t>100% staircased LCHO sales</t>
  </si>
  <si>
    <t>General needs non-self-contained</t>
  </si>
  <si>
    <t>General needs self-contained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</si>
</sst>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0;\-#,##0.00_-;&quot;-&quot;"/>
    <numFmt numFmtId="165" formatCode="0.0%"/>
    <numFmt numFmtId="166" formatCode="&quot;£&quot;#,##0.00"/>
    <numFmt numFmtId="167" formatCode="_-* #,##0_-;\-* #,##0_-;_-* &quot;-&quot;??_-;_-@_-"/>
    <numFmt numFmtId="168" formatCode="0.0"/>
    <numFmt numFmtId="169" formatCode="[$-F800]dddd\,\ mmmm\ dd\,\ yyyy"/>
    <numFmt numFmtId="170" formatCode="mmmm\ yyyy"/>
    <numFmt numFmtId="171" formatCode="&quot;£&quot;#,##0.00;\-#,##0.00_-;&quot;-&quot;"/>
  </numFmts>
  <fonts count="6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u/>
      <sz val="11"/>
      <color theme="10"/>
      <name val="Calibri"/>
      <family val="2"/>
      <scheme val="minor"/>
    </font>
    <font>
      <b/>
      <sz val="28"/>
      <color rgb="FF59468D"/>
      <name val="Arial"/>
      <family val="2"/>
    </font>
    <font>
      <b/>
      <sz val="10"/>
      <color theme="1"/>
      <name val="Arial"/>
      <family val="2"/>
    </font>
    <font>
      <b/>
      <sz val="10"/>
      <color theme="3"/>
      <name val="Arial"/>
      <family val="2"/>
    </font>
    <font>
      <b/>
      <sz val="12"/>
      <color rgb="FF59468D"/>
      <name val="Arial"/>
      <family val="2"/>
    </font>
    <font>
      <sz val="12"/>
      <color rgb="FF59468D"/>
      <name val="Arial"/>
      <family val="2"/>
    </font>
    <font>
      <sz val="8"/>
      <color theme="1"/>
      <name val="Arial"/>
      <family val="2"/>
    </font>
    <font>
      <b/>
      <sz val="10"/>
      <name val="Arial"/>
      <family val="2"/>
    </font>
    <font>
      <i/>
      <sz val="8"/>
      <color theme="0" tint="-0.499984740745262"/>
      <name val="Arial"/>
      <family val="2"/>
    </font>
    <font>
      <sz val="10"/>
      <color theme="1"/>
      <name val="Arial"/>
      <family val="2"/>
    </font>
    <font>
      <sz val="10"/>
      <color theme="0" tint="-0.499984740745262"/>
      <name val="Arial"/>
      <family val="2"/>
    </font>
    <font>
      <b/>
      <sz val="10"/>
      <color rgb="FF59468D"/>
      <name val="Arial"/>
      <family val="2"/>
    </font>
    <font>
      <sz val="10"/>
      <name val="Arial"/>
      <family val="2"/>
    </font>
    <font>
      <sz val="10"/>
      <color rgb="FFE2EEF6"/>
      <name val="Arial"/>
      <family val="2"/>
    </font>
    <font>
      <sz val="10"/>
      <color theme="0"/>
      <name val="Arial"/>
      <family val="2"/>
    </font>
    <font>
      <vertAlign val="superscript"/>
      <sz val="10"/>
      <color theme="1"/>
      <name val="Arial"/>
      <family val="2"/>
    </font>
    <font>
      <b/>
      <sz val="10"/>
      <color theme="0"/>
      <name val="Arial"/>
      <family val="2"/>
    </font>
    <font>
      <sz val="8"/>
      <name val="Arial"/>
      <family val="2"/>
    </font>
    <font>
      <b/>
      <sz val="8"/>
      <color rgb="FFFF0000"/>
      <name val="Arial"/>
      <family val="2"/>
    </font>
    <font>
      <sz val="11"/>
      <color theme="0"/>
      <name val="Arial"/>
      <family val="2"/>
    </font>
    <font>
      <sz val="10"/>
      <color theme="8" tint="0.79998168889431442"/>
      <name val="Arial"/>
      <family val="2"/>
    </font>
    <font>
      <sz val="11"/>
      <color rgb="FF59468D"/>
      <name val="Arial"/>
      <family val="2"/>
    </font>
    <font>
      <sz val="11"/>
      <color theme="1"/>
      <name val="Arial"/>
      <family val="2"/>
    </font>
    <font>
      <sz val="11"/>
      <name val="Arial"/>
      <family val="2"/>
    </font>
    <font>
      <sz val="10"/>
      <color rgb="FFFF0000"/>
      <name val="Arial"/>
      <family val="2"/>
    </font>
    <font>
      <b/>
      <sz val="9"/>
      <color indexed="81"/>
      <name val="Tahoma"/>
      <family val="2"/>
    </font>
    <font>
      <sz val="9"/>
      <color indexed="81"/>
      <name val="Tahoma"/>
      <family val="2"/>
    </font>
    <font>
      <b/>
      <sz val="10"/>
      <color rgb="FFFF0000"/>
      <name val="Arial"/>
      <family val="2"/>
    </font>
    <font>
      <b/>
      <sz val="10"/>
      <color theme="8" tint="0.79998168889431442"/>
      <name val="Arial"/>
      <family val="2"/>
    </font>
    <font>
      <b/>
      <sz val="11"/>
      <color theme="1"/>
      <name val="Arial"/>
      <family val="2"/>
    </font>
    <font>
      <u/>
      <sz val="30"/>
      <color rgb="FF419331"/>
      <name val="Wingdings"/>
      <charset val="2"/>
    </font>
    <font>
      <b/>
      <sz val="30"/>
      <color rgb="FF419331"/>
      <name val="Wingdings"/>
      <charset val="2"/>
    </font>
    <font>
      <u/>
      <sz val="30"/>
      <color theme="0" tint="-0.499984740745262"/>
      <name val="Wingdings"/>
      <charset val="2"/>
    </font>
    <font>
      <b/>
      <sz val="30"/>
      <color rgb="FF00B050"/>
      <name val="Wingdings"/>
      <charset val="2"/>
    </font>
    <font>
      <u/>
      <sz val="30"/>
      <color rgb="FFC33A32"/>
      <name val="Wingdings"/>
      <charset val="2"/>
    </font>
    <font>
      <sz val="30"/>
      <color rgb="FFC33A32"/>
      <name val="Wingdings"/>
      <charset val="2"/>
    </font>
    <font>
      <b/>
      <sz val="10"/>
      <color rgb="FF419331"/>
      <name val="Arial"/>
      <family val="2"/>
    </font>
    <font>
      <b/>
      <sz val="10"/>
      <color theme="0" tint="-0.499984740745262"/>
      <name val="Arial"/>
      <family val="2"/>
    </font>
    <font>
      <b/>
      <sz val="10"/>
      <color rgb="FFC33A32"/>
      <name val="Arial"/>
      <family val="2"/>
    </font>
    <font>
      <sz val="10"/>
      <color rgb="FFC33A32"/>
      <name val="Arial"/>
      <family val="2"/>
    </font>
    <font>
      <sz val="12"/>
      <color theme="1"/>
      <name val="Arial"/>
      <family val="2"/>
    </font>
    <font>
      <b/>
      <sz val="12"/>
      <color theme="1"/>
      <name val="Arial"/>
      <family val="2"/>
    </font>
    <font>
      <b/>
      <sz val="12"/>
      <color rgb="FFFF0000"/>
      <name val="Arial"/>
      <family val="2"/>
    </font>
    <font>
      <sz val="12"/>
      <name val="Arial"/>
      <family val="2"/>
    </font>
    <font>
      <b/>
      <sz val="18"/>
      <color rgb="FF59468D"/>
      <name val="Arial"/>
      <family val="2"/>
    </font>
    <font>
      <b/>
      <sz val="12"/>
      <name val="Arial"/>
      <family val="2"/>
    </font>
    <font>
      <sz val="9"/>
      <name val="Arial"/>
      <family val="2"/>
    </font>
    <font>
      <u/>
      <sz val="12"/>
      <color theme="10"/>
      <name val="Arial"/>
      <family val="2"/>
    </font>
    <font>
      <sz val="10"/>
      <color rgb="FF59468D"/>
      <name val="Arial"/>
      <family val="2"/>
    </font>
    <font>
      <b/>
      <sz val="24"/>
      <color rgb="FF59468D"/>
      <name val="Arial"/>
      <family val="2"/>
    </font>
    <font>
      <b/>
      <sz val="18"/>
      <color theme="1"/>
      <name val="Arial"/>
      <family val="2"/>
    </font>
    <font>
      <b/>
      <sz val="14"/>
      <color indexed="9"/>
      <name val="Arial"/>
      <family val="2"/>
    </font>
    <font>
      <b/>
      <sz val="12"/>
      <color indexed="9"/>
      <name val="Arial"/>
      <family val="2"/>
    </font>
    <font>
      <b/>
      <sz val="12"/>
      <color theme="0"/>
      <name val="Arial"/>
      <family val="2"/>
    </font>
    <font>
      <b/>
      <sz val="22"/>
      <color rgb="FF59468D"/>
      <name val="Arial"/>
      <family val="2"/>
    </font>
    <font>
      <b/>
      <u/>
      <sz val="10"/>
      <color theme="10"/>
      <name val="Arial"/>
      <family val="2"/>
    </font>
    <font>
      <sz val="10"/>
      <color theme="1"/>
      <name val="Calibri"/>
      <family val="2"/>
      <scheme val="minor"/>
    </font>
    <font>
      <u/>
      <sz val="10"/>
      <color theme="10"/>
      <name val="Arial"/>
      <family val="2"/>
    </font>
    <font>
      <u/>
      <sz val="11"/>
      <color theme="10"/>
      <name val="Arial"/>
      <family val="2"/>
    </font>
    <font>
      <u/>
      <sz val="12"/>
      <color rgb="FF59468D"/>
      <name val="Arial"/>
      <family val="2"/>
    </font>
    <font>
      <sz val="11"/>
      <name val="Calibri"/>
      <family val="2"/>
      <scheme val="minor"/>
    </font>
    <font>
      <sz val="9"/>
      <color theme="0" tint="-0.499984740745262"/>
      <name val="Arial"/>
      <family val="2"/>
    </font>
  </fonts>
  <fills count="1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bgColor indexed="64"/>
      </patternFill>
    </fill>
    <fill>
      <patternFill patternType="solid">
        <fgColor theme="9" tint="0.39997558519241921"/>
        <bgColor indexed="64"/>
      </patternFill>
    </fill>
    <fill>
      <patternFill patternType="solid">
        <fgColor rgb="FFFFFF00"/>
        <bgColor indexed="64"/>
      </patternFill>
    </fill>
    <fill>
      <patternFill patternType="solid">
        <fgColor rgb="FFEEEBF5"/>
        <bgColor indexed="64"/>
      </patternFill>
    </fill>
    <fill>
      <patternFill patternType="solid">
        <fgColor indexed="9"/>
        <bgColor indexed="64"/>
      </patternFill>
    </fill>
    <fill>
      <patternFill patternType="solid">
        <fgColor rgb="FF59468D"/>
        <bgColor indexed="64"/>
      </patternFill>
    </fill>
    <fill>
      <patternFill patternType="solid">
        <fgColor theme="9" tint="0.79998168889431442"/>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auto="1"/>
      </right>
      <top/>
      <bottom/>
      <diagonal/>
    </border>
    <border>
      <left style="thin">
        <color auto="1"/>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bottom style="thin">
        <color theme="0"/>
      </bottom>
      <diagonal/>
    </border>
    <border>
      <left/>
      <right style="thin">
        <color indexed="64"/>
      </right>
      <top/>
      <bottom style="thin">
        <color theme="0"/>
      </bottom>
      <diagonal/>
    </border>
    <border>
      <left style="thin">
        <color indexed="64"/>
      </left>
      <right style="thin">
        <color theme="0"/>
      </right>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s>
  <cellStyleXfs count="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29" fillId="0" borderId="0"/>
    <xf numFmtId="0" fontId="15" fillId="0" borderId="0"/>
    <xf numFmtId="0" fontId="3" fillId="0" borderId="0"/>
    <xf numFmtId="0" fontId="5" fillId="0" borderId="0"/>
  </cellStyleXfs>
  <cellXfs count="476">
    <xf numFmtId="0" fontId="0" fillId="0" borderId="0" xfId="0"/>
    <xf numFmtId="0" fontId="0" fillId="2" borderId="0" xfId="0" applyFill="1" applyProtection="1">
      <protection hidden="1"/>
    </xf>
    <xf numFmtId="0" fontId="7" fillId="2" borderId="0" xfId="0" applyFont="1" applyFill="1" applyAlignment="1" applyProtection="1">
      <alignment horizontal="center"/>
      <protection hidden="1"/>
    </xf>
    <xf numFmtId="0" fontId="9" fillId="2" borderId="0" xfId="0" applyFont="1" applyFill="1" applyProtection="1">
      <protection hidden="1"/>
    </xf>
    <xf numFmtId="0" fontId="0" fillId="2" borderId="0" xfId="0" applyFill="1" applyAlignment="1" applyProtection="1">
      <alignment vertical="center"/>
      <protection hidden="1"/>
    </xf>
    <xf numFmtId="0" fontId="8" fillId="2" borderId="0" xfId="0" applyFont="1" applyFill="1" applyProtection="1">
      <protection hidden="1"/>
    </xf>
    <xf numFmtId="0" fontId="10" fillId="4" borderId="7" xfId="0" applyFont="1" applyFill="1" applyBorder="1" applyAlignment="1" applyProtection="1">
      <alignment vertical="top"/>
      <protection hidden="1"/>
    </xf>
    <xf numFmtId="0" fontId="10" fillId="4" borderId="8" xfId="0" applyFont="1" applyFill="1" applyBorder="1" applyAlignment="1" applyProtection="1">
      <alignment vertical="top"/>
      <protection hidden="1"/>
    </xf>
    <xf numFmtId="0" fontId="11" fillId="4" borderId="8" xfId="0" applyFont="1" applyFill="1" applyBorder="1" applyAlignment="1" applyProtection="1">
      <alignment vertical="top"/>
      <protection hidden="1"/>
    </xf>
    <xf numFmtId="0" fontId="0" fillId="4" borderId="8" xfId="0" applyFill="1" applyBorder="1" applyProtection="1">
      <protection hidden="1"/>
    </xf>
    <xf numFmtId="0" fontId="0" fillId="4" borderId="14" xfId="0" applyFill="1" applyBorder="1" applyProtection="1">
      <protection hidden="1"/>
    </xf>
    <xf numFmtId="0" fontId="11" fillId="4" borderId="0" xfId="0" applyFont="1" applyFill="1" applyAlignment="1" applyProtection="1">
      <alignment vertical="top" wrapText="1"/>
      <protection hidden="1"/>
    </xf>
    <xf numFmtId="0" fontId="0" fillId="4" borderId="0" xfId="0" applyFill="1" applyProtection="1">
      <protection hidden="1"/>
    </xf>
    <xf numFmtId="0" fontId="0" fillId="4" borderId="9" xfId="0" applyFill="1" applyBorder="1" applyProtection="1">
      <protection hidden="1"/>
    </xf>
    <xf numFmtId="0" fontId="8" fillId="4" borderId="10" xfId="0" applyFont="1" applyFill="1" applyBorder="1" applyAlignment="1" applyProtection="1">
      <alignment horizontal="left"/>
      <protection hidden="1"/>
    </xf>
    <xf numFmtId="165" fontId="0" fillId="2" borderId="0" xfId="3" applyNumberFormat="1" applyFont="1" applyFill="1" applyProtection="1">
      <protection hidden="1"/>
    </xf>
    <xf numFmtId="0" fontId="8" fillId="2" borderId="4" xfId="0" applyFont="1" applyFill="1" applyBorder="1" applyAlignment="1" applyProtection="1">
      <alignment horizontal="left" vertical="top"/>
      <protection hidden="1"/>
    </xf>
    <xf numFmtId="0" fontId="8" fillId="2" borderId="12" xfId="0" applyFont="1" applyFill="1" applyBorder="1" applyAlignment="1" applyProtection="1">
      <alignment horizontal="left" vertical="top"/>
      <protection hidden="1"/>
    </xf>
    <xf numFmtId="0" fontId="8" fillId="2" borderId="5" xfId="0" applyFont="1" applyFill="1" applyBorder="1" applyAlignment="1" applyProtection="1">
      <alignment horizontal="left" vertical="top"/>
      <protection hidden="1"/>
    </xf>
    <xf numFmtId="0" fontId="13" fillId="4" borderId="8" xfId="1" applyNumberFormat="1" applyFont="1" applyFill="1" applyBorder="1" applyAlignment="1" applyProtection="1">
      <alignment vertical="top"/>
      <protection hidden="1"/>
    </xf>
    <xf numFmtId="0" fontId="8" fillId="4" borderId="8" xfId="0" applyFont="1" applyFill="1" applyBorder="1" applyProtection="1">
      <protection hidden="1"/>
    </xf>
    <xf numFmtId="0" fontId="8" fillId="4" borderId="14" xfId="0" applyFont="1" applyFill="1" applyBorder="1" applyProtection="1">
      <protection hidden="1"/>
    </xf>
    <xf numFmtId="0" fontId="17" fillId="4" borderId="0" xfId="0" applyFont="1" applyFill="1" applyAlignment="1" applyProtection="1">
      <alignment vertical="top"/>
      <protection hidden="1"/>
    </xf>
    <xf numFmtId="0" fontId="8" fillId="4" borderId="0" xfId="0" applyFont="1" applyFill="1" applyAlignment="1" applyProtection="1">
      <alignment wrapText="1"/>
      <protection hidden="1"/>
    </xf>
    <xf numFmtId="0" fontId="8" fillId="4" borderId="9" xfId="0" applyFont="1" applyFill="1" applyBorder="1" applyAlignment="1" applyProtection="1">
      <alignment wrapText="1"/>
      <protection hidden="1"/>
    </xf>
    <xf numFmtId="0" fontId="17" fillId="2" borderId="7" xfId="0" applyFont="1" applyFill="1" applyBorder="1" applyAlignment="1" applyProtection="1">
      <alignment vertical="top"/>
      <protection hidden="1"/>
    </xf>
    <xf numFmtId="0" fontId="17" fillId="2" borderId="8" xfId="0" applyFont="1" applyFill="1" applyBorder="1" applyAlignment="1" applyProtection="1">
      <alignment vertical="top"/>
      <protection hidden="1"/>
    </xf>
    <xf numFmtId="165" fontId="18" fillId="2" borderId="12" xfId="3" applyNumberFormat="1" applyFont="1" applyFill="1" applyBorder="1" applyAlignment="1" applyProtection="1">
      <alignment horizontal="right" wrapText="1"/>
      <protection hidden="1"/>
    </xf>
    <xf numFmtId="165" fontId="18" fillId="2" borderId="13" xfId="3" applyNumberFormat="1" applyFont="1" applyFill="1" applyBorder="1" applyAlignment="1" applyProtection="1">
      <alignment horizontal="right" wrapText="1"/>
      <protection hidden="1"/>
    </xf>
    <xf numFmtId="0" fontId="17" fillId="2" borderId="10" xfId="0" applyFont="1" applyFill="1" applyBorder="1" applyAlignment="1" applyProtection="1">
      <alignment vertical="top"/>
      <protection hidden="1"/>
    </xf>
    <xf numFmtId="0" fontId="17" fillId="2" borderId="0" xfId="0" applyFont="1" applyFill="1" applyAlignment="1" applyProtection="1">
      <alignment vertical="top"/>
      <protection hidden="1"/>
    </xf>
    <xf numFmtId="0" fontId="0" fillId="2" borderId="7" xfId="0" applyFill="1" applyBorder="1" applyProtection="1">
      <protection hidden="1"/>
    </xf>
    <xf numFmtId="0" fontId="0" fillId="2" borderId="8" xfId="0" applyFill="1" applyBorder="1" applyProtection="1">
      <protection hidden="1"/>
    </xf>
    <xf numFmtId="0" fontId="0" fillId="2" borderId="11" xfId="0" applyFill="1" applyBorder="1" applyProtection="1">
      <protection hidden="1"/>
    </xf>
    <xf numFmtId="0" fontId="0" fillId="2" borderId="12" xfId="0" applyFill="1" applyBorder="1" applyProtection="1">
      <protection hidden="1"/>
    </xf>
    <xf numFmtId="0" fontId="10" fillId="4" borderId="7" xfId="0" applyFont="1" applyFill="1" applyBorder="1" applyAlignment="1" applyProtection="1">
      <alignment horizontal="left" vertical="top"/>
      <protection hidden="1"/>
    </xf>
    <xf numFmtId="0" fontId="10" fillId="4" borderId="8" xfId="0" applyFont="1" applyFill="1" applyBorder="1" applyAlignment="1" applyProtection="1">
      <alignment horizontal="left" vertical="top"/>
      <protection hidden="1"/>
    </xf>
    <xf numFmtId="0" fontId="11" fillId="4" borderId="8" xfId="0" applyFont="1" applyFill="1" applyBorder="1" applyAlignment="1" applyProtection="1">
      <alignment horizontal="left" vertical="top"/>
      <protection hidden="1"/>
    </xf>
    <xf numFmtId="0" fontId="11" fillId="4" borderId="14" xfId="0" applyFont="1" applyFill="1" applyBorder="1" applyAlignment="1" applyProtection="1">
      <alignment vertical="top"/>
      <protection hidden="1"/>
    </xf>
    <xf numFmtId="0" fontId="11" fillId="4" borderId="9" xfId="0" applyFont="1" applyFill="1" applyBorder="1" applyAlignment="1" applyProtection="1">
      <alignment horizontal="left" vertical="top" wrapText="1"/>
      <protection hidden="1"/>
    </xf>
    <xf numFmtId="0" fontId="19" fillId="4" borderId="10" xfId="0" applyFont="1" applyFill="1" applyBorder="1" applyAlignment="1" applyProtection="1">
      <alignment vertical="top"/>
      <protection hidden="1"/>
    </xf>
    <xf numFmtId="0" fontId="13" fillId="4" borderId="0" xfId="0" applyFont="1" applyFill="1" applyAlignment="1" applyProtection="1">
      <alignment horizontal="right" wrapText="1"/>
      <protection hidden="1"/>
    </xf>
    <xf numFmtId="0" fontId="8" fillId="4" borderId="0" xfId="2" applyNumberFormat="1" applyFont="1" applyFill="1" applyBorder="1" applyAlignment="1" applyProtection="1">
      <alignment horizontal="right" wrapText="1"/>
      <protection hidden="1"/>
    </xf>
    <xf numFmtId="0" fontId="13" fillId="4" borderId="9" xfId="0" applyFont="1" applyFill="1" applyBorder="1" applyAlignment="1" applyProtection="1">
      <alignment horizontal="right" wrapText="1"/>
      <protection hidden="1"/>
    </xf>
    <xf numFmtId="166" fontId="18" fillId="2" borderId="0" xfId="0" applyNumberFormat="1" applyFont="1" applyFill="1" applyAlignment="1" applyProtection="1">
      <alignment horizontal="right" wrapText="1"/>
      <protection hidden="1"/>
    </xf>
    <xf numFmtId="0" fontId="22" fillId="2" borderId="5" xfId="0" applyFont="1" applyFill="1" applyBorder="1" applyAlignment="1" applyProtection="1">
      <alignment vertical="top"/>
      <protection hidden="1"/>
    </xf>
    <xf numFmtId="0" fontId="23" fillId="2" borderId="10" xfId="1" applyNumberFormat="1" applyFont="1" applyFill="1" applyBorder="1" applyAlignment="1" applyProtection="1">
      <alignment horizontal="left"/>
      <protection hidden="1"/>
    </xf>
    <xf numFmtId="0" fontId="23" fillId="2" borderId="0" xfId="1" applyNumberFormat="1" applyFont="1" applyFill="1" applyBorder="1" applyAlignment="1" applyProtection="1">
      <alignment horizontal="left"/>
      <protection hidden="1"/>
    </xf>
    <xf numFmtId="0" fontId="0" fillId="2" borderId="14" xfId="0" applyFill="1" applyBorder="1" applyProtection="1">
      <protection hidden="1"/>
    </xf>
    <xf numFmtId="0" fontId="0" fillId="2" borderId="9" xfId="0" applyFill="1" applyBorder="1" applyProtection="1">
      <protection hidden="1"/>
    </xf>
    <xf numFmtId="0" fontId="23" fillId="2" borderId="9" xfId="0" applyFont="1" applyFill="1" applyBorder="1" applyAlignment="1" applyProtection="1">
      <alignment horizontal="left" vertical="top" wrapText="1"/>
      <protection hidden="1"/>
    </xf>
    <xf numFmtId="0" fontId="23" fillId="2" borderId="13" xfId="0" applyFont="1" applyFill="1" applyBorder="1" applyAlignment="1" applyProtection="1">
      <alignment horizontal="left" vertical="top" wrapText="1"/>
      <protection hidden="1"/>
    </xf>
    <xf numFmtId="0" fontId="11" fillId="4" borderId="0" xfId="0" applyFont="1" applyFill="1" applyAlignment="1" applyProtection="1">
      <alignment horizontal="left" vertical="top" wrapText="1"/>
      <protection hidden="1"/>
    </xf>
    <xf numFmtId="0" fontId="26" fillId="4" borderId="11" xfId="0" applyFont="1" applyFill="1" applyBorder="1" applyProtection="1">
      <protection hidden="1"/>
    </xf>
    <xf numFmtId="0" fontId="8" fillId="4" borderId="12" xfId="0" applyFont="1" applyFill="1" applyBorder="1" applyAlignment="1" applyProtection="1">
      <alignment wrapText="1"/>
      <protection hidden="1"/>
    </xf>
    <xf numFmtId="0" fontId="8" fillId="4" borderId="13" xfId="0" applyFont="1" applyFill="1" applyBorder="1" applyAlignment="1" applyProtection="1">
      <alignment wrapText="1"/>
      <protection hidden="1"/>
    </xf>
    <xf numFmtId="0" fontId="17" fillId="2" borderId="4" xfId="0" applyFont="1" applyFill="1" applyBorder="1" applyAlignment="1" applyProtection="1">
      <alignment vertical="top"/>
      <protection hidden="1"/>
    </xf>
    <xf numFmtId="0" fontId="17" fillId="2" borderId="5" xfId="0" applyFont="1" applyFill="1" applyBorder="1" applyAlignment="1" applyProtection="1">
      <alignment vertical="top"/>
      <protection hidden="1"/>
    </xf>
    <xf numFmtId="166" fontId="18" fillId="2" borderId="0" xfId="0" applyNumberFormat="1" applyFont="1" applyFill="1" applyAlignment="1" applyProtection="1">
      <alignment wrapText="1"/>
      <protection hidden="1"/>
    </xf>
    <xf numFmtId="0" fontId="23" fillId="2" borderId="7" xfId="1" applyNumberFormat="1" applyFont="1" applyFill="1" applyBorder="1" applyAlignment="1" applyProtection="1">
      <alignment horizontal="left"/>
      <protection hidden="1"/>
    </xf>
    <xf numFmtId="0" fontId="23" fillId="2" borderId="8" xfId="1" applyNumberFormat="1" applyFont="1" applyFill="1" applyBorder="1" applyAlignment="1" applyProtection="1">
      <alignment horizontal="left"/>
      <protection hidden="1"/>
    </xf>
    <xf numFmtId="0" fontId="27" fillId="4" borderId="0" xfId="0" applyFont="1" applyFill="1" applyAlignment="1" applyProtection="1">
      <alignment vertical="top" wrapText="1"/>
      <protection hidden="1"/>
    </xf>
    <xf numFmtId="0" fontId="27" fillId="4" borderId="9" xfId="0" applyFont="1" applyFill="1" applyBorder="1" applyAlignment="1" applyProtection="1">
      <alignment vertical="top" wrapText="1"/>
      <protection hidden="1"/>
    </xf>
    <xf numFmtId="166" fontId="18" fillId="3" borderId="8" xfId="0" applyNumberFormat="1" applyFont="1" applyFill="1" applyBorder="1" applyAlignment="1" applyProtection="1">
      <alignment wrapText="1"/>
      <protection hidden="1"/>
    </xf>
    <xf numFmtId="0" fontId="0" fillId="2" borderId="13" xfId="0" applyFill="1" applyBorder="1" applyProtection="1">
      <protection hidden="1"/>
    </xf>
    <xf numFmtId="0" fontId="28" fillId="4" borderId="0" xfId="0" applyFont="1" applyFill="1" applyAlignment="1" applyProtection="1">
      <alignment wrapText="1"/>
      <protection hidden="1"/>
    </xf>
    <xf numFmtId="0" fontId="28" fillId="4" borderId="9" xfId="0" applyFont="1" applyFill="1" applyBorder="1" applyAlignment="1" applyProtection="1">
      <alignment wrapText="1"/>
      <protection hidden="1"/>
    </xf>
    <xf numFmtId="0" fontId="8" fillId="4" borderId="8" xfId="0" applyFont="1" applyFill="1" applyBorder="1" applyAlignment="1" applyProtection="1">
      <alignment vertical="top"/>
      <protection hidden="1"/>
    </xf>
    <xf numFmtId="0" fontId="8" fillId="4" borderId="14" xfId="0" applyFont="1" applyFill="1" applyBorder="1" applyAlignment="1" applyProtection="1">
      <alignment vertical="top"/>
      <protection hidden="1"/>
    </xf>
    <xf numFmtId="0" fontId="26" fillId="4" borderId="11" xfId="0" applyFont="1" applyFill="1" applyBorder="1" applyAlignment="1" applyProtection="1">
      <alignment vertical="top" wrapText="1"/>
      <protection hidden="1"/>
    </xf>
    <xf numFmtId="0" fontId="13" fillId="4" borderId="12" xfId="0" applyFont="1" applyFill="1" applyBorder="1" applyAlignment="1" applyProtection="1">
      <alignment wrapText="1"/>
      <protection hidden="1"/>
    </xf>
    <xf numFmtId="0" fontId="13" fillId="4" borderId="13" xfId="0" applyFont="1" applyFill="1" applyBorder="1" applyAlignment="1" applyProtection="1">
      <alignment wrapText="1"/>
      <protection hidden="1"/>
    </xf>
    <xf numFmtId="0" fontId="17" fillId="2" borderId="11" xfId="0" applyFont="1" applyFill="1" applyBorder="1" applyAlignment="1" applyProtection="1">
      <alignment vertical="top"/>
      <protection hidden="1"/>
    </xf>
    <xf numFmtId="164" fontId="18" fillId="3" borderId="8" xfId="1" applyNumberFormat="1" applyFont="1" applyFill="1" applyBorder="1" applyAlignment="1" applyProtection="1">
      <alignment horizontal="right" wrapText="1"/>
      <protection hidden="1"/>
    </xf>
    <xf numFmtId="164" fontId="18" fillId="3" borderId="14" xfId="1" applyNumberFormat="1" applyFont="1" applyFill="1" applyBorder="1" applyAlignment="1" applyProtection="1">
      <alignment horizontal="right" wrapText="1"/>
      <protection hidden="1"/>
    </xf>
    <xf numFmtId="164" fontId="18" fillId="3" borderId="0" xfId="1" applyNumberFormat="1" applyFont="1" applyFill="1" applyBorder="1" applyAlignment="1" applyProtection="1">
      <alignment horizontal="right" wrapText="1"/>
      <protection hidden="1"/>
    </xf>
    <xf numFmtId="164" fontId="18" fillId="3" borderId="9" xfId="1" applyNumberFormat="1" applyFont="1" applyFill="1" applyBorder="1" applyAlignment="1" applyProtection="1">
      <alignment horizontal="right" wrapText="1"/>
      <protection hidden="1"/>
    </xf>
    <xf numFmtId="164" fontId="18" fillId="3" borderId="12" xfId="1" applyNumberFormat="1" applyFont="1" applyFill="1" applyBorder="1" applyAlignment="1" applyProtection="1">
      <alignment horizontal="right" wrapText="1"/>
      <protection hidden="1"/>
    </xf>
    <xf numFmtId="164" fontId="18" fillId="3" borderId="13" xfId="1" applyNumberFormat="1" applyFont="1" applyFill="1" applyBorder="1" applyAlignment="1" applyProtection="1">
      <alignment horizontal="right" wrapText="1"/>
      <protection hidden="1"/>
    </xf>
    <xf numFmtId="0" fontId="17" fillId="2" borderId="12" xfId="0" applyFont="1" applyFill="1" applyBorder="1" applyAlignment="1" applyProtection="1">
      <alignment vertical="top"/>
      <protection hidden="1"/>
    </xf>
    <xf numFmtId="3" fontId="18" fillId="2" borderId="8" xfId="1" applyNumberFormat="1" applyFont="1" applyFill="1" applyBorder="1" applyAlignment="1" applyProtection="1">
      <alignment horizontal="right" wrapText="1"/>
      <protection hidden="1"/>
    </xf>
    <xf numFmtId="3" fontId="18" fillId="2" borderId="14" xfId="1" applyNumberFormat="1" applyFont="1" applyFill="1" applyBorder="1" applyAlignment="1" applyProtection="1">
      <alignment horizontal="right" wrapText="1"/>
      <protection hidden="1"/>
    </xf>
    <xf numFmtId="3" fontId="18" fillId="2" borderId="0" xfId="1" applyNumberFormat="1" applyFont="1" applyFill="1" applyBorder="1" applyAlignment="1" applyProtection="1">
      <alignment horizontal="right" wrapText="1"/>
      <protection hidden="1"/>
    </xf>
    <xf numFmtId="3" fontId="18" fillId="2" borderId="9" xfId="1" applyNumberFormat="1" applyFont="1" applyFill="1" applyBorder="1" applyAlignment="1" applyProtection="1">
      <alignment horizontal="right" wrapText="1"/>
      <protection hidden="1"/>
    </xf>
    <xf numFmtId="3" fontId="18" fillId="2" borderId="12" xfId="1" applyNumberFormat="1" applyFont="1" applyFill="1" applyBorder="1" applyAlignment="1" applyProtection="1">
      <alignment horizontal="right" wrapText="1"/>
      <protection hidden="1"/>
    </xf>
    <xf numFmtId="3" fontId="18" fillId="2" borderId="13" xfId="1" applyNumberFormat="1" applyFont="1" applyFill="1" applyBorder="1" applyAlignment="1" applyProtection="1">
      <alignment horizontal="right" wrapText="1"/>
      <protection hidden="1"/>
    </xf>
    <xf numFmtId="0" fontId="10" fillId="4" borderId="14" xfId="0" applyFont="1" applyFill="1" applyBorder="1" applyAlignment="1" applyProtection="1">
      <alignment horizontal="left" vertical="top" wrapText="1"/>
      <protection hidden="1"/>
    </xf>
    <xf numFmtId="0" fontId="13" fillId="4" borderId="0" xfId="0" applyFont="1" applyFill="1" applyAlignment="1" applyProtection="1">
      <alignment wrapText="1"/>
      <protection hidden="1"/>
    </xf>
    <xf numFmtId="0" fontId="18" fillId="2" borderId="4" xfId="0" applyFont="1" applyFill="1" applyBorder="1" applyAlignment="1" applyProtection="1">
      <alignment horizontal="left" vertical="top"/>
      <protection hidden="1"/>
    </xf>
    <xf numFmtId="0" fontId="18" fillId="2" borderId="5" xfId="0" applyFont="1" applyFill="1" applyBorder="1" applyAlignment="1" applyProtection="1">
      <alignment horizontal="left" vertical="top"/>
      <protection hidden="1"/>
    </xf>
    <xf numFmtId="0" fontId="18" fillId="2" borderId="7" xfId="0" applyFont="1" applyFill="1" applyBorder="1" applyAlignment="1" applyProtection="1">
      <alignment horizontal="left"/>
      <protection hidden="1"/>
    </xf>
    <xf numFmtId="0" fontId="18" fillId="2" borderId="8" xfId="0" applyFont="1" applyFill="1" applyBorder="1" applyAlignment="1" applyProtection="1">
      <alignment horizontal="left"/>
      <protection hidden="1"/>
    </xf>
    <xf numFmtId="167" fontId="18" fillId="3" borderId="8" xfId="5" applyNumberFormat="1" applyFont="1" applyFill="1" applyBorder="1" applyAlignment="1" applyProtection="1">
      <alignment horizontal="right" wrapText="1"/>
      <protection hidden="1"/>
    </xf>
    <xf numFmtId="167" fontId="18" fillId="3" borderId="14" xfId="5" applyNumberFormat="1" applyFont="1" applyFill="1" applyBorder="1" applyAlignment="1" applyProtection="1">
      <alignment horizontal="right" wrapText="1"/>
      <protection hidden="1"/>
    </xf>
    <xf numFmtId="0" fontId="18" fillId="2" borderId="11" xfId="0" applyFont="1" applyFill="1" applyBorder="1" applyAlignment="1" applyProtection="1">
      <alignment horizontal="left"/>
      <protection hidden="1"/>
    </xf>
    <xf numFmtId="0" fontId="18" fillId="2" borderId="12" xfId="0" applyFont="1" applyFill="1" applyBorder="1" applyAlignment="1" applyProtection="1">
      <alignment horizontal="left"/>
      <protection hidden="1"/>
    </xf>
    <xf numFmtId="167" fontId="18" fillId="3" borderId="12" xfId="5" applyNumberFormat="1" applyFont="1" applyFill="1" applyBorder="1" applyAlignment="1" applyProtection="1">
      <alignment horizontal="right" wrapText="1"/>
      <protection hidden="1"/>
    </xf>
    <xf numFmtId="167" fontId="18" fillId="3" borderId="13" xfId="5" applyNumberFormat="1" applyFont="1" applyFill="1" applyBorder="1" applyAlignment="1" applyProtection="1">
      <alignment horizontal="right" wrapText="1"/>
      <protection hidden="1"/>
    </xf>
    <xf numFmtId="0" fontId="13" fillId="2" borderId="4" xfId="0" applyFont="1" applyFill="1" applyBorder="1" applyAlignment="1" applyProtection="1">
      <alignment horizontal="left"/>
      <protection hidden="1"/>
    </xf>
    <xf numFmtId="0" fontId="13" fillId="2" borderId="5" xfId="0" applyFont="1" applyFill="1" applyBorder="1" applyAlignment="1" applyProtection="1">
      <alignment horizontal="left"/>
      <protection hidden="1"/>
    </xf>
    <xf numFmtId="167" fontId="13" fillId="3" borderId="5" xfId="5" applyNumberFormat="1" applyFont="1" applyFill="1" applyBorder="1" applyAlignment="1" applyProtection="1">
      <alignment horizontal="right" wrapText="1"/>
      <protection hidden="1"/>
    </xf>
    <xf numFmtId="167" fontId="8" fillId="3" borderId="5" xfId="0" applyNumberFormat="1" applyFont="1" applyFill="1" applyBorder="1" applyAlignment="1" applyProtection="1">
      <alignment horizontal="right" wrapText="1"/>
      <protection hidden="1"/>
    </xf>
    <xf numFmtId="3" fontId="8" fillId="3" borderId="5" xfId="0" applyNumberFormat="1" applyFont="1" applyFill="1" applyBorder="1" applyAlignment="1" applyProtection="1">
      <alignment horizontal="right" wrapText="1"/>
      <protection hidden="1"/>
    </xf>
    <xf numFmtId="3" fontId="8" fillId="3" borderId="6" xfId="0" applyNumberFormat="1" applyFont="1" applyFill="1" applyBorder="1" applyAlignment="1" applyProtection="1">
      <alignment horizontal="right" wrapText="1"/>
      <protection hidden="1"/>
    </xf>
    <xf numFmtId="0" fontId="18" fillId="2" borderId="10" xfId="0" applyFont="1" applyFill="1" applyBorder="1" applyAlignment="1" applyProtection="1">
      <alignment horizontal="left"/>
      <protection hidden="1"/>
    </xf>
    <xf numFmtId="0" fontId="18" fillId="2" borderId="0" xfId="0" applyFont="1" applyFill="1" applyAlignment="1" applyProtection="1">
      <alignment horizontal="left"/>
      <protection hidden="1"/>
    </xf>
    <xf numFmtId="165" fontId="18" fillId="2" borderId="0" xfId="3" applyNumberFormat="1" applyFont="1" applyFill="1" applyBorder="1" applyAlignment="1" applyProtection="1">
      <alignment horizontal="right" wrapText="1"/>
      <protection hidden="1"/>
    </xf>
    <xf numFmtId="167" fontId="18" fillId="2" borderId="0" xfId="5" applyNumberFormat="1" applyFont="1" applyFill="1" applyAlignment="1" applyProtection="1">
      <alignment horizontal="right" wrapText="1"/>
      <protection hidden="1"/>
    </xf>
    <xf numFmtId="167" fontId="18" fillId="2" borderId="9" xfId="5" applyNumberFormat="1" applyFont="1" applyFill="1" applyBorder="1" applyAlignment="1" applyProtection="1">
      <alignment horizontal="right" wrapText="1"/>
      <protection hidden="1"/>
    </xf>
    <xf numFmtId="167" fontId="18" fillId="2" borderId="12" xfId="5" applyNumberFormat="1" applyFont="1" applyFill="1" applyBorder="1" applyAlignment="1" applyProtection="1">
      <alignment horizontal="right" wrapText="1"/>
      <protection hidden="1"/>
    </xf>
    <xf numFmtId="167" fontId="18" fillId="2" borderId="13" xfId="5" applyNumberFormat="1" applyFont="1" applyFill="1" applyBorder="1" applyAlignment="1" applyProtection="1">
      <alignment horizontal="right" wrapText="1"/>
      <protection hidden="1"/>
    </xf>
    <xf numFmtId="0" fontId="13" fillId="2" borderId="11" xfId="0" applyFont="1" applyFill="1" applyBorder="1" applyAlignment="1" applyProtection="1">
      <alignment horizontal="left"/>
      <protection hidden="1"/>
    </xf>
    <xf numFmtId="0" fontId="13" fillId="2" borderId="12" xfId="0" applyFont="1" applyFill="1" applyBorder="1" applyAlignment="1" applyProtection="1">
      <alignment horizontal="left"/>
      <protection hidden="1"/>
    </xf>
    <xf numFmtId="167" fontId="13" fillId="2" borderId="12" xfId="5" applyNumberFormat="1" applyFont="1" applyFill="1" applyBorder="1" applyAlignment="1" applyProtection="1">
      <alignment horizontal="right" wrapText="1"/>
      <protection hidden="1"/>
    </xf>
    <xf numFmtId="167" fontId="13" fillId="2" borderId="13" xfId="5" applyNumberFormat="1" applyFont="1" applyFill="1" applyBorder="1" applyAlignment="1" applyProtection="1">
      <alignment horizontal="right" wrapText="1"/>
      <protection hidden="1"/>
    </xf>
    <xf numFmtId="0" fontId="13" fillId="2" borderId="0" xfId="0" applyFont="1" applyFill="1" applyAlignment="1" applyProtection="1">
      <alignment horizontal="left"/>
      <protection hidden="1"/>
    </xf>
    <xf numFmtId="0" fontId="12" fillId="2" borderId="7" xfId="0" applyFont="1" applyFill="1" applyBorder="1" applyProtection="1">
      <protection hidden="1"/>
    </xf>
    <xf numFmtId="0" fontId="12" fillId="2" borderId="8" xfId="0" applyFont="1" applyFill="1" applyBorder="1" applyProtection="1">
      <protection hidden="1"/>
    </xf>
    <xf numFmtId="167" fontId="18" fillId="2" borderId="8" xfId="5" applyNumberFormat="1" applyFont="1" applyFill="1" applyBorder="1" applyAlignment="1" applyProtection="1">
      <alignment horizontal="center" wrapText="1"/>
      <protection hidden="1"/>
    </xf>
    <xf numFmtId="167" fontId="30" fillId="2" borderId="8" xfId="0" applyNumberFormat="1" applyFont="1" applyFill="1" applyBorder="1" applyAlignment="1" applyProtection="1">
      <alignment wrapText="1"/>
      <protection hidden="1"/>
    </xf>
    <xf numFmtId="0" fontId="30" fillId="2" borderId="8" xfId="0" applyFont="1" applyFill="1" applyBorder="1" applyAlignment="1" applyProtection="1">
      <alignment wrapText="1"/>
      <protection hidden="1"/>
    </xf>
    <xf numFmtId="0" fontId="30" fillId="2" borderId="14" xfId="0" applyFont="1" applyFill="1" applyBorder="1" applyAlignment="1" applyProtection="1">
      <alignment wrapText="1"/>
      <protection hidden="1"/>
    </xf>
    <xf numFmtId="0" fontId="20" fillId="2" borderId="0" xfId="0" applyFont="1" applyFill="1" applyProtection="1">
      <protection hidden="1"/>
    </xf>
    <xf numFmtId="0" fontId="12" fillId="2" borderId="10" xfId="0" applyFont="1" applyFill="1" applyBorder="1" applyProtection="1">
      <protection hidden="1"/>
    </xf>
    <xf numFmtId="0" fontId="12" fillId="2" borderId="0" xfId="0" applyFont="1" applyFill="1" applyProtection="1">
      <protection hidden="1"/>
    </xf>
    <xf numFmtId="167" fontId="18" fillId="2" borderId="0" xfId="5" applyNumberFormat="1" applyFont="1" applyFill="1" applyAlignment="1" applyProtection="1">
      <alignment horizontal="center" wrapText="1"/>
      <protection hidden="1"/>
    </xf>
    <xf numFmtId="167" fontId="30" fillId="2" borderId="0" xfId="0" applyNumberFormat="1" applyFont="1" applyFill="1" applyAlignment="1" applyProtection="1">
      <alignment wrapText="1"/>
      <protection hidden="1"/>
    </xf>
    <xf numFmtId="0" fontId="30" fillId="2" borderId="0" xfId="0" applyFont="1" applyFill="1" applyAlignment="1" applyProtection="1">
      <alignment wrapText="1"/>
      <protection hidden="1"/>
    </xf>
    <xf numFmtId="0" fontId="30" fillId="2" borderId="9" xfId="0" applyFont="1" applyFill="1" applyBorder="1" applyAlignment="1" applyProtection="1">
      <alignment wrapText="1"/>
      <protection hidden="1"/>
    </xf>
    <xf numFmtId="0" fontId="12" fillId="2" borderId="11" xfId="0" applyFont="1" applyFill="1" applyBorder="1" applyProtection="1">
      <protection hidden="1"/>
    </xf>
    <xf numFmtId="0" fontId="12" fillId="2" borderId="12" xfId="0" applyFont="1" applyFill="1" applyBorder="1" applyProtection="1">
      <protection hidden="1"/>
    </xf>
    <xf numFmtId="0" fontId="18" fillId="2" borderId="12" xfId="5" applyFont="1" applyFill="1" applyBorder="1" applyAlignment="1" applyProtection="1">
      <alignment horizontal="center" wrapText="1"/>
      <protection hidden="1"/>
    </xf>
    <xf numFmtId="0" fontId="30" fillId="2" borderId="12" xfId="0" applyFont="1" applyFill="1" applyBorder="1" applyAlignment="1" applyProtection="1">
      <alignment wrapText="1"/>
      <protection hidden="1"/>
    </xf>
    <xf numFmtId="0" fontId="30" fillId="2" borderId="13" xfId="0" applyFont="1" applyFill="1" applyBorder="1" applyAlignment="1" applyProtection="1">
      <alignment wrapText="1"/>
      <protection hidden="1"/>
    </xf>
    <xf numFmtId="0" fontId="33" fillId="0" borderId="0" xfId="0" applyFont="1"/>
    <xf numFmtId="0" fontId="33" fillId="5" borderId="15" xfId="0" applyFont="1" applyFill="1" applyBorder="1" applyAlignment="1">
      <alignment wrapText="1"/>
    </xf>
    <xf numFmtId="0" fontId="33" fillId="6" borderId="15" xfId="0" applyFont="1" applyFill="1" applyBorder="1" applyAlignment="1">
      <alignment wrapText="1"/>
    </xf>
    <xf numFmtId="0" fontId="33" fillId="7" borderId="15" xfId="0" applyFont="1" applyFill="1" applyBorder="1" applyAlignment="1">
      <alignment wrapText="1"/>
    </xf>
    <xf numFmtId="0" fontId="33" fillId="7" borderId="15" xfId="0" applyFont="1" applyFill="1" applyBorder="1" applyAlignment="1">
      <alignment horizontal="left" wrapText="1"/>
    </xf>
    <xf numFmtId="0" fontId="33" fillId="8" borderId="15" xfId="0" applyFont="1" applyFill="1" applyBorder="1" applyAlignment="1">
      <alignment wrapText="1"/>
    </xf>
    <xf numFmtId="0" fontId="33" fillId="9" borderId="15" xfId="0" applyFont="1" applyFill="1" applyBorder="1" applyAlignment="1">
      <alignment wrapText="1"/>
    </xf>
    <xf numFmtId="0" fontId="33" fillId="10" borderId="15" xfId="0" applyFont="1" applyFill="1" applyBorder="1" applyAlignment="1">
      <alignment wrapText="1"/>
    </xf>
    <xf numFmtId="0" fontId="33" fillId="11" borderId="15" xfId="0" applyFont="1" applyFill="1" applyBorder="1" applyAlignment="1">
      <alignment wrapText="1"/>
    </xf>
    <xf numFmtId="0" fontId="33" fillId="12" borderId="15" xfId="0" applyFont="1" applyFill="1" applyBorder="1" applyAlignment="1">
      <alignment horizontal="right" wrapText="1"/>
    </xf>
    <xf numFmtId="0" fontId="8" fillId="0" borderId="0" xfId="0" applyFont="1"/>
    <xf numFmtId="0" fontId="15" fillId="0" borderId="0" xfId="0" applyFont="1"/>
    <xf numFmtId="0" fontId="15" fillId="13" borderId="17" xfId="0" applyFont="1" applyFill="1" applyBorder="1"/>
    <xf numFmtId="0" fontId="15" fillId="5" borderId="18" xfId="0" applyFont="1" applyFill="1" applyBorder="1" applyAlignment="1">
      <alignment wrapText="1"/>
    </xf>
    <xf numFmtId="0" fontId="15" fillId="6" borderId="18" xfId="0" applyFont="1" applyFill="1" applyBorder="1" applyAlignment="1">
      <alignment wrapText="1"/>
    </xf>
    <xf numFmtId="0" fontId="15" fillId="7" borderId="18" xfId="0" applyFont="1" applyFill="1" applyBorder="1" applyAlignment="1">
      <alignment wrapText="1"/>
    </xf>
    <xf numFmtId="0" fontId="15" fillId="7" borderId="18" xfId="0" applyFont="1" applyFill="1" applyBorder="1" applyAlignment="1">
      <alignment horizontal="left" wrapText="1"/>
    </xf>
    <xf numFmtId="0" fontId="15" fillId="8" borderId="18" xfId="0" applyFont="1" applyFill="1" applyBorder="1" applyAlignment="1">
      <alignment wrapText="1"/>
    </xf>
    <xf numFmtId="0" fontId="15" fillId="9" borderId="18" xfId="0" applyFont="1" applyFill="1" applyBorder="1" applyAlignment="1">
      <alignment wrapText="1"/>
    </xf>
    <xf numFmtId="0" fontId="15" fillId="10" borderId="18" xfId="0" applyFont="1" applyFill="1" applyBorder="1" applyAlignment="1">
      <alignment wrapText="1"/>
    </xf>
    <xf numFmtId="0" fontId="15" fillId="11" borderId="18" xfId="0" applyFont="1" applyFill="1" applyBorder="1" applyAlignment="1">
      <alignment wrapText="1"/>
    </xf>
    <xf numFmtId="0" fontId="15" fillId="12" borderId="18" xfId="0" applyFont="1" applyFill="1" applyBorder="1" applyAlignment="1">
      <alignment horizontal="right" wrapText="1"/>
    </xf>
    <xf numFmtId="0" fontId="8" fillId="2" borderId="0" xfId="0" applyFont="1" applyFill="1"/>
    <xf numFmtId="9" fontId="18" fillId="0" borderId="17" xfId="3" applyFont="1" applyFill="1" applyBorder="1" applyAlignment="1" applyProtection="1">
      <alignment horizontal="right" wrapText="1"/>
      <protection hidden="1"/>
    </xf>
    <xf numFmtId="0" fontId="28" fillId="0" borderId="0" xfId="0" applyFont="1" applyFill="1" applyBorder="1"/>
    <xf numFmtId="0" fontId="8" fillId="0" borderId="0" xfId="0" applyFont="1" applyFill="1" applyBorder="1"/>
    <xf numFmtId="0" fontId="28" fillId="0" borderId="0" xfId="0" applyFont="1" applyFill="1" applyBorder="1" applyAlignment="1">
      <alignment horizontal="left"/>
    </xf>
    <xf numFmtId="0" fontId="8" fillId="5" borderId="17" xfId="0" applyFont="1" applyFill="1" applyBorder="1"/>
    <xf numFmtId="0" fontId="8" fillId="8" borderId="17" xfId="0" applyFont="1" applyFill="1" applyBorder="1"/>
    <xf numFmtId="0" fontId="35" fillId="8" borderId="17" xfId="0" applyFont="1" applyFill="1" applyBorder="1"/>
    <xf numFmtId="0" fontId="15" fillId="2" borderId="10" xfId="0" applyFont="1" applyFill="1" applyBorder="1" applyAlignment="1" applyProtection="1">
      <alignment horizontal="left"/>
      <protection hidden="1"/>
    </xf>
    <xf numFmtId="0" fontId="15" fillId="2" borderId="0" xfId="0" applyFont="1" applyFill="1" applyAlignment="1" applyProtection="1">
      <alignment horizontal="left"/>
      <protection hidden="1"/>
    </xf>
    <xf numFmtId="165" fontId="15" fillId="2" borderId="0" xfId="3" applyNumberFormat="1" applyFont="1" applyFill="1" applyBorder="1" applyAlignment="1" applyProtection="1">
      <alignment horizontal="right" wrapText="1"/>
      <protection hidden="1"/>
    </xf>
    <xf numFmtId="165" fontId="15" fillId="2" borderId="9" xfId="3" applyNumberFormat="1" applyFont="1" applyFill="1" applyBorder="1" applyAlignment="1" applyProtection="1">
      <alignment horizontal="right" wrapText="1"/>
      <protection hidden="1"/>
    </xf>
    <xf numFmtId="0" fontId="17" fillId="4" borderId="5" xfId="0" applyFont="1" applyFill="1" applyBorder="1" applyAlignment="1" applyProtection="1">
      <alignment horizontal="right"/>
      <protection hidden="1"/>
    </xf>
    <xf numFmtId="0" fontId="17" fillId="4" borderId="6" xfId="0" applyFont="1" applyFill="1" applyBorder="1" applyAlignment="1" applyProtection="1">
      <alignment horizontal="right"/>
      <protection hidden="1"/>
    </xf>
    <xf numFmtId="0" fontId="0" fillId="2" borderId="0" xfId="0" applyFill="1"/>
    <xf numFmtId="0" fontId="36" fillId="0" borderId="0" xfId="4" applyFont="1" applyFill="1"/>
    <xf numFmtId="0" fontId="37" fillId="2" borderId="0" xfId="0" applyFont="1" applyFill="1" applyAlignment="1">
      <alignment horizontal="center" vertical="center" readingOrder="1"/>
    </xf>
    <xf numFmtId="0" fontId="38" fillId="0" borderId="0" xfId="4" applyFont="1" applyFill="1"/>
    <xf numFmtId="0" fontId="39" fillId="2" borderId="0" xfId="0" applyFont="1" applyFill="1" applyAlignment="1">
      <alignment horizontal="center" vertical="center" readingOrder="1"/>
    </xf>
    <xf numFmtId="0" fontId="40" fillId="0" borderId="0" xfId="4" applyFont="1" applyFill="1"/>
    <xf numFmtId="0" fontId="41" fillId="2" borderId="0" xfId="0" applyFont="1" applyFill="1"/>
    <xf numFmtId="0" fontId="42" fillId="2" borderId="0" xfId="0" applyFont="1" applyFill="1" applyAlignment="1">
      <alignment horizontal="center"/>
    </xf>
    <xf numFmtId="0" fontId="43" fillId="2" borderId="0" xfId="0" applyFont="1" applyFill="1" applyAlignment="1">
      <alignment horizontal="center"/>
    </xf>
    <xf numFmtId="0" fontId="8" fillId="2" borderId="0" xfId="0" applyFont="1" applyFill="1" applyAlignment="1">
      <alignment horizontal="center"/>
    </xf>
    <xf numFmtId="0" fontId="44" fillId="2" borderId="0" xfId="0" applyFont="1" applyFill="1" applyAlignment="1">
      <alignment horizontal="center"/>
    </xf>
    <xf numFmtId="0" fontId="45" fillId="2" borderId="0" xfId="0" applyFont="1" applyFill="1"/>
    <xf numFmtId="0" fontId="7" fillId="2" borderId="0" xfId="0" applyFont="1" applyFill="1"/>
    <xf numFmtId="0" fontId="51" fillId="2" borderId="0" xfId="0" applyFont="1" applyFill="1" applyAlignment="1">
      <alignment horizontal="left" vertical="center"/>
    </xf>
    <xf numFmtId="0" fontId="51" fillId="2" borderId="0" xfId="0" applyFont="1" applyFill="1" applyAlignment="1">
      <alignment vertical="center"/>
    </xf>
    <xf numFmtId="0" fontId="51" fillId="2" borderId="0" xfId="0" applyFont="1" applyFill="1"/>
    <xf numFmtId="0" fontId="46" fillId="2" borderId="0" xfId="0" applyFont="1" applyFill="1"/>
    <xf numFmtId="0" fontId="0" fillId="0" borderId="0" xfId="0"/>
    <xf numFmtId="0" fontId="46" fillId="2" borderId="0" xfId="0" applyFont="1" applyFill="1" applyAlignment="1">
      <alignment horizontal="center"/>
    </xf>
    <xf numFmtId="0" fontId="53" fillId="2" borderId="0" xfId="4" applyFont="1" applyFill="1"/>
    <xf numFmtId="0" fontId="15" fillId="2" borderId="7" xfId="0" applyFont="1" applyFill="1" applyBorder="1" applyAlignment="1" applyProtection="1">
      <alignment vertical="center"/>
      <protection hidden="1"/>
    </xf>
    <xf numFmtId="0" fontId="15" fillId="2" borderId="11" xfId="0" applyFont="1" applyFill="1" applyBorder="1" applyAlignment="1" applyProtection="1">
      <alignment vertical="center"/>
      <protection hidden="1"/>
    </xf>
    <xf numFmtId="0" fontId="15" fillId="2" borderId="10" xfId="0" applyFont="1" applyFill="1" applyBorder="1" applyAlignment="1" applyProtection="1">
      <alignment vertical="center"/>
      <protection hidden="1"/>
    </xf>
    <xf numFmtId="0" fontId="15" fillId="4" borderId="4" xfId="0" applyFont="1" applyFill="1" applyBorder="1" applyProtection="1">
      <protection hidden="1"/>
    </xf>
    <xf numFmtId="0" fontId="15" fillId="4" borderId="5" xfId="0" applyFont="1" applyFill="1" applyBorder="1" applyProtection="1">
      <protection hidden="1"/>
    </xf>
    <xf numFmtId="0" fontId="15" fillId="2" borderId="0" xfId="0" applyFont="1" applyFill="1" applyProtection="1">
      <protection hidden="1"/>
    </xf>
    <xf numFmtId="0" fontId="15" fillId="2" borderId="8" xfId="0" applyFont="1" applyFill="1" applyBorder="1" applyAlignment="1" applyProtection="1">
      <alignment vertical="center"/>
      <protection hidden="1"/>
    </xf>
    <xf numFmtId="3" fontId="15" fillId="2" borderId="0" xfId="0" applyNumberFormat="1" applyFont="1" applyFill="1" applyAlignment="1" applyProtection="1">
      <alignment vertical="center"/>
      <protection hidden="1"/>
    </xf>
    <xf numFmtId="3" fontId="15" fillId="2" borderId="9" xfId="0" applyNumberFormat="1"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9" xfId="0" applyFont="1" applyFill="1" applyBorder="1" applyAlignment="1" applyProtection="1">
      <alignment vertical="center"/>
      <protection hidden="1"/>
    </xf>
    <xf numFmtId="0" fontId="15" fillId="2" borderId="12" xfId="0" applyFont="1" applyFill="1" applyBorder="1" applyAlignment="1" applyProtection="1">
      <alignment vertical="center"/>
      <protection hidden="1"/>
    </xf>
    <xf numFmtId="3" fontId="15" fillId="2" borderId="12" xfId="0" applyNumberFormat="1" applyFont="1" applyFill="1" applyBorder="1" applyAlignment="1" applyProtection="1">
      <alignment vertical="center"/>
      <protection hidden="1"/>
    </xf>
    <xf numFmtId="3" fontId="15" fillId="2" borderId="13" xfId="0" applyNumberFormat="1" applyFont="1" applyFill="1" applyBorder="1" applyAlignment="1" applyProtection="1">
      <alignment vertical="center"/>
      <protection hidden="1"/>
    </xf>
    <xf numFmtId="0" fontId="15" fillId="2" borderId="13" xfId="0" applyFont="1" applyFill="1" applyBorder="1" applyAlignment="1" applyProtection="1">
      <alignment vertical="center"/>
      <protection hidden="1"/>
    </xf>
    <xf numFmtId="164" fontId="15" fillId="3" borderId="5" xfId="0" applyNumberFormat="1" applyFont="1" applyFill="1" applyBorder="1" applyAlignment="1" applyProtection="1">
      <alignment vertical="top" wrapText="1"/>
      <protection hidden="1"/>
    </xf>
    <xf numFmtId="164" fontId="15" fillId="3" borderId="6" xfId="0" applyNumberFormat="1" applyFont="1" applyFill="1" applyBorder="1" applyAlignment="1" applyProtection="1">
      <alignment vertical="top" wrapText="1"/>
      <protection hidden="1"/>
    </xf>
    <xf numFmtId="164" fontId="15" fillId="3" borderId="8" xfId="0" applyNumberFormat="1" applyFont="1" applyFill="1" applyBorder="1" applyAlignment="1" applyProtection="1">
      <alignment vertical="top" wrapText="1"/>
      <protection hidden="1"/>
    </xf>
    <xf numFmtId="164" fontId="15" fillId="3" borderId="14" xfId="0" applyNumberFormat="1" applyFont="1" applyFill="1" applyBorder="1" applyAlignment="1" applyProtection="1">
      <alignment vertical="top" wrapText="1"/>
      <protection hidden="1"/>
    </xf>
    <xf numFmtId="164" fontId="15" fillId="3" borderId="0" xfId="0" applyNumberFormat="1" applyFont="1" applyFill="1" applyAlignment="1" applyProtection="1">
      <alignment vertical="top" wrapText="1"/>
      <protection hidden="1"/>
    </xf>
    <xf numFmtId="164" fontId="15" fillId="3" borderId="9" xfId="0" applyNumberFormat="1" applyFont="1" applyFill="1" applyBorder="1" applyAlignment="1" applyProtection="1">
      <alignment vertical="top" wrapText="1"/>
      <protection hidden="1"/>
    </xf>
    <xf numFmtId="164" fontId="15" fillId="2" borderId="5" xfId="0" applyNumberFormat="1" applyFont="1" applyFill="1" applyBorder="1" applyAlignment="1" applyProtection="1">
      <alignment vertical="top" wrapText="1"/>
      <protection hidden="1"/>
    </xf>
    <xf numFmtId="164" fontId="15" fillId="2" borderId="6" xfId="0" applyNumberFormat="1" applyFont="1" applyFill="1" applyBorder="1" applyAlignment="1" applyProtection="1">
      <alignment vertical="top" wrapText="1"/>
      <protection hidden="1"/>
    </xf>
    <xf numFmtId="0" fontId="15" fillId="2" borderId="4" xfId="0" applyFont="1" applyFill="1" applyBorder="1" applyAlignment="1" applyProtection="1">
      <alignment horizontal="left" vertical="top"/>
      <protection hidden="1"/>
    </xf>
    <xf numFmtId="0" fontId="15" fillId="2" borderId="5" xfId="0" applyFont="1" applyFill="1" applyBorder="1" applyAlignment="1" applyProtection="1">
      <alignment horizontal="left" vertical="top"/>
      <protection hidden="1"/>
    </xf>
    <xf numFmtId="0" fontId="17" fillId="4" borderId="11" xfId="0" applyFont="1" applyFill="1" applyBorder="1" applyAlignment="1" applyProtection="1">
      <alignment vertical="top"/>
      <protection hidden="1"/>
    </xf>
    <xf numFmtId="166" fontId="15" fillId="2" borderId="8" xfId="0" applyNumberFormat="1" applyFont="1" applyFill="1" applyBorder="1" applyAlignment="1" applyProtection="1">
      <alignment horizontal="right" wrapText="1"/>
      <protection hidden="1"/>
    </xf>
    <xf numFmtId="166" fontId="15" fillId="2" borderId="14" xfId="0" applyNumberFormat="1" applyFont="1" applyFill="1" applyBorder="1" applyAlignment="1" applyProtection="1">
      <alignment horizontal="right" wrapText="1"/>
      <protection hidden="1"/>
    </xf>
    <xf numFmtId="0" fontId="15" fillId="2" borderId="0" xfId="0" applyFont="1" applyFill="1" applyAlignment="1" applyProtection="1">
      <alignment wrapText="1"/>
      <protection hidden="1"/>
    </xf>
    <xf numFmtId="0" fontId="15" fillId="2" borderId="9" xfId="0" applyFont="1" applyFill="1" applyBorder="1" applyAlignment="1" applyProtection="1">
      <alignment wrapText="1"/>
      <protection hidden="1"/>
    </xf>
    <xf numFmtId="0" fontId="15" fillId="2" borderId="7" xfId="0" applyFont="1" applyFill="1" applyBorder="1" applyProtection="1">
      <protection hidden="1"/>
    </xf>
    <xf numFmtId="0" fontId="15" fillId="2" borderId="8" xfId="0" applyFont="1" applyFill="1" applyBorder="1" applyProtection="1">
      <protection hidden="1"/>
    </xf>
    <xf numFmtId="0" fontId="15" fillId="2" borderId="10" xfId="0" applyFont="1" applyFill="1" applyBorder="1" applyProtection="1">
      <protection hidden="1"/>
    </xf>
    <xf numFmtId="0" fontId="15" fillId="2" borderId="11" xfId="0" applyFont="1" applyFill="1" applyBorder="1" applyProtection="1">
      <protection hidden="1"/>
    </xf>
    <xf numFmtId="0" fontId="15" fillId="2" borderId="12" xfId="0" applyFont="1" applyFill="1" applyBorder="1" applyProtection="1">
      <protection hidden="1"/>
    </xf>
    <xf numFmtId="165" fontId="15" fillId="2" borderId="12" xfId="3" applyNumberFormat="1" applyFont="1" applyFill="1" applyBorder="1" applyAlignment="1" applyProtection="1">
      <alignment horizontal="right" wrapText="1"/>
      <protection hidden="1"/>
    </xf>
    <xf numFmtId="165" fontId="15" fillId="2" borderId="13" xfId="3" applyNumberFormat="1" applyFont="1" applyFill="1" applyBorder="1" applyAlignment="1" applyProtection="1">
      <alignment horizontal="right" wrapText="1"/>
      <protection hidden="1"/>
    </xf>
    <xf numFmtId="3" fontId="15" fillId="2" borderId="8" xfId="0" applyNumberFormat="1" applyFont="1" applyFill="1" applyBorder="1" applyAlignment="1" applyProtection="1">
      <alignment wrapText="1"/>
      <protection hidden="1"/>
    </xf>
    <xf numFmtId="3" fontId="15" fillId="2" borderId="14" xfId="0" applyNumberFormat="1" applyFont="1" applyFill="1" applyBorder="1" applyAlignment="1" applyProtection="1">
      <alignment wrapText="1"/>
      <protection hidden="1"/>
    </xf>
    <xf numFmtId="3" fontId="15" fillId="2" borderId="0" xfId="0" applyNumberFormat="1" applyFont="1" applyFill="1" applyAlignment="1" applyProtection="1">
      <alignment wrapText="1"/>
      <protection hidden="1"/>
    </xf>
    <xf numFmtId="3" fontId="15" fillId="2" borderId="9" xfId="0" applyNumberFormat="1" applyFont="1" applyFill="1" applyBorder="1" applyAlignment="1" applyProtection="1">
      <alignment wrapText="1"/>
      <protection hidden="1"/>
    </xf>
    <xf numFmtId="3" fontId="15" fillId="2" borderId="8" xfId="0" applyNumberFormat="1" applyFont="1" applyFill="1" applyBorder="1" applyAlignment="1" applyProtection="1">
      <alignment horizontal="right" wrapText="1"/>
      <protection hidden="1"/>
    </xf>
    <xf numFmtId="3" fontId="15" fillId="2" borderId="14" xfId="0" applyNumberFormat="1" applyFont="1" applyFill="1" applyBorder="1" applyAlignment="1" applyProtection="1">
      <alignment horizontal="right" wrapText="1"/>
      <protection hidden="1"/>
    </xf>
    <xf numFmtId="166" fontId="15" fillId="3" borderId="8" xfId="0" applyNumberFormat="1" applyFont="1" applyFill="1" applyBorder="1" applyAlignment="1" applyProtection="1">
      <alignment horizontal="right" wrapText="1"/>
      <protection hidden="1"/>
    </xf>
    <xf numFmtId="166" fontId="15" fillId="3" borderId="14" xfId="0" applyNumberFormat="1" applyFont="1" applyFill="1" applyBorder="1" applyAlignment="1" applyProtection="1">
      <alignment horizontal="right" wrapText="1"/>
      <protection hidden="1"/>
    </xf>
    <xf numFmtId="166" fontId="15" fillId="2" borderId="0" xfId="0" applyNumberFormat="1" applyFont="1" applyFill="1" applyAlignment="1" applyProtection="1">
      <alignment horizontal="right" wrapText="1"/>
      <protection hidden="1"/>
    </xf>
    <xf numFmtId="166" fontId="15" fillId="2" borderId="9" xfId="0" applyNumberFormat="1" applyFont="1" applyFill="1" applyBorder="1" applyAlignment="1" applyProtection="1">
      <alignment horizontal="right" wrapText="1"/>
      <protection hidden="1"/>
    </xf>
    <xf numFmtId="3" fontId="15" fillId="2" borderId="12" xfId="0" applyNumberFormat="1" applyFont="1" applyFill="1" applyBorder="1" applyAlignment="1" applyProtection="1">
      <alignment horizontal="right" wrapText="1"/>
      <protection hidden="1"/>
    </xf>
    <xf numFmtId="3" fontId="15" fillId="2" borderId="13" xfId="0" applyNumberFormat="1" applyFont="1" applyFill="1" applyBorder="1" applyAlignment="1" applyProtection="1">
      <alignment horizontal="right" wrapText="1"/>
      <protection hidden="1"/>
    </xf>
    <xf numFmtId="3" fontId="15" fillId="2" borderId="0" xfId="0" applyNumberFormat="1" applyFont="1" applyFill="1" applyAlignment="1" applyProtection="1">
      <alignment horizontal="right" wrapText="1"/>
      <protection hidden="1"/>
    </xf>
    <xf numFmtId="3" fontId="15" fillId="2" borderId="9" xfId="0" applyNumberFormat="1" applyFont="1" applyFill="1" applyBorder="1" applyAlignment="1" applyProtection="1">
      <alignment horizontal="right" wrapText="1"/>
      <protection hidden="1"/>
    </xf>
    <xf numFmtId="0" fontId="15" fillId="2" borderId="5" xfId="0" applyFont="1" applyFill="1" applyBorder="1" applyAlignment="1" applyProtection="1">
      <alignment wrapText="1"/>
      <protection hidden="1"/>
    </xf>
    <xf numFmtId="0" fontId="15" fillId="2" borderId="6" xfId="0" applyFont="1" applyFill="1" applyBorder="1" applyAlignment="1" applyProtection="1">
      <alignment wrapText="1"/>
      <protection hidden="1"/>
    </xf>
    <xf numFmtId="166" fontId="15" fillId="3" borderId="8" xfId="0" applyNumberFormat="1" applyFont="1" applyFill="1" applyBorder="1" applyAlignment="1" applyProtection="1">
      <alignment wrapText="1"/>
      <protection hidden="1"/>
    </xf>
    <xf numFmtId="166" fontId="15" fillId="3" borderId="14" xfId="0" applyNumberFormat="1" applyFont="1" applyFill="1" applyBorder="1" applyAlignment="1" applyProtection="1">
      <alignment wrapText="1"/>
      <protection hidden="1"/>
    </xf>
    <xf numFmtId="166" fontId="15" fillId="2" borderId="0" xfId="0" applyNumberFormat="1" applyFont="1" applyFill="1" applyAlignment="1" applyProtection="1">
      <alignment wrapText="1"/>
      <protection hidden="1"/>
    </xf>
    <xf numFmtId="166" fontId="15" fillId="2" borderId="9" xfId="0" applyNumberFormat="1" applyFont="1" applyFill="1" applyBorder="1" applyAlignment="1" applyProtection="1">
      <alignment wrapText="1"/>
      <protection hidden="1"/>
    </xf>
    <xf numFmtId="3" fontId="15" fillId="2" borderId="12" xfId="0" applyNumberFormat="1" applyFont="1" applyFill="1" applyBorder="1" applyAlignment="1" applyProtection="1">
      <alignment wrapText="1"/>
      <protection hidden="1"/>
    </xf>
    <xf numFmtId="3" fontId="15" fillId="2" borderId="13" xfId="0" applyNumberFormat="1" applyFont="1" applyFill="1" applyBorder="1" applyAlignment="1" applyProtection="1">
      <alignment wrapText="1"/>
      <protection hidden="1"/>
    </xf>
    <xf numFmtId="164" fontId="15" fillId="2" borderId="12" xfId="0" applyNumberFormat="1" applyFont="1" applyFill="1" applyBorder="1" applyAlignment="1" applyProtection="1">
      <alignment wrapText="1"/>
      <protection hidden="1"/>
    </xf>
    <xf numFmtId="164" fontId="15" fillId="2" borderId="13" xfId="0" applyNumberFormat="1" applyFont="1" applyFill="1" applyBorder="1" applyAlignment="1" applyProtection="1">
      <alignment wrapText="1"/>
      <protection hidden="1"/>
    </xf>
    <xf numFmtId="0" fontId="15" fillId="2" borderId="7" xfId="0" applyFont="1" applyFill="1" applyBorder="1" applyAlignment="1" applyProtection="1">
      <alignment horizontal="left"/>
      <protection hidden="1"/>
    </xf>
    <xf numFmtId="0" fontId="15" fillId="2" borderId="8" xfId="0" applyFont="1" applyFill="1" applyBorder="1" applyAlignment="1" applyProtection="1">
      <alignment horizontal="left"/>
      <protection hidden="1"/>
    </xf>
    <xf numFmtId="0" fontId="15" fillId="2" borderId="11" xfId="0" applyFont="1" applyFill="1" applyBorder="1" applyAlignment="1" applyProtection="1">
      <alignment horizontal="left"/>
      <protection hidden="1"/>
    </xf>
    <xf numFmtId="0" fontId="15" fillId="2" borderId="12" xfId="0" applyFont="1" applyFill="1" applyBorder="1" applyAlignment="1" applyProtection="1">
      <alignment horizontal="left"/>
      <protection hidden="1"/>
    </xf>
    <xf numFmtId="0" fontId="54" fillId="4" borderId="11" xfId="0" applyFont="1" applyFill="1" applyBorder="1" applyAlignment="1" applyProtection="1">
      <alignment vertical="top"/>
      <protection hidden="1"/>
    </xf>
    <xf numFmtId="0" fontId="54" fillId="4" borderId="0" xfId="0" applyFont="1" applyFill="1" applyAlignment="1" applyProtection="1">
      <alignment vertical="top"/>
      <protection hidden="1"/>
    </xf>
    <xf numFmtId="167" fontId="15" fillId="2" borderId="5" xfId="0" applyNumberFormat="1" applyFont="1" applyFill="1" applyBorder="1" applyAlignment="1" applyProtection="1">
      <alignment wrapText="1"/>
      <protection hidden="1"/>
    </xf>
    <xf numFmtId="0" fontId="15" fillId="2" borderId="6" xfId="0" applyFont="1" applyFill="1" applyBorder="1" applyAlignment="1" applyProtection="1">
      <alignment horizontal="right" vertical="top" wrapText="1"/>
      <protection hidden="1"/>
    </xf>
    <xf numFmtId="3" fontId="15" fillId="2" borderId="5" xfId="0" applyNumberFormat="1" applyFont="1" applyFill="1" applyBorder="1" applyAlignment="1" applyProtection="1">
      <alignment horizontal="right" wrapText="1"/>
      <protection hidden="1"/>
    </xf>
    <xf numFmtId="167" fontId="15" fillId="2" borderId="5" xfId="0" applyNumberFormat="1" applyFont="1" applyFill="1" applyBorder="1" applyAlignment="1" applyProtection="1">
      <alignment horizontal="right" wrapText="1"/>
      <protection hidden="1"/>
    </xf>
    <xf numFmtId="3" fontId="15" fillId="2" borderId="6" xfId="0" applyNumberFormat="1" applyFont="1" applyFill="1" applyBorder="1" applyAlignment="1" applyProtection="1">
      <alignment horizontal="right" wrapText="1"/>
      <protection hidden="1"/>
    </xf>
    <xf numFmtId="0" fontId="15" fillId="2" borderId="6" xfId="0" applyFont="1" applyFill="1" applyBorder="1" applyAlignment="1" applyProtection="1">
      <alignment horizontal="right" wrapText="1"/>
      <protection hidden="1"/>
    </xf>
    <xf numFmtId="0" fontId="55" fillId="2" borderId="0" xfId="0" applyFont="1" applyFill="1" applyAlignment="1">
      <alignment horizontal="right"/>
    </xf>
    <xf numFmtId="0" fontId="56" fillId="2" borderId="0" xfId="0" applyFont="1" applyFill="1"/>
    <xf numFmtId="0" fontId="50" fillId="2" borderId="0" xfId="0" applyFont="1" applyFill="1"/>
    <xf numFmtId="0" fontId="46" fillId="14" borderId="0" xfId="0" applyFont="1" applyFill="1" applyAlignment="1">
      <alignment vertical="center" wrapText="1"/>
    </xf>
    <xf numFmtId="0" fontId="15" fillId="2" borderId="0" xfId="6" applyFill="1"/>
    <xf numFmtId="0" fontId="10" fillId="2" borderId="0" xfId="0" applyFont="1" applyFill="1" applyAlignment="1">
      <alignment vertical="center" wrapText="1"/>
    </xf>
    <xf numFmtId="0" fontId="46" fillId="2" borderId="0" xfId="0" applyFont="1" applyFill="1" applyAlignment="1">
      <alignment vertical="center" wrapText="1"/>
    </xf>
    <xf numFmtId="0" fontId="57" fillId="2" borderId="0" xfId="0" applyFont="1" applyFill="1" applyAlignment="1">
      <alignment horizontal="left"/>
    </xf>
    <xf numFmtId="0" fontId="0" fillId="2" borderId="19" xfId="0" applyFill="1" applyBorder="1"/>
    <xf numFmtId="0" fontId="50" fillId="2" borderId="0" xfId="0" applyFont="1" applyFill="1" applyAlignment="1">
      <alignment horizontal="center"/>
    </xf>
    <xf numFmtId="0" fontId="58" fillId="2" borderId="0" xfId="0" applyFont="1" applyFill="1" applyAlignment="1">
      <alignment horizontal="left"/>
    </xf>
    <xf numFmtId="0" fontId="51" fillId="0" borderId="0" xfId="0" applyFont="1" applyAlignment="1">
      <alignment horizontal="left" wrapText="1"/>
    </xf>
    <xf numFmtId="0" fontId="51" fillId="0" borderId="20" xfId="0" applyFont="1" applyBorder="1" applyAlignment="1">
      <alignment horizontal="left" wrapText="1"/>
    </xf>
    <xf numFmtId="0" fontId="51" fillId="0" borderId="21" xfId="0" applyFont="1" applyBorder="1" applyAlignment="1">
      <alignment horizontal="left" wrapText="1"/>
    </xf>
    <xf numFmtId="0" fontId="51" fillId="0" borderId="22" xfId="0" applyFont="1" applyBorder="1" applyAlignment="1">
      <alignment horizontal="left" wrapText="1"/>
    </xf>
    <xf numFmtId="0" fontId="51" fillId="0" borderId="23" xfId="0" applyFont="1" applyBorder="1" applyAlignment="1">
      <alignment horizontal="left" wrapText="1"/>
    </xf>
    <xf numFmtId="0" fontId="58" fillId="15" borderId="0" xfId="0" applyFont="1" applyFill="1" applyAlignment="1">
      <alignment horizontal="left"/>
    </xf>
    <xf numFmtId="0" fontId="58" fillId="2" borderId="24" xfId="0" applyFont="1" applyFill="1" applyBorder="1" applyAlignment="1">
      <alignment horizontal="left"/>
    </xf>
    <xf numFmtId="0" fontId="0" fillId="0" borderId="22" xfId="0" applyBorder="1"/>
    <xf numFmtId="0" fontId="59" fillId="16" borderId="5" xfId="0" applyFont="1" applyFill="1" applyBorder="1" applyAlignment="1">
      <alignment wrapText="1"/>
    </xf>
    <xf numFmtId="0" fontId="59" fillId="16" borderId="6" xfId="0" applyFont="1" applyFill="1" applyBorder="1" applyAlignment="1">
      <alignment wrapText="1"/>
    </xf>
    <xf numFmtId="0" fontId="0" fillId="0" borderId="25" xfId="0" applyBorder="1"/>
    <xf numFmtId="168" fontId="46" fillId="0" borderId="26" xfId="0" applyNumberFormat="1" applyFont="1" applyBorder="1" applyAlignment="1">
      <alignment horizontal="left" vertical="top"/>
    </xf>
    <xf numFmtId="49" fontId="46" fillId="0" borderId="27" xfId="0" applyNumberFormat="1" applyFont="1" applyBorder="1" applyAlignment="1">
      <alignment horizontal="left" vertical="top"/>
    </xf>
    <xf numFmtId="0" fontId="46" fillId="0" borderId="28" xfId="0" applyFont="1" applyBorder="1" applyAlignment="1">
      <alignment horizontal="left" vertical="top"/>
    </xf>
    <xf numFmtId="168" fontId="46" fillId="0" borderId="29" xfId="0" applyNumberFormat="1" applyFont="1" applyBorder="1" applyAlignment="1">
      <alignment horizontal="left" vertical="top"/>
    </xf>
    <xf numFmtId="169" fontId="46" fillId="0" borderId="27" xfId="0" applyNumberFormat="1" applyFont="1" applyBorder="1" applyAlignment="1">
      <alignment horizontal="left" vertical="top"/>
    </xf>
    <xf numFmtId="0" fontId="46" fillId="0" borderId="28" xfId="0" applyFont="1" applyBorder="1" applyAlignment="1">
      <alignment horizontal="left" vertical="top" wrapText="1"/>
    </xf>
    <xf numFmtId="170" fontId="46" fillId="0" borderId="27" xfId="0" applyNumberFormat="1" applyFont="1" applyBorder="1" applyAlignment="1">
      <alignment horizontal="left" vertical="top"/>
    </xf>
    <xf numFmtId="0" fontId="46" fillId="0" borderId="30" xfId="0" applyFont="1" applyBorder="1"/>
    <xf numFmtId="0" fontId="46" fillId="0" borderId="31" xfId="0" applyFont="1" applyBorder="1"/>
    <xf numFmtId="0" fontId="46" fillId="0" borderId="22" xfId="0" applyFont="1" applyBorder="1"/>
    <xf numFmtId="0" fontId="46" fillId="0" borderId="9" xfId="0" applyFont="1" applyBorder="1"/>
    <xf numFmtId="0" fontId="46" fillId="0" borderId="32" xfId="0" applyFont="1" applyBorder="1"/>
    <xf numFmtId="0" fontId="46" fillId="0" borderId="33" xfId="0" applyFont="1" applyBorder="1"/>
    <xf numFmtId="0" fontId="46" fillId="0" borderId="34" xfId="0" applyFont="1" applyBorder="1"/>
    <xf numFmtId="0" fontId="46" fillId="0" borderId="13" xfId="0" applyFont="1" applyBorder="1"/>
    <xf numFmtId="0" fontId="46" fillId="0" borderId="25" xfId="0" applyFont="1" applyBorder="1"/>
    <xf numFmtId="0" fontId="47" fillId="2" borderId="25" xfId="0" applyFont="1" applyFill="1" applyBorder="1"/>
    <xf numFmtId="0" fontId="46" fillId="2" borderId="25" xfId="0" applyFont="1" applyFill="1" applyBorder="1"/>
    <xf numFmtId="0" fontId="46" fillId="2" borderId="22" xfId="0" applyFont="1" applyFill="1" applyBorder="1"/>
    <xf numFmtId="0" fontId="0" fillId="2" borderId="22" xfId="0" applyFill="1" applyBorder="1"/>
    <xf numFmtId="0" fontId="49" fillId="2" borderId="25" xfId="0" applyFont="1" applyFill="1" applyBorder="1" applyAlignment="1">
      <alignment vertical="center"/>
    </xf>
    <xf numFmtId="0" fontId="49" fillId="2" borderId="0" xfId="0" applyFont="1" applyFill="1" applyAlignment="1">
      <alignment vertical="center"/>
    </xf>
    <xf numFmtId="0" fontId="60" fillId="2" borderId="0" xfId="0" applyFont="1" applyFill="1"/>
    <xf numFmtId="0" fontId="48" fillId="2" borderId="0" xfId="0" applyFont="1" applyFill="1"/>
    <xf numFmtId="0" fontId="15" fillId="2" borderId="0" xfId="0" applyFont="1" applyFill="1" applyAlignment="1" applyProtection="1">
      <alignment horizontal="left" vertical="center"/>
      <protection hidden="1"/>
    </xf>
    <xf numFmtId="0" fontId="62" fillId="2" borderId="0" xfId="0" applyFont="1" applyFill="1" applyAlignment="1" applyProtection="1">
      <alignment vertical="center"/>
      <protection hidden="1"/>
    </xf>
    <xf numFmtId="0" fontId="62" fillId="2" borderId="0" xfId="0" applyFont="1" applyFill="1" applyAlignment="1" applyProtection="1">
      <alignment horizontal="left" vertical="center"/>
      <protection hidden="1"/>
    </xf>
    <xf numFmtId="0" fontId="28" fillId="2" borderId="0" xfId="0" applyFont="1" applyFill="1"/>
    <xf numFmtId="0" fontId="35" fillId="2" borderId="0" xfId="0" applyFont="1" applyFill="1"/>
    <xf numFmtId="0" fontId="10" fillId="4" borderId="8" xfId="0" applyFont="1" applyFill="1" applyBorder="1" applyAlignment="1" applyProtection="1">
      <alignment horizontal="left" vertical="top" wrapText="1"/>
      <protection hidden="1"/>
    </xf>
    <xf numFmtId="0" fontId="23" fillId="2" borderId="12" xfId="0" applyFont="1" applyFill="1" applyBorder="1" applyAlignment="1" applyProtection="1">
      <alignment horizontal="left" vertical="top" wrapText="1"/>
      <protection hidden="1"/>
    </xf>
    <xf numFmtId="0" fontId="11" fillId="4" borderId="0" xfId="0" applyFont="1" applyFill="1" applyBorder="1" applyAlignment="1" applyProtection="1">
      <alignment horizontal="left" vertical="top" wrapText="1"/>
      <protection hidden="1"/>
    </xf>
    <xf numFmtId="0" fontId="0" fillId="2" borderId="0" xfId="0" applyFill="1" applyBorder="1" applyProtection="1">
      <protection hidden="1"/>
    </xf>
    <xf numFmtId="0" fontId="23" fillId="2" borderId="0" xfId="0" applyFont="1" applyFill="1" applyBorder="1" applyAlignment="1" applyProtection="1">
      <alignment horizontal="left" vertical="top" wrapText="1"/>
      <protection hidden="1"/>
    </xf>
    <xf numFmtId="0" fontId="27" fillId="4" borderId="0" xfId="0" applyFont="1" applyFill="1" applyBorder="1" applyAlignment="1" applyProtection="1">
      <alignment vertical="top" wrapText="1"/>
      <protection hidden="1"/>
    </xf>
    <xf numFmtId="0" fontId="28" fillId="4" borderId="0" xfId="0" applyFont="1" applyFill="1" applyBorder="1" applyAlignment="1" applyProtection="1">
      <alignment wrapText="1"/>
      <protection hidden="1"/>
    </xf>
    <xf numFmtId="0" fontId="4" fillId="2" borderId="0" xfId="0" applyFont="1" applyFill="1"/>
    <xf numFmtId="0" fontId="0" fillId="0" borderId="0" xfId="0" applyFill="1" applyProtection="1">
      <protection hidden="1"/>
    </xf>
    <xf numFmtId="0" fontId="24" fillId="2" borderId="0" xfId="1" applyNumberFormat="1" applyFont="1" applyFill="1" applyBorder="1" applyAlignment="1" applyProtection="1">
      <alignment horizontal="left"/>
      <protection hidden="1"/>
    </xf>
    <xf numFmtId="0" fontId="8" fillId="2" borderId="0" xfId="0" applyFont="1" applyFill="1" applyAlignment="1" applyProtection="1">
      <alignment horizontal="right" vertical="center"/>
      <protection hidden="1"/>
    </xf>
    <xf numFmtId="0" fontId="0" fillId="0" borderId="21" xfId="0" applyBorder="1"/>
    <xf numFmtId="0" fontId="59" fillId="16" borderId="4" xfId="0" applyFont="1" applyFill="1" applyBorder="1" applyAlignment="1">
      <alignment wrapText="1"/>
    </xf>
    <xf numFmtId="0" fontId="53" fillId="0" borderId="0" xfId="4" applyFont="1"/>
    <xf numFmtId="0" fontId="15" fillId="2" borderId="5" xfId="0" applyFont="1" applyFill="1" applyBorder="1" applyAlignment="1" applyProtection="1">
      <alignment horizontal="right" wrapText="1"/>
      <protection hidden="1"/>
    </xf>
    <xf numFmtId="0" fontId="15" fillId="2" borderId="5" xfId="0" applyFont="1" applyFill="1" applyBorder="1" applyAlignment="1" applyProtection="1">
      <alignment horizontal="right" vertical="top" wrapText="1"/>
      <protection hidden="1"/>
    </xf>
    <xf numFmtId="164" fontId="15" fillId="3" borderId="0" xfId="0" applyNumberFormat="1" applyFont="1" applyFill="1" applyBorder="1" applyAlignment="1" applyProtection="1">
      <alignment vertical="top" wrapText="1"/>
      <protection hidden="1"/>
    </xf>
    <xf numFmtId="0" fontId="14" fillId="4" borderId="0" xfId="0" applyFont="1" applyFill="1" applyAlignment="1" applyProtection="1">
      <alignment horizontal="right"/>
      <protection hidden="1"/>
    </xf>
    <xf numFmtId="0" fontId="8" fillId="4" borderId="0" xfId="0" applyFont="1" applyFill="1" applyBorder="1" applyAlignment="1" applyProtection="1">
      <alignment wrapText="1"/>
      <protection hidden="1"/>
    </xf>
    <xf numFmtId="0" fontId="15" fillId="2" borderId="0" xfId="0" applyFont="1" applyFill="1" applyBorder="1" applyAlignment="1" applyProtection="1">
      <alignment wrapText="1"/>
      <protection hidden="1"/>
    </xf>
    <xf numFmtId="3" fontId="15" fillId="2" borderId="0" xfId="0" applyNumberFormat="1" applyFont="1" applyFill="1" applyBorder="1" applyAlignment="1" applyProtection="1">
      <alignment wrapText="1"/>
      <protection hidden="1"/>
    </xf>
    <xf numFmtId="0" fontId="13" fillId="4" borderId="0" xfId="0" applyFont="1" applyFill="1" applyBorder="1" applyAlignment="1" applyProtection="1">
      <alignment horizontal="right" wrapText="1"/>
      <protection hidden="1"/>
    </xf>
    <xf numFmtId="166" fontId="15" fillId="2" borderId="0" xfId="0" applyNumberFormat="1" applyFont="1" applyFill="1" applyBorder="1" applyAlignment="1" applyProtection="1">
      <alignment horizontal="right" wrapText="1"/>
      <protection hidden="1"/>
    </xf>
    <xf numFmtId="3" fontId="15" fillId="2" borderId="0" xfId="0" applyNumberFormat="1" applyFont="1" applyFill="1" applyBorder="1" applyAlignment="1" applyProtection="1">
      <alignment horizontal="right" wrapText="1"/>
      <protection hidden="1"/>
    </xf>
    <xf numFmtId="166" fontId="15" fillId="2" borderId="0" xfId="0" applyNumberFormat="1" applyFont="1" applyFill="1" applyBorder="1" applyAlignment="1" applyProtection="1">
      <alignment wrapText="1"/>
      <protection hidden="1"/>
    </xf>
    <xf numFmtId="0" fontId="26" fillId="4" borderId="10" xfId="0" applyFont="1" applyFill="1" applyBorder="1" applyProtection="1">
      <protection hidden="1"/>
    </xf>
    <xf numFmtId="0" fontId="14" fillId="4" borderId="12" xfId="0" applyFont="1" applyFill="1" applyBorder="1" applyAlignment="1" applyProtection="1">
      <alignment horizontal="right"/>
      <protection hidden="1"/>
    </xf>
    <xf numFmtId="0" fontId="26" fillId="4" borderId="0" xfId="0" applyFont="1" applyFill="1" applyBorder="1" applyAlignment="1" applyProtection="1">
      <alignment vertical="top" wrapText="1"/>
      <protection hidden="1"/>
    </xf>
    <xf numFmtId="167" fontId="18" fillId="2" borderId="0" xfId="5" applyNumberFormat="1" applyFont="1" applyFill="1" applyBorder="1" applyAlignment="1" applyProtection="1">
      <alignment horizontal="right" wrapText="1"/>
      <protection hidden="1"/>
    </xf>
    <xf numFmtId="165" fontId="15" fillId="2" borderId="14" xfId="3" applyNumberFormat="1" applyFont="1" applyFill="1" applyBorder="1" applyAlignment="1" applyProtection="1">
      <alignment horizontal="right" wrapText="1"/>
      <protection hidden="1"/>
    </xf>
    <xf numFmtId="0" fontId="15" fillId="17" borderId="0" xfId="0" applyFont="1" applyFill="1"/>
    <xf numFmtId="0" fontId="15" fillId="17" borderId="17" xfId="0" applyFont="1" applyFill="1" applyBorder="1"/>
    <xf numFmtId="0" fontId="18" fillId="17" borderId="17" xfId="0" applyFont="1" applyFill="1" applyBorder="1"/>
    <xf numFmtId="2" fontId="15" fillId="17" borderId="17" xfId="0" applyNumberFormat="1" applyFont="1" applyFill="1" applyBorder="1"/>
    <xf numFmtId="1" fontId="15" fillId="17" borderId="17" xfId="0" applyNumberFormat="1" applyFont="1" applyFill="1" applyBorder="1"/>
    <xf numFmtId="0" fontId="15" fillId="17" borderId="17" xfId="0" applyFont="1" applyFill="1" applyBorder="1" applyAlignment="1">
      <alignment horizontal="right"/>
    </xf>
    <xf numFmtId="0" fontId="18" fillId="17" borderId="0" xfId="0" applyFont="1" applyFill="1"/>
    <xf numFmtId="0" fontId="0" fillId="17" borderId="0" xfId="0" applyFill="1"/>
    <xf numFmtId="0" fontId="5" fillId="17" borderId="17" xfId="8" applyFill="1" applyBorder="1"/>
    <xf numFmtId="2" fontId="15" fillId="17" borderId="0" xfId="0" applyNumberFormat="1" applyFont="1" applyFill="1"/>
    <xf numFmtId="1" fontId="15" fillId="17" borderId="0" xfId="0" applyNumberFormat="1" applyFont="1" applyFill="1"/>
    <xf numFmtId="0" fontId="15" fillId="17" borderId="0" xfId="0" applyFont="1" applyFill="1" applyAlignment="1">
      <alignment horizontal="right"/>
    </xf>
    <xf numFmtId="0" fontId="18" fillId="17" borderId="6" xfId="0" applyFont="1" applyFill="1" applyBorder="1"/>
    <xf numFmtId="0" fontId="15" fillId="17" borderId="0" xfId="0" applyFont="1" applyFill="1" applyBorder="1"/>
    <xf numFmtId="0" fontId="18" fillId="17" borderId="0" xfId="0" applyFont="1" applyFill="1" applyBorder="1"/>
    <xf numFmtId="0" fontId="15" fillId="17" borderId="0" xfId="7" applyFont="1" applyFill="1"/>
    <xf numFmtId="0" fontId="18" fillId="17" borderId="0" xfId="7" applyFont="1" applyFill="1"/>
    <xf numFmtId="0" fontId="62" fillId="0" borderId="0" xfId="0" applyFont="1"/>
    <xf numFmtId="0" fontId="62" fillId="17" borderId="0" xfId="0" applyFont="1" applyFill="1"/>
    <xf numFmtId="0" fontId="15" fillId="17" borderId="17" xfId="7" applyFont="1" applyFill="1" applyBorder="1" applyAlignment="1">
      <alignment horizontal="right" vertical="top" wrapText="1"/>
    </xf>
    <xf numFmtId="2" fontId="15" fillId="17" borderId="17" xfId="7" applyNumberFormat="1" applyFont="1" applyFill="1" applyBorder="1" applyAlignment="1">
      <alignment horizontal="right" vertical="top" wrapText="1"/>
    </xf>
    <xf numFmtId="1" fontId="15" fillId="17" borderId="17" xfId="7" applyNumberFormat="1" applyFont="1" applyFill="1" applyBorder="1" applyAlignment="1">
      <alignment horizontal="right" vertical="top" wrapText="1"/>
    </xf>
    <xf numFmtId="0" fontId="15" fillId="17" borderId="17" xfId="7" applyFont="1" applyFill="1" applyBorder="1"/>
    <xf numFmtId="0" fontId="3" fillId="17" borderId="17" xfId="7" applyFill="1" applyBorder="1"/>
    <xf numFmtId="0" fontId="0" fillId="17" borderId="17" xfId="0" applyFill="1" applyBorder="1"/>
    <xf numFmtId="171" fontId="15" fillId="3" borderId="8" xfId="0" applyNumberFormat="1" applyFont="1" applyFill="1" applyBorder="1" applyAlignment="1" applyProtection="1">
      <alignment wrapText="1"/>
      <protection hidden="1"/>
    </xf>
    <xf numFmtId="171" fontId="15" fillId="3" borderId="14" xfId="0" applyNumberFormat="1" applyFont="1" applyFill="1" applyBorder="1" applyAlignment="1" applyProtection="1">
      <alignment wrapText="1"/>
      <protection hidden="1"/>
    </xf>
    <xf numFmtId="164" fontId="8" fillId="2" borderId="5" xfId="0" applyNumberFormat="1" applyFont="1" applyFill="1" applyBorder="1" applyAlignment="1" applyProtection="1">
      <alignment vertical="top" wrapText="1"/>
      <protection hidden="1"/>
    </xf>
    <xf numFmtId="164" fontId="8" fillId="2" borderId="6" xfId="0" applyNumberFormat="1" applyFont="1" applyFill="1" applyBorder="1" applyAlignment="1" applyProtection="1">
      <alignment vertical="top" wrapText="1"/>
      <protection hidden="1"/>
    </xf>
    <xf numFmtId="165" fontId="18" fillId="2" borderId="9" xfId="3" applyNumberFormat="1" applyFont="1" applyFill="1" applyBorder="1" applyAlignment="1" applyProtection="1">
      <alignment horizontal="right" wrapText="1"/>
      <protection hidden="1"/>
    </xf>
    <xf numFmtId="0" fontId="15" fillId="2" borderId="11" xfId="0" applyFont="1" applyFill="1" applyBorder="1" applyAlignment="1" applyProtection="1">
      <alignment horizontal="left" vertical="top"/>
      <protection hidden="1"/>
    </xf>
    <xf numFmtId="0" fontId="23" fillId="2" borderId="12" xfId="0" applyFont="1" applyFill="1" applyBorder="1" applyAlignment="1" applyProtection="1">
      <alignment horizontal="left" vertical="top" wrapText="1"/>
      <protection hidden="1"/>
    </xf>
    <xf numFmtId="0" fontId="10" fillId="4" borderId="8" xfId="0" applyFont="1" applyFill="1" applyBorder="1" applyAlignment="1" applyProtection="1">
      <alignment horizontal="left" vertical="top" wrapText="1"/>
      <protection hidden="1"/>
    </xf>
    <xf numFmtId="0" fontId="8" fillId="2" borderId="0" xfId="0" applyFont="1" applyFill="1" applyAlignment="1" applyProtection="1">
      <alignment horizontal="right" vertical="center"/>
      <protection hidden="1"/>
    </xf>
    <xf numFmtId="0" fontId="15" fillId="2" borderId="0" xfId="0" applyFont="1" applyFill="1" applyBorder="1" applyProtection="1">
      <protection hidden="1"/>
    </xf>
    <xf numFmtId="0" fontId="15" fillId="2" borderId="0" xfId="0" applyFont="1" applyFill="1" applyBorder="1" applyAlignment="1" applyProtection="1">
      <alignment horizontal="left"/>
      <protection hidden="1"/>
    </xf>
    <xf numFmtId="0" fontId="7" fillId="2" borderId="0" xfId="0" applyFont="1" applyFill="1" applyAlignment="1" applyProtection="1">
      <protection hidden="1"/>
    </xf>
    <xf numFmtId="0" fontId="8" fillId="4" borderId="0" xfId="0" applyFont="1" applyFill="1" applyBorder="1" applyAlignment="1" applyProtection="1">
      <alignment horizontal="left"/>
      <protection hidden="1"/>
    </xf>
    <xf numFmtId="0" fontId="15" fillId="2" borderId="12" xfId="0" applyFont="1" applyFill="1" applyBorder="1" applyAlignment="1" applyProtection="1">
      <alignment horizontal="left" vertical="top"/>
      <protection hidden="1"/>
    </xf>
    <xf numFmtId="0" fontId="17" fillId="4" borderId="0" xfId="0" applyFont="1" applyFill="1" applyBorder="1" applyAlignment="1" applyProtection="1">
      <alignment vertical="top"/>
      <protection hidden="1"/>
    </xf>
    <xf numFmtId="0" fontId="17" fillId="2" borderId="0" xfId="0" applyFont="1" applyFill="1" applyBorder="1" applyAlignment="1" applyProtection="1">
      <alignment vertical="top"/>
      <protection hidden="1"/>
    </xf>
    <xf numFmtId="0" fontId="19" fillId="4" borderId="0" xfId="0" applyFont="1" applyFill="1" applyBorder="1" applyAlignment="1" applyProtection="1">
      <alignment vertical="top"/>
      <protection hidden="1"/>
    </xf>
    <xf numFmtId="0" fontId="26" fillId="4" borderId="0" xfId="0" applyFont="1" applyFill="1" applyBorder="1" applyProtection="1">
      <protection hidden="1"/>
    </xf>
    <xf numFmtId="0" fontId="26" fillId="4" borderId="12" xfId="0" applyFont="1" applyFill="1" applyBorder="1" applyAlignment="1" applyProtection="1">
      <alignment vertical="top" wrapText="1"/>
      <protection hidden="1"/>
    </xf>
    <xf numFmtId="0" fontId="54" fillId="4" borderId="0" xfId="0" applyFont="1" applyFill="1" applyBorder="1" applyAlignment="1" applyProtection="1">
      <alignment vertical="top"/>
      <protection hidden="1"/>
    </xf>
    <xf numFmtId="0" fontId="18" fillId="2" borderId="0" xfId="0" applyFont="1" applyFill="1" applyBorder="1" applyAlignment="1" applyProtection="1">
      <alignment horizontal="left"/>
      <protection hidden="1"/>
    </xf>
    <xf numFmtId="0" fontId="12" fillId="2" borderId="0" xfId="0" applyFont="1" applyFill="1" applyBorder="1" applyProtection="1">
      <protection hidden="1"/>
    </xf>
    <xf numFmtId="0" fontId="23" fillId="2" borderId="0" xfId="0" applyFont="1" applyFill="1" applyBorder="1" applyAlignment="1" applyProtection="1">
      <alignment horizontal="left" vertical="top" wrapText="1"/>
      <protection hidden="1"/>
    </xf>
    <xf numFmtId="0" fontId="15" fillId="0" borderId="0" xfId="0" applyFont="1" applyFill="1" applyBorder="1" applyProtection="1">
      <protection hidden="1"/>
    </xf>
    <xf numFmtId="165" fontId="15" fillId="0" borderId="0" xfId="3" applyNumberFormat="1" applyFont="1" applyFill="1" applyBorder="1" applyAlignment="1" applyProtection="1">
      <alignment horizontal="right" wrapText="1"/>
      <protection hidden="1"/>
    </xf>
    <xf numFmtId="0" fontId="66" fillId="0" borderId="0" xfId="0" applyFont="1" applyFill="1" applyProtection="1">
      <protection hidden="1"/>
    </xf>
    <xf numFmtId="0" fontId="0" fillId="0" borderId="17" xfId="0" applyFill="1" applyBorder="1"/>
    <xf numFmtId="0" fontId="0" fillId="0" borderId="0" xfId="0" applyFill="1"/>
    <xf numFmtId="0" fontId="23" fillId="0" borderId="0" xfId="0" applyFont="1" applyFill="1" applyBorder="1" applyAlignment="1" applyProtection="1">
      <alignment horizontal="left" vertical="top" wrapText="1"/>
      <protection hidden="1"/>
    </xf>
    <xf numFmtId="0" fontId="0" fillId="0" borderId="0" xfId="0" applyFill="1" applyBorder="1" applyProtection="1">
      <protection hidden="1"/>
    </xf>
    <xf numFmtId="0" fontId="8" fillId="0" borderId="17" xfId="0" applyFont="1" applyFill="1" applyBorder="1"/>
    <xf numFmtId="0" fontId="34" fillId="0" borderId="17" xfId="0" applyFont="1" applyFill="1" applyBorder="1" applyAlignment="1" applyProtection="1">
      <alignment vertical="top" wrapText="1"/>
      <protection hidden="1"/>
    </xf>
    <xf numFmtId="0" fontId="13" fillId="0" borderId="17" xfId="0" applyFont="1" applyFill="1" applyBorder="1" applyProtection="1">
      <protection hidden="1"/>
    </xf>
    <xf numFmtId="0" fontId="13" fillId="0" borderId="17" xfId="0" applyFont="1" applyFill="1" applyBorder="1"/>
    <xf numFmtId="0" fontId="0" fillId="0" borderId="17" xfId="0" applyFill="1" applyBorder="1" applyAlignment="1" applyProtection="1">
      <alignment horizontal="left"/>
      <protection hidden="1"/>
    </xf>
    <xf numFmtId="9" fontId="0" fillId="0" borderId="17" xfId="0" applyNumberFormat="1" applyFill="1" applyBorder="1"/>
    <xf numFmtId="0" fontId="15" fillId="0" borderId="0" xfId="0" applyFont="1" applyFill="1" applyBorder="1" applyAlignment="1" applyProtection="1">
      <alignment horizontal="left"/>
      <protection hidden="1"/>
    </xf>
    <xf numFmtId="3" fontId="18" fillId="0" borderId="0" xfId="1" applyNumberFormat="1" applyFont="1" applyFill="1" applyBorder="1" applyAlignment="1" applyProtection="1">
      <alignment horizontal="right" wrapText="1"/>
      <protection hidden="1"/>
    </xf>
    <xf numFmtId="3" fontId="15" fillId="0" borderId="0" xfId="0" applyNumberFormat="1" applyFont="1" applyFill="1" applyBorder="1" applyAlignment="1" applyProtection="1">
      <alignment horizontal="right" wrapText="1"/>
      <protection hidden="1"/>
    </xf>
    <xf numFmtId="3" fontId="15" fillId="0" borderId="0" xfId="0" applyNumberFormat="1" applyFont="1" applyFill="1" applyBorder="1" applyAlignment="1" applyProtection="1">
      <alignment wrapText="1"/>
      <protection hidden="1"/>
    </xf>
    <xf numFmtId="0" fontId="7" fillId="0" borderId="0" xfId="0" applyFont="1" applyFill="1" applyAlignment="1" applyProtection="1">
      <protection hidden="1"/>
    </xf>
    <xf numFmtId="0" fontId="66" fillId="0" borderId="0" xfId="0" quotePrefix="1" applyFont="1" applyFill="1" applyAlignment="1" applyProtection="1">
      <alignment horizontal="right"/>
      <protection hidden="1"/>
    </xf>
    <xf numFmtId="0" fontId="11" fillId="4" borderId="0" xfId="0" applyFont="1" applyFill="1" applyBorder="1" applyAlignment="1" applyProtection="1">
      <alignment vertical="top" wrapText="1"/>
      <protection hidden="1"/>
    </xf>
    <xf numFmtId="0" fontId="11" fillId="4" borderId="10" xfId="0" applyFont="1" applyFill="1" applyBorder="1" applyAlignment="1" applyProtection="1">
      <alignment vertical="top"/>
      <protection hidden="1"/>
    </xf>
    <xf numFmtId="0" fontId="13" fillId="4" borderId="0" xfId="0" applyFont="1" applyFill="1" applyBorder="1" applyAlignment="1" applyProtection="1">
      <alignment wrapText="1"/>
      <protection hidden="1"/>
    </xf>
    <xf numFmtId="0" fontId="13" fillId="4" borderId="9" xfId="0" applyFont="1" applyFill="1" applyBorder="1" applyAlignment="1" applyProtection="1">
      <alignment wrapText="1"/>
      <protection hidden="1"/>
    </xf>
    <xf numFmtId="0" fontId="53" fillId="0" borderId="0" xfId="4" applyFont="1"/>
    <xf numFmtId="0" fontId="15" fillId="2" borderId="0" xfId="0" applyFont="1" applyFill="1" applyBorder="1" applyAlignment="1" applyProtection="1">
      <alignment horizontal="left" vertical="top"/>
      <protection hidden="1"/>
    </xf>
    <xf numFmtId="164" fontId="16" fillId="2" borderId="8" xfId="0" applyNumberFormat="1" applyFont="1" applyFill="1" applyBorder="1" applyAlignment="1" applyProtection="1">
      <alignment horizontal="right" wrapText="1"/>
      <protection hidden="1"/>
    </xf>
    <xf numFmtId="164" fontId="16" fillId="2" borderId="8" xfId="0" applyNumberFormat="1" applyFont="1" applyFill="1" applyBorder="1" applyAlignment="1" applyProtection="1">
      <alignment wrapText="1"/>
      <protection hidden="1"/>
    </xf>
    <xf numFmtId="164" fontId="16" fillId="2" borderId="14" xfId="0" applyNumberFormat="1" applyFont="1" applyFill="1" applyBorder="1" applyAlignment="1" applyProtection="1">
      <alignment wrapText="1"/>
      <protection hidden="1"/>
    </xf>
    <xf numFmtId="164" fontId="16" fillId="2" borderId="12" xfId="0" applyNumberFormat="1" applyFont="1" applyFill="1" applyBorder="1" applyAlignment="1" applyProtection="1">
      <alignment wrapText="1"/>
      <protection hidden="1"/>
    </xf>
    <xf numFmtId="164" fontId="16" fillId="2" borderId="13" xfId="0" applyNumberFormat="1" applyFont="1" applyFill="1" applyBorder="1" applyAlignment="1" applyProtection="1">
      <alignment wrapText="1"/>
      <protection hidden="1"/>
    </xf>
    <xf numFmtId="164" fontId="18" fillId="2" borderId="5" xfId="1" applyNumberFormat="1" applyFont="1" applyFill="1" applyBorder="1" applyAlignment="1" applyProtection="1">
      <alignment horizontal="right" wrapText="1"/>
      <protection hidden="1"/>
    </xf>
    <xf numFmtId="164" fontId="18" fillId="2" borderId="6" xfId="1" applyNumberFormat="1" applyFont="1" applyFill="1" applyBorder="1" applyAlignment="1" applyProtection="1">
      <alignment horizontal="right" wrapText="1"/>
      <protection hidden="1"/>
    </xf>
    <xf numFmtId="0" fontId="1" fillId="0" borderId="0" xfId="0" applyFont="1"/>
    <xf numFmtId="0" fontId="1" fillId="8" borderId="17" xfId="0" applyFont="1" applyFill="1" applyBorder="1"/>
    <xf numFmtId="0" fontId="1" fillId="13" borderId="16" xfId="0" applyFont="1" applyFill="1" applyBorder="1"/>
    <xf numFmtId="0" fontId="1" fillId="2" borderId="0" xfId="0" applyFont="1" applyFill="1"/>
    <xf numFmtId="0" fontId="1" fillId="0" borderId="0" xfId="0" applyFont="1" applyAlignment="1">
      <alignment horizontal="left"/>
    </xf>
    <xf numFmtId="0" fontId="3" fillId="0" borderId="0" xfId="0" applyFont="1" applyFill="1" applyBorder="1"/>
    <xf numFmtId="0" fontId="35" fillId="0" borderId="0" xfId="0" applyFont="1" applyFill="1" applyBorder="1"/>
    <xf numFmtId="0" fontId="3" fillId="0" borderId="0" xfId="7" applyFill="1" applyBorder="1"/>
    <xf numFmtId="0" fontId="0" fillId="0" borderId="0" xfId="0" applyFill="1" applyBorder="1"/>
    <xf numFmtId="0" fontId="2" fillId="0" borderId="0" xfId="7" applyFont="1" applyFill="1" applyBorder="1"/>
    <xf numFmtId="0" fontId="15" fillId="0" borderId="0" xfId="7" applyFont="1" applyFill="1" applyBorder="1"/>
    <xf numFmtId="0" fontId="8" fillId="0" borderId="0" xfId="0" applyFont="1" applyFill="1" applyBorder="1" applyAlignment="1">
      <alignment wrapText="1"/>
    </xf>
    <xf numFmtId="0" fontId="46" fillId="2" borderId="0" xfId="0" applyFont="1" applyFill="1" applyAlignment="1">
      <alignment vertical="top" wrapText="1"/>
    </xf>
    <xf numFmtId="0" fontId="46" fillId="0" borderId="0" xfId="0" applyFont="1" applyAlignment="1">
      <alignment vertical="top" wrapText="1"/>
    </xf>
    <xf numFmtId="0" fontId="50" fillId="2" borderId="0" xfId="0" applyFont="1" applyFill="1" applyAlignment="1">
      <alignment horizontal="left"/>
    </xf>
    <xf numFmtId="0" fontId="53" fillId="0" borderId="0" xfId="4" applyFont="1"/>
    <xf numFmtId="0" fontId="50" fillId="2" borderId="0" xfId="0" applyFont="1" applyFill="1" applyAlignment="1">
      <alignment horizontal="center"/>
    </xf>
    <xf numFmtId="0" fontId="10" fillId="0" borderId="0" xfId="0" applyFont="1" applyFill="1" applyBorder="1" applyAlignment="1" applyProtection="1">
      <alignment horizontal="right" vertical="top"/>
      <protection hidden="1"/>
    </xf>
    <xf numFmtId="0" fontId="11" fillId="0" borderId="0" xfId="0" applyFont="1" applyFill="1" applyBorder="1" applyAlignment="1" applyProtection="1">
      <alignment horizontal="right"/>
      <protection hidden="1"/>
    </xf>
    <xf numFmtId="0" fontId="67" fillId="2" borderId="0" xfId="0" applyFont="1" applyFill="1" applyBorder="1" applyAlignment="1" applyProtection="1">
      <alignment horizontal="left" wrapText="1"/>
      <protection hidden="1"/>
    </xf>
    <xf numFmtId="0" fontId="67" fillId="2" borderId="11" xfId="0" applyFont="1" applyFill="1" applyBorder="1" applyAlignment="1" applyProtection="1">
      <alignment horizontal="left" wrapText="1"/>
      <protection hidden="1"/>
    </xf>
    <xf numFmtId="0" fontId="67" fillId="2" borderId="12" xfId="0" applyFont="1" applyFill="1" applyBorder="1" applyAlignment="1" applyProtection="1">
      <alignment horizontal="left" wrapText="1"/>
      <protection hidden="1"/>
    </xf>
    <xf numFmtId="0" fontId="18" fillId="2" borderId="4" xfId="1" applyNumberFormat="1" applyFont="1" applyFill="1" applyBorder="1" applyAlignment="1" applyProtection="1">
      <alignment horizontal="left" wrapText="1"/>
      <protection hidden="1"/>
    </xf>
    <xf numFmtId="0" fontId="18" fillId="2" borderId="5" xfId="1" applyNumberFormat="1" applyFont="1" applyFill="1" applyBorder="1" applyAlignment="1" applyProtection="1">
      <alignment horizontal="left" wrapText="1"/>
      <protection hidden="1"/>
    </xf>
    <xf numFmtId="0" fontId="18" fillId="2" borderId="11" xfId="1" applyNumberFormat="1" applyFont="1" applyFill="1" applyBorder="1" applyAlignment="1" applyProtection="1">
      <alignment horizontal="left" wrapText="1"/>
      <protection hidden="1"/>
    </xf>
    <xf numFmtId="0" fontId="18" fillId="2" borderId="12" xfId="1" applyNumberFormat="1" applyFont="1" applyFill="1" applyBorder="1" applyAlignment="1" applyProtection="1">
      <alignment horizontal="left" wrapText="1"/>
      <protection hidden="1"/>
    </xf>
    <xf numFmtId="0" fontId="10" fillId="0" borderId="9" xfId="0" applyFont="1" applyFill="1" applyBorder="1" applyAlignment="1" applyProtection="1">
      <alignment horizontal="right" vertical="top"/>
      <protection hidden="1"/>
    </xf>
    <xf numFmtId="0" fontId="11" fillId="0" borderId="9" xfId="0" applyFont="1" applyFill="1" applyBorder="1" applyAlignment="1" applyProtection="1">
      <alignment horizontal="right"/>
      <protection hidden="1"/>
    </xf>
    <xf numFmtId="0" fontId="10" fillId="4" borderId="7" xfId="0" applyFont="1" applyFill="1" applyBorder="1" applyAlignment="1" applyProtection="1">
      <alignment horizontal="left" vertical="top" wrapText="1"/>
      <protection hidden="1"/>
    </xf>
    <xf numFmtId="0" fontId="10" fillId="4" borderId="8" xfId="0" applyFont="1" applyFill="1" applyBorder="1" applyAlignment="1" applyProtection="1">
      <alignment horizontal="left" vertical="top" wrapText="1"/>
      <protection hidden="1"/>
    </xf>
    <xf numFmtId="0" fontId="11" fillId="4" borderId="10" xfId="0" applyFont="1" applyFill="1" applyBorder="1" applyAlignment="1" applyProtection="1">
      <alignment horizontal="left" vertical="top" wrapText="1"/>
      <protection hidden="1"/>
    </xf>
    <xf numFmtId="0" fontId="11" fillId="4" borderId="0" xfId="0" applyFont="1" applyFill="1" applyBorder="1" applyAlignment="1" applyProtection="1">
      <alignment horizontal="left" vertical="top" wrapText="1"/>
      <protection hidden="1"/>
    </xf>
    <xf numFmtId="0" fontId="11" fillId="4" borderId="0" xfId="0" applyFont="1" applyFill="1" applyAlignment="1" applyProtection="1">
      <alignment horizontal="left" vertical="top" wrapText="1"/>
      <protection hidden="1"/>
    </xf>
    <xf numFmtId="0" fontId="23" fillId="2" borderId="10" xfId="0" applyFont="1" applyFill="1" applyBorder="1" applyAlignment="1" applyProtection="1">
      <alignment horizontal="left" vertical="top" wrapText="1"/>
      <protection hidden="1"/>
    </xf>
    <xf numFmtId="0" fontId="23" fillId="2" borderId="0" xfId="0" applyFont="1" applyFill="1" applyBorder="1" applyAlignment="1" applyProtection="1">
      <alignment horizontal="left" vertical="top" wrapText="1"/>
      <protection hidden="1"/>
    </xf>
    <xf numFmtId="0" fontId="23" fillId="2" borderId="0" xfId="0" applyFont="1" applyFill="1" applyAlignment="1" applyProtection="1">
      <alignment horizontal="left" vertical="top" wrapText="1"/>
      <protection hidden="1"/>
    </xf>
    <xf numFmtId="0" fontId="23" fillId="2" borderId="11" xfId="0" applyFont="1" applyFill="1" applyBorder="1" applyAlignment="1" applyProtection="1">
      <alignment horizontal="left" vertical="top" wrapText="1"/>
      <protection hidden="1"/>
    </xf>
    <xf numFmtId="0" fontId="23" fillId="2" borderId="12" xfId="0" applyFont="1" applyFill="1" applyBorder="1" applyAlignment="1" applyProtection="1">
      <alignment horizontal="left" vertical="top" wrapText="1"/>
      <protection hidden="1"/>
    </xf>
    <xf numFmtId="0" fontId="7" fillId="2" borderId="0" xfId="0" applyFont="1" applyFill="1" applyAlignment="1" applyProtection="1">
      <alignment horizontal="center"/>
      <protection hidden="1"/>
    </xf>
    <xf numFmtId="0" fontId="25" fillId="2" borderId="0" xfId="0" applyFont="1" applyFill="1" applyAlignment="1" applyProtection="1">
      <alignment horizontal="left" vertical="top" wrapText="1"/>
      <protection hidden="1"/>
    </xf>
    <xf numFmtId="0" fontId="25" fillId="2" borderId="0" xfId="0" applyFont="1" applyFill="1" applyBorder="1" applyAlignment="1" applyProtection="1">
      <alignment horizontal="left" vertical="top" wrapText="1"/>
      <protection hidden="1"/>
    </xf>
    <xf numFmtId="0" fontId="8" fillId="3" borderId="1" xfId="0" applyFont="1" applyFill="1" applyBorder="1" applyAlignment="1" applyProtection="1">
      <alignment horizontal="left" vertical="center"/>
      <protection locked="0" hidden="1"/>
    </xf>
    <xf numFmtId="0" fontId="8" fillId="3" borderId="2" xfId="0" applyFont="1" applyFill="1" applyBorder="1" applyAlignment="1" applyProtection="1">
      <alignment horizontal="left" vertical="center"/>
      <protection locked="0" hidden="1"/>
    </xf>
    <xf numFmtId="0" fontId="8" fillId="3" borderId="3" xfId="0" applyFont="1" applyFill="1" applyBorder="1" applyAlignment="1" applyProtection="1">
      <alignment horizontal="left" vertical="center"/>
      <protection locked="0" hidden="1"/>
    </xf>
    <xf numFmtId="0" fontId="8" fillId="2" borderId="0" xfId="0" applyFont="1" applyFill="1" applyAlignment="1" applyProtection="1">
      <alignment horizontal="right" vertical="center"/>
      <protection hidden="1"/>
    </xf>
    <xf numFmtId="0" fontId="63" fillId="0" borderId="0" xfId="4" applyFont="1" applyFill="1"/>
    <xf numFmtId="0" fontId="15" fillId="2" borderId="15" xfId="0" applyFont="1" applyFill="1" applyBorder="1" applyAlignment="1" applyProtection="1">
      <alignment horizontal="left" vertical="top" wrapText="1"/>
      <protection hidden="1"/>
    </xf>
    <xf numFmtId="0" fontId="15" fillId="2" borderId="16" xfId="0" applyFont="1" applyFill="1" applyBorder="1" applyAlignment="1" applyProtection="1">
      <alignment horizontal="left" vertical="top" wrapText="1"/>
      <protection hidden="1"/>
    </xf>
    <xf numFmtId="0" fontId="15" fillId="2" borderId="18" xfId="0" applyFont="1" applyFill="1" applyBorder="1" applyAlignment="1" applyProtection="1">
      <alignment horizontal="left" vertical="top" wrapText="1"/>
      <protection hidden="1"/>
    </xf>
    <xf numFmtId="0" fontId="8" fillId="8" borderId="17" xfId="0" applyFont="1" applyFill="1" applyBorder="1" applyAlignment="1">
      <alignment horizontal="center" wrapText="1"/>
    </xf>
    <xf numFmtId="0" fontId="64" fillId="2" borderId="0" xfId="4" applyFont="1" applyFill="1" applyAlignment="1">
      <alignment horizontal="left"/>
    </xf>
    <xf numFmtId="0" fontId="61" fillId="2" borderId="0" xfId="4" applyFont="1" applyFill="1" applyAlignment="1">
      <alignment horizontal="left"/>
    </xf>
  </cellXfs>
  <cellStyles count="9">
    <cellStyle name="Comma" xfId="1" builtinId="3"/>
    <cellStyle name="Currency" xfId="2" builtinId="4"/>
    <cellStyle name="Hyperlink" xfId="4" builtinId="8"/>
    <cellStyle name="Normal" xfId="0" builtinId="0"/>
    <cellStyle name="Normal 2" xfId="7" xr:uid="{191E2A0D-9301-484B-BAF9-2EF98B459E46}"/>
    <cellStyle name="Normal 2 4" xfId="6" xr:uid="{D7296B03-B18D-4DC7-BD81-ABCA86F539CD}"/>
    <cellStyle name="Normal 3" xfId="8" xr:uid="{F125AD72-0482-4274-B904-6D42370E2CFD}"/>
    <cellStyle name="Normal_Table 1 Jan 2012" xfId="5" xr:uid="{6FBD6D6D-FEFD-4873-A714-98A08079ACEB}"/>
    <cellStyle name="Percent" xfId="3" builtinId="5"/>
  </cellStyles>
  <dxfs count="38">
    <dxf>
      <font>
        <color rgb="FFFFFF99"/>
      </font>
    </dxf>
    <dxf>
      <font>
        <color theme="0"/>
      </font>
    </dxf>
    <dxf>
      <font>
        <color theme="0"/>
      </font>
    </dxf>
    <dxf>
      <font>
        <color rgb="FFFFFF99"/>
      </font>
    </dxf>
    <dxf>
      <font>
        <color theme="0"/>
      </font>
    </dxf>
    <dxf>
      <font>
        <color rgb="FFFFFF99"/>
      </font>
    </dxf>
    <dxf>
      <font>
        <color theme="0"/>
      </font>
    </dxf>
    <dxf>
      <font>
        <color theme="0"/>
      </font>
    </dxf>
    <dxf>
      <font>
        <color rgb="FFFFFF99"/>
      </font>
    </dxf>
    <dxf>
      <font>
        <color theme="0"/>
      </font>
    </dxf>
    <dxf>
      <font>
        <color theme="0"/>
      </font>
    </dxf>
    <dxf>
      <font>
        <color theme="0"/>
      </font>
    </dxf>
    <dxf>
      <font>
        <color theme="0"/>
      </font>
    </dxf>
    <dxf>
      <font>
        <color rgb="FFFFFF99"/>
      </font>
    </dxf>
    <dxf>
      <font>
        <color theme="0"/>
      </font>
    </dxf>
    <dxf>
      <font>
        <color rgb="FFFFFF99"/>
      </font>
    </dxf>
    <dxf>
      <font>
        <color theme="0"/>
      </font>
    </dxf>
    <dxf>
      <font>
        <color theme="0"/>
      </font>
    </dxf>
    <dxf>
      <font>
        <color rgb="FFFFFF99"/>
      </font>
    </dxf>
    <dxf>
      <font>
        <color theme="0"/>
      </font>
    </dxf>
    <dxf>
      <font>
        <color rgb="FFFFFF99"/>
      </font>
    </dxf>
    <dxf>
      <font>
        <color rgb="FFFFFF99"/>
      </font>
    </dxf>
    <dxf>
      <font>
        <color theme="0"/>
      </font>
      <fill>
        <patternFill>
          <bgColor theme="0"/>
        </patternFill>
      </fill>
      <border>
        <left/>
        <right/>
        <top/>
        <bottom/>
        <vertical/>
        <horizontal/>
      </border>
    </dxf>
    <dxf>
      <font>
        <color theme="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99"/>
      </font>
    </dxf>
    <dxf>
      <font>
        <color theme="0"/>
      </font>
    </dxf>
  </dxfs>
  <tableStyles count="0" defaultTableStyle="TableStyleMedium2" defaultPivotStyle="PivotStyleLight16"/>
  <colors>
    <mruColors>
      <color rgb="FF59468D"/>
      <color rgb="FFE1CE9D"/>
      <color rgb="FF97D88A"/>
      <color rgb="FFFCBE37"/>
      <color rgb="FFAECFE6"/>
      <color rgb="FFEDEBF5"/>
      <color rgb="FFEDF5EB"/>
      <color rgb="FFC33A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'PRP LA trend tool 2015-23'!$N$115</c:f>
          <c:strCache>
            <c:ptCount val="1"/>
            <c:pt idx="0">
              <c:v>Average weekly general needs (social rent) net rent (£ per week)</c:v>
            </c:pt>
          </c:strCache>
        </c:strRef>
      </c:tx>
      <c:layout>
        <c:manualLayout>
          <c:xMode val="edge"/>
          <c:yMode val="edge"/>
          <c:x val="1.410236383033975E-3"/>
          <c:y val="5.4985739535030704E-3"/>
        </c:manualLayout>
      </c:layout>
      <c:overlay val="0"/>
      <c:txPr>
        <a:bodyPr/>
        <a:lstStyle/>
        <a:p>
          <a:pPr algn="l">
            <a:defRPr sz="1200" b="1">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1287211093735368"/>
          <c:y val="0.1670537373952469"/>
          <c:w val="0.84790389296508695"/>
          <c:h val="0.67850052075336154"/>
        </c:manualLayout>
      </c:layout>
      <c:barChart>
        <c:barDir val="col"/>
        <c:grouping val="clustered"/>
        <c:varyColors val="0"/>
        <c:ser>
          <c:idx val="5"/>
          <c:order val="0"/>
          <c:tx>
            <c:strRef>
              <c:f>'PRP LA trend tool 2015-23'!$B$96</c:f>
              <c:strCache>
                <c:ptCount val="1"/>
                <c:pt idx="0">
                  <c:v>0</c:v>
                </c:pt>
              </c:strCache>
            </c:strRef>
          </c:tx>
          <c:spPr>
            <a:solidFill>
              <a:srgbClr val="59468D"/>
            </a:solidFill>
          </c:spPr>
          <c:invertIfNegative val="0"/>
          <c:cat>
            <c:numRef>
              <c:f>'PRP LA trend tool 2015-23'!$E$95:$M$95</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2015-23'!$E$97:$M$97</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7CE-4AF2-8256-8A751D9EA685}"/>
            </c:ext>
          </c:extLst>
        </c:ser>
        <c:dLbls>
          <c:showLegendKey val="0"/>
          <c:showVal val="0"/>
          <c:showCatName val="0"/>
          <c:showSerName val="0"/>
          <c:showPercent val="0"/>
          <c:showBubbleSize val="0"/>
        </c:dLbls>
        <c:gapWidth val="150"/>
        <c:axId val="192849792"/>
        <c:axId val="192851968"/>
      </c:barChart>
      <c:lineChart>
        <c:grouping val="standard"/>
        <c:varyColors val="0"/>
        <c:ser>
          <c:idx val="0"/>
          <c:order val="1"/>
          <c:tx>
            <c:strRef>
              <c:f>'PRP LA trend tool 2015-23'!$B$102</c:f>
              <c:strCache>
                <c:ptCount val="1"/>
              </c:strCache>
            </c:strRef>
          </c:tx>
          <c:spPr>
            <a:ln>
              <a:solidFill>
                <a:srgbClr val="AECFE6"/>
              </a:solidFill>
            </a:ln>
          </c:spPr>
          <c:marker>
            <c:spPr>
              <a:solidFill>
                <a:srgbClr val="AECFE6"/>
              </a:solidFill>
              <a:ln>
                <a:solidFill>
                  <a:srgbClr val="AECFE6"/>
                </a:solidFill>
              </a:ln>
            </c:spPr>
          </c:marker>
          <c:cat>
            <c:numRef>
              <c:f>'PRP LA trend tool 2015-23'!$E$95:$M$95</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2015-23'!$E$103:$M$103</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37CE-4AF2-8256-8A751D9EA685}"/>
            </c:ext>
          </c:extLst>
        </c:ser>
        <c:ser>
          <c:idx val="1"/>
          <c:order val="2"/>
          <c:tx>
            <c:strRef>
              <c:f>'PRP LA trend tool 2015-23'!$B$108</c:f>
              <c:strCache>
                <c:ptCount val="1"/>
                <c:pt idx="0">
                  <c:v>England</c:v>
                </c:pt>
              </c:strCache>
            </c:strRef>
          </c:tx>
          <c:spPr>
            <a:ln>
              <a:solidFill>
                <a:srgbClr val="FCBE37"/>
              </a:solidFill>
            </a:ln>
          </c:spPr>
          <c:marker>
            <c:symbol val="circle"/>
            <c:size val="7"/>
            <c:spPr>
              <a:solidFill>
                <a:srgbClr val="FCBE37"/>
              </a:solidFill>
              <a:ln>
                <a:solidFill>
                  <a:srgbClr val="FCBE37"/>
                </a:solidFill>
              </a:ln>
            </c:spPr>
          </c:marker>
          <c:cat>
            <c:numRef>
              <c:f>'PRP LA trend tool 2015-23'!$E$95:$M$95</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2015-23'!$E$109:$M$109</c:f>
              <c:numCache>
                <c:formatCode>"£"#,##0.00</c:formatCode>
                <c:ptCount val="9"/>
                <c:pt idx="0">
                  <c:v>95.88</c:v>
                </c:pt>
                <c:pt idx="1">
                  <c:v>97.84</c:v>
                </c:pt>
                <c:pt idx="2">
                  <c:v>96.61</c:v>
                </c:pt>
                <c:pt idx="3">
                  <c:v>96.33</c:v>
                </c:pt>
                <c:pt idx="4">
                  <c:v>95.12</c:v>
                </c:pt>
                <c:pt idx="5">
                  <c:v>94.25</c:v>
                </c:pt>
                <c:pt idx="6">
                  <c:v>96.6</c:v>
                </c:pt>
                <c:pt idx="7">
                  <c:v>98.05</c:v>
                </c:pt>
                <c:pt idx="8">
                  <c:v>102.15</c:v>
                </c:pt>
              </c:numCache>
            </c:numRef>
          </c:val>
          <c:smooth val="0"/>
          <c:extLst>
            <c:ext xmlns:c16="http://schemas.microsoft.com/office/drawing/2014/chart" uri="{C3380CC4-5D6E-409C-BE32-E72D297353CC}">
              <c16:uniqueId val="{00000002-37CE-4AF2-8256-8A751D9EA685}"/>
            </c:ext>
          </c:extLst>
        </c:ser>
        <c:dLbls>
          <c:showLegendKey val="0"/>
          <c:showVal val="0"/>
          <c:showCatName val="0"/>
          <c:showSerName val="0"/>
          <c:showPercent val="0"/>
          <c:showBubbleSize val="0"/>
        </c:dLbls>
        <c:marker val="1"/>
        <c:smooth val="0"/>
        <c:axId val="192849792"/>
        <c:axId val="192851968"/>
      </c:lineChart>
      <c:catAx>
        <c:axId val="192849792"/>
        <c:scaling>
          <c:orientation val="minMax"/>
        </c:scaling>
        <c:delete val="0"/>
        <c:axPos val="b"/>
        <c:numFmt formatCode="General" sourceLinked="1"/>
        <c:majorTickMark val="out"/>
        <c:minorTickMark val="none"/>
        <c:tickLblPos val="nextTo"/>
        <c:spPr>
          <a:ln>
            <a:solidFill>
              <a:schemeClr val="tx1"/>
            </a:solidFill>
          </a:ln>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rossAx val="192851968"/>
        <c:crosses val="autoZero"/>
        <c:auto val="1"/>
        <c:lblAlgn val="ctr"/>
        <c:lblOffset val="100"/>
        <c:noMultiLvlLbl val="0"/>
      </c:catAx>
      <c:valAx>
        <c:axId val="192851968"/>
        <c:scaling>
          <c:orientation val="minMax"/>
        </c:scaling>
        <c:delete val="0"/>
        <c:axPos val="l"/>
        <c:majorGridlines>
          <c:spPr>
            <a:ln>
              <a:solidFill>
                <a:schemeClr val="bg1">
                  <a:lumMod val="75000"/>
                </a:schemeClr>
              </a:solidFill>
            </a:ln>
          </c:spPr>
        </c:majorGridlines>
        <c:numFmt formatCode="&quot;£&quot;#,##0" sourceLinked="0"/>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92849792"/>
        <c:crosses val="autoZero"/>
        <c:crossBetween val="between"/>
      </c:valAx>
      <c:spPr>
        <a:noFill/>
      </c:spPr>
    </c:plotArea>
    <c:legend>
      <c:legendPos val="b"/>
      <c:layout>
        <c:manualLayout>
          <c:xMode val="edge"/>
          <c:yMode val="edge"/>
          <c:x val="3.8207986102889203E-2"/>
          <c:y val="0.92297576322752684"/>
          <c:w val="0.92038886115131813"/>
          <c:h val="5.7834472924930498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'PRP LA trend tool 2015-23'!$B$38</c:f>
          <c:strCache>
            <c:ptCount val="1"/>
            <c:pt idx="0">
              <c:v>Total social units by provision type</c:v>
            </c:pt>
          </c:strCache>
        </c:strRef>
      </c:tx>
      <c:layout>
        <c:manualLayout>
          <c:xMode val="edge"/>
          <c:yMode val="edge"/>
          <c:x val="7.7307297551671133E-3"/>
          <c:y val="7.8714426142512464E-3"/>
        </c:manualLayout>
      </c:layout>
      <c:overlay val="0"/>
      <c:txPr>
        <a:bodyPr/>
        <a:lstStyle/>
        <a:p>
          <a:pPr algn="l">
            <a:defRPr sz="1200">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1268427818004711"/>
          <c:y val="0.11440344951169447"/>
          <c:w val="0.85039661648358544"/>
          <c:h val="0.7212804338202744"/>
        </c:manualLayout>
      </c:layout>
      <c:barChart>
        <c:barDir val="col"/>
        <c:grouping val="stacked"/>
        <c:varyColors val="0"/>
        <c:ser>
          <c:idx val="0"/>
          <c:order val="0"/>
          <c:tx>
            <c:strRef>
              <c:f>'PRP LA trend tool 2015-23'!$C$41</c:f>
              <c:strCache>
                <c:ptCount val="1"/>
                <c:pt idx="0">
                  <c:v>General needs</c:v>
                </c:pt>
              </c:strCache>
            </c:strRef>
          </c:tx>
          <c:spPr>
            <a:solidFill>
              <a:srgbClr val="59468D"/>
            </a:solidFill>
          </c:spPr>
          <c:invertIfNegative val="0"/>
          <c:cat>
            <c:numRef>
              <c:f>'PRP LA trend tool 2015-23'!$E$40:$M$40</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2015-23'!$E$41:$M$41</c:f>
              <c:numCache>
                <c:formatCode>#,##0;\-#,##0.00_-;"-"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A136-436B-B11A-A4C3B02D58D4}"/>
            </c:ext>
          </c:extLst>
        </c:ser>
        <c:ser>
          <c:idx val="1"/>
          <c:order val="1"/>
          <c:tx>
            <c:strRef>
              <c:f>'PRP LA trend tool 2015-23'!$C$44</c:f>
              <c:strCache>
                <c:ptCount val="1"/>
                <c:pt idx="0">
                  <c:v>Supported housing</c:v>
                </c:pt>
              </c:strCache>
            </c:strRef>
          </c:tx>
          <c:spPr>
            <a:solidFill>
              <a:srgbClr val="AECFE6"/>
            </a:solidFill>
          </c:spPr>
          <c:invertIfNegative val="0"/>
          <c:cat>
            <c:numRef>
              <c:f>'PRP LA trend tool 2015-23'!$E$40:$M$40</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2015-23'!$E$44:$M$44</c:f>
              <c:numCache>
                <c:formatCode>#,##0;\-#,##0.00_-;"-"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A136-436B-B11A-A4C3B02D58D4}"/>
            </c:ext>
          </c:extLst>
        </c:ser>
        <c:ser>
          <c:idx val="2"/>
          <c:order val="2"/>
          <c:tx>
            <c:strRef>
              <c:f>'PRP LA trend tool 2015-23'!$C$45</c:f>
              <c:strCache>
                <c:ptCount val="1"/>
                <c:pt idx="0">
                  <c:v>Housing for older people</c:v>
                </c:pt>
              </c:strCache>
            </c:strRef>
          </c:tx>
          <c:spPr>
            <a:solidFill>
              <a:srgbClr val="FCBE37"/>
            </a:solidFill>
          </c:spPr>
          <c:invertIfNegative val="0"/>
          <c:cat>
            <c:numRef>
              <c:f>'PRP LA trend tool 2015-23'!$E$40:$M$40</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2015-23'!$E$45:$M$45</c:f>
              <c:numCache>
                <c:formatCode>#,##0;\-#,##0.00_-;"-"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A136-436B-B11A-A4C3B02D58D4}"/>
            </c:ext>
          </c:extLst>
        </c:ser>
        <c:ser>
          <c:idx val="3"/>
          <c:order val="3"/>
          <c:tx>
            <c:strRef>
              <c:f>'PRP LA trend tool 2015-23'!$B$46</c:f>
              <c:strCache>
                <c:ptCount val="1"/>
                <c:pt idx="0">
                  <c:v>Low cost home ownership (LCHO)</c:v>
                </c:pt>
              </c:strCache>
            </c:strRef>
          </c:tx>
          <c:spPr>
            <a:solidFill>
              <a:srgbClr val="E1CE9D"/>
            </a:solidFill>
          </c:spPr>
          <c:invertIfNegative val="0"/>
          <c:cat>
            <c:numRef>
              <c:f>'PRP LA trend tool 2015-23'!$E$40:$M$40</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2015-23'!$E$46:$M$46</c:f>
              <c:numCache>
                <c:formatCode>#,##0;\-#,##0.00_-;"-"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A136-436B-B11A-A4C3B02D58D4}"/>
            </c:ext>
          </c:extLst>
        </c:ser>
        <c:dLbls>
          <c:showLegendKey val="0"/>
          <c:showVal val="0"/>
          <c:showCatName val="0"/>
          <c:showSerName val="0"/>
          <c:showPercent val="0"/>
          <c:showBubbleSize val="0"/>
        </c:dLbls>
        <c:gapWidth val="150"/>
        <c:overlap val="100"/>
        <c:axId val="202784768"/>
        <c:axId val="202786304"/>
      </c:barChart>
      <c:catAx>
        <c:axId val="202784768"/>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02786304"/>
        <c:crosses val="autoZero"/>
        <c:auto val="1"/>
        <c:lblAlgn val="ctr"/>
        <c:lblOffset val="100"/>
        <c:noMultiLvlLbl val="0"/>
      </c:catAx>
      <c:valAx>
        <c:axId val="202786304"/>
        <c:scaling>
          <c:orientation val="minMax"/>
        </c:scaling>
        <c:delete val="0"/>
        <c:axPos val="l"/>
        <c:majorGridlines>
          <c:spPr>
            <a:ln>
              <a:solidFill>
                <a:schemeClr val="bg1">
                  <a:lumMod val="75000"/>
                </a:schemeClr>
              </a:solidFill>
            </a:ln>
          </c:spPr>
        </c:majorGridlines>
        <c:numFmt formatCode="#,##0;\-#,##0.00_-;&quot;0&quot;" sourceLinked="0"/>
        <c:majorTickMark val="out"/>
        <c:minorTickMark val="none"/>
        <c:tickLblPos val="nextTo"/>
        <c:spPr>
          <a:ln>
            <a:solidFill>
              <a:schemeClr val="tx1"/>
            </a:solidFill>
          </a:ln>
        </c:spPr>
        <c:txPr>
          <a:bodyPr/>
          <a:lstStyle/>
          <a:p>
            <a:pPr>
              <a:defRPr sz="1000">
                <a:latin typeface="Arial" panose="020B0604020202020204" pitchFamily="34" charset="0"/>
                <a:cs typeface="Arial" panose="020B0604020202020204" pitchFamily="34" charset="0"/>
              </a:defRPr>
            </a:pPr>
            <a:endParaRPr lang="en-US"/>
          </a:p>
        </c:txPr>
        <c:crossAx val="202784768"/>
        <c:crosses val="autoZero"/>
        <c:crossBetween val="between"/>
      </c:valAx>
      <c:spPr>
        <a:solidFill>
          <a:sysClr val="window" lastClr="FFFFFF"/>
        </a:solidFill>
      </c:spPr>
    </c:plotArea>
    <c:legend>
      <c:legendPos val="b"/>
      <c:layout>
        <c:manualLayout>
          <c:xMode val="edge"/>
          <c:yMode val="edge"/>
          <c:x val="0.12624078304661715"/>
          <c:y val="0.8936965590306134"/>
          <c:w val="0.82271034928965592"/>
          <c:h val="9.336609119079238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'PRP LA trend tool 2015-23'!$B$149</c:f>
          <c:strCache>
            <c:ptCount val="1"/>
            <c:pt idx="0">
              <c:v>Average weekly supported housing/housing for older people (social rent) net rent (£ per week)</c:v>
            </c:pt>
          </c:strCache>
        </c:strRef>
      </c:tx>
      <c:layout>
        <c:manualLayout>
          <c:xMode val="edge"/>
          <c:yMode val="edge"/>
          <c:x val="7.6271466088737886E-3"/>
          <c:y val="5.0457387426235834E-3"/>
        </c:manualLayout>
      </c:layout>
      <c:overlay val="0"/>
      <c:txPr>
        <a:bodyPr/>
        <a:lstStyle/>
        <a:p>
          <a:pPr algn="l">
            <a:defRPr sz="1200">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0301285541967801"/>
          <c:y val="0.18153024935323792"/>
          <c:w val="0.86503919263113171"/>
          <c:h val="0.69163185112140246"/>
        </c:manualLayout>
      </c:layout>
      <c:barChart>
        <c:barDir val="col"/>
        <c:grouping val="clustered"/>
        <c:varyColors val="0"/>
        <c:ser>
          <c:idx val="0"/>
          <c:order val="0"/>
          <c:tx>
            <c:strRef>
              <c:f>'PRP LA trend tool 2015-23'!$B$151</c:f>
              <c:strCache>
                <c:ptCount val="1"/>
                <c:pt idx="0">
                  <c:v>0</c:v>
                </c:pt>
              </c:strCache>
            </c:strRef>
          </c:tx>
          <c:spPr>
            <a:solidFill>
              <a:srgbClr val="59468D"/>
            </a:solidFill>
          </c:spPr>
          <c:invertIfNegative val="0"/>
          <c:cat>
            <c:numRef>
              <c:f>'PRP LA trend tool 2015-23'!$E$150:$M$150</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2015-23'!$E$152:$M$152</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B6A-4CCB-B7BB-296B67B83752}"/>
            </c:ext>
          </c:extLst>
        </c:ser>
        <c:dLbls>
          <c:showLegendKey val="0"/>
          <c:showVal val="0"/>
          <c:showCatName val="0"/>
          <c:showSerName val="0"/>
          <c:showPercent val="0"/>
          <c:showBubbleSize val="0"/>
        </c:dLbls>
        <c:gapWidth val="150"/>
        <c:axId val="202805632"/>
        <c:axId val="202807552"/>
      </c:barChart>
      <c:lineChart>
        <c:grouping val="standard"/>
        <c:varyColors val="0"/>
        <c:ser>
          <c:idx val="1"/>
          <c:order val="1"/>
          <c:tx>
            <c:strRef>
              <c:f>'PRP LA trend tool 2015-23'!$B$157</c:f>
              <c:strCache>
                <c:ptCount val="1"/>
              </c:strCache>
            </c:strRef>
          </c:tx>
          <c:spPr>
            <a:ln>
              <a:solidFill>
                <a:srgbClr val="AECFE6"/>
              </a:solidFill>
            </a:ln>
          </c:spPr>
          <c:marker>
            <c:symbol val="diamond"/>
            <c:size val="7"/>
            <c:spPr>
              <a:solidFill>
                <a:srgbClr val="AECFE6"/>
              </a:solidFill>
              <a:ln>
                <a:solidFill>
                  <a:srgbClr val="AECFE6"/>
                </a:solidFill>
              </a:ln>
            </c:spPr>
          </c:marker>
          <c:cat>
            <c:numRef>
              <c:f>'PRP LA trend tool 2015-23'!$E$150:$M$150</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2015-23'!$E$158:$M$158</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6B6A-4CCB-B7BB-296B67B83752}"/>
            </c:ext>
          </c:extLst>
        </c:ser>
        <c:ser>
          <c:idx val="2"/>
          <c:order val="2"/>
          <c:tx>
            <c:strRef>
              <c:f>'PRP LA trend tool 2015-23'!$B$163</c:f>
              <c:strCache>
                <c:ptCount val="1"/>
                <c:pt idx="0">
                  <c:v>England</c:v>
                </c:pt>
              </c:strCache>
            </c:strRef>
          </c:tx>
          <c:spPr>
            <a:ln>
              <a:solidFill>
                <a:srgbClr val="FCBE37"/>
              </a:solidFill>
            </a:ln>
          </c:spPr>
          <c:marker>
            <c:symbol val="circle"/>
            <c:size val="7"/>
            <c:spPr>
              <a:solidFill>
                <a:srgbClr val="FCBE37"/>
              </a:solidFill>
              <a:ln>
                <a:solidFill>
                  <a:srgbClr val="FCBE37"/>
                </a:solidFill>
              </a:ln>
            </c:spPr>
          </c:marker>
          <c:cat>
            <c:numRef>
              <c:f>'PRP LA trend tool 2015-23'!$E$150:$M$150</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2015-23'!$E$164:$M$164</c:f>
              <c:numCache>
                <c:formatCode>"£"#,##0.00</c:formatCode>
                <c:ptCount val="9"/>
                <c:pt idx="0">
                  <c:v>87.71</c:v>
                </c:pt>
                <c:pt idx="1">
                  <c:v>89.43</c:v>
                </c:pt>
                <c:pt idx="2">
                  <c:v>91.25</c:v>
                </c:pt>
                <c:pt idx="3">
                  <c:v>93.08</c:v>
                </c:pt>
                <c:pt idx="4">
                  <c:v>92.78</c:v>
                </c:pt>
                <c:pt idx="5">
                  <c:v>90.81</c:v>
                </c:pt>
                <c:pt idx="6">
                  <c:v>93.69</c:v>
                </c:pt>
                <c:pt idx="7">
                  <c:v>95.6</c:v>
                </c:pt>
                <c:pt idx="8">
                  <c:v>100.43</c:v>
                </c:pt>
              </c:numCache>
            </c:numRef>
          </c:val>
          <c:smooth val="0"/>
          <c:extLst>
            <c:ext xmlns:c16="http://schemas.microsoft.com/office/drawing/2014/chart" uri="{C3380CC4-5D6E-409C-BE32-E72D297353CC}">
              <c16:uniqueId val="{00000002-6B6A-4CCB-B7BB-296B67B83752}"/>
            </c:ext>
          </c:extLst>
        </c:ser>
        <c:dLbls>
          <c:showLegendKey val="0"/>
          <c:showVal val="0"/>
          <c:showCatName val="0"/>
          <c:showSerName val="0"/>
          <c:showPercent val="0"/>
          <c:showBubbleSize val="0"/>
        </c:dLbls>
        <c:marker val="1"/>
        <c:smooth val="0"/>
        <c:axId val="202805632"/>
        <c:axId val="202807552"/>
      </c:lineChart>
      <c:catAx>
        <c:axId val="202805632"/>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02807552"/>
        <c:crosses val="autoZero"/>
        <c:auto val="1"/>
        <c:lblAlgn val="ctr"/>
        <c:lblOffset val="100"/>
        <c:noMultiLvlLbl val="0"/>
      </c:catAx>
      <c:valAx>
        <c:axId val="202807552"/>
        <c:scaling>
          <c:orientation val="minMax"/>
        </c:scaling>
        <c:delete val="0"/>
        <c:axPos val="l"/>
        <c:majorGridlines>
          <c:spPr>
            <a:ln>
              <a:solidFill>
                <a:schemeClr val="bg1">
                  <a:lumMod val="75000"/>
                </a:schemeClr>
              </a:solidFill>
            </a:ln>
          </c:spPr>
        </c:majorGridlines>
        <c:numFmt formatCode="&quot;£&quot;#,##0" sourceLinked="0"/>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02805632"/>
        <c:crosses val="autoZero"/>
        <c:crossBetween val="between"/>
      </c:valAx>
      <c:spPr>
        <a:noFill/>
      </c:spPr>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'PRP LA trend tool 2015-23'!$B$204</c:f>
          <c:strCache>
            <c:ptCount val="1"/>
            <c:pt idx="0">
              <c:v>Average weekly Affordable Rent general needs gross rent (£ per week)</c:v>
            </c:pt>
          </c:strCache>
        </c:strRef>
      </c:tx>
      <c:layout>
        <c:manualLayout>
          <c:xMode val="edge"/>
          <c:yMode val="edge"/>
          <c:x val="3.3618211819185892E-3"/>
          <c:y val="1.0904283842448605E-2"/>
        </c:manualLayout>
      </c:layout>
      <c:overlay val="0"/>
      <c:txPr>
        <a:bodyPr/>
        <a:lstStyle/>
        <a:p>
          <a:pPr algn="l">
            <a:defRPr sz="1200">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0432698662460017"/>
          <c:y val="0.18488140889078256"/>
          <c:w val="0.85761739890707467"/>
          <c:h val="0.64825590608020789"/>
        </c:manualLayout>
      </c:layout>
      <c:barChart>
        <c:barDir val="col"/>
        <c:grouping val="clustered"/>
        <c:varyColors val="0"/>
        <c:ser>
          <c:idx val="0"/>
          <c:order val="0"/>
          <c:tx>
            <c:strRef>
              <c:f>'PRP LA trend tool 2015-23'!$B$206</c:f>
              <c:strCache>
                <c:ptCount val="1"/>
                <c:pt idx="0">
                  <c:v>0</c:v>
                </c:pt>
              </c:strCache>
            </c:strRef>
          </c:tx>
          <c:spPr>
            <a:solidFill>
              <a:srgbClr val="59468D"/>
            </a:solidFill>
          </c:spPr>
          <c:invertIfNegative val="0"/>
          <c:cat>
            <c:numRef>
              <c:f>'PRP LA trend tool 2015-23'!$E$205:$M$205</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2015-23'!$E$207:$M$207</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2E7-40E3-B518-532D262CD342}"/>
            </c:ext>
          </c:extLst>
        </c:ser>
        <c:dLbls>
          <c:showLegendKey val="0"/>
          <c:showVal val="0"/>
          <c:showCatName val="0"/>
          <c:showSerName val="0"/>
          <c:showPercent val="0"/>
          <c:showBubbleSize val="0"/>
        </c:dLbls>
        <c:gapWidth val="150"/>
        <c:axId val="192894080"/>
        <c:axId val="192896000"/>
      </c:barChart>
      <c:lineChart>
        <c:grouping val="standard"/>
        <c:varyColors val="0"/>
        <c:ser>
          <c:idx val="1"/>
          <c:order val="1"/>
          <c:tx>
            <c:strRef>
              <c:f>'PRP LA trend tool 2015-23'!$B$209</c:f>
              <c:strCache>
                <c:ptCount val="1"/>
              </c:strCache>
            </c:strRef>
          </c:tx>
          <c:spPr>
            <a:ln>
              <a:solidFill>
                <a:srgbClr val="AECFE6"/>
              </a:solidFill>
            </a:ln>
          </c:spPr>
          <c:marker>
            <c:symbol val="diamond"/>
            <c:size val="7"/>
            <c:spPr>
              <a:solidFill>
                <a:srgbClr val="AECFE6"/>
              </a:solidFill>
              <a:ln>
                <a:solidFill>
                  <a:srgbClr val="AECFE6"/>
                </a:solidFill>
              </a:ln>
            </c:spPr>
          </c:marker>
          <c:cat>
            <c:numRef>
              <c:f>'PRP LA trend tool 2015-23'!$E$205:$M$205</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2015-23'!$E$210:$M$210</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62E7-40E3-B518-532D262CD342}"/>
            </c:ext>
          </c:extLst>
        </c:ser>
        <c:ser>
          <c:idx val="2"/>
          <c:order val="2"/>
          <c:tx>
            <c:strRef>
              <c:f>'PRP LA trend tool 2015-23'!$B$212</c:f>
              <c:strCache>
                <c:ptCount val="1"/>
                <c:pt idx="0">
                  <c:v>England</c:v>
                </c:pt>
              </c:strCache>
            </c:strRef>
          </c:tx>
          <c:spPr>
            <a:ln>
              <a:solidFill>
                <a:srgbClr val="FCBE37"/>
              </a:solidFill>
            </a:ln>
          </c:spPr>
          <c:marker>
            <c:symbol val="circle"/>
            <c:size val="7"/>
            <c:spPr>
              <a:solidFill>
                <a:srgbClr val="FCBE37"/>
              </a:solidFill>
              <a:ln>
                <a:solidFill>
                  <a:srgbClr val="FCBE37"/>
                </a:solidFill>
              </a:ln>
            </c:spPr>
          </c:marker>
          <c:cat>
            <c:numRef>
              <c:f>'PRP LA trend tool 2015-23'!$E$205:$M$205</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2015-23'!$E$213:$M$213</c:f>
              <c:numCache>
                <c:formatCode>"£"#,##0.00</c:formatCode>
                <c:ptCount val="9"/>
                <c:pt idx="0">
                  <c:v>124.34</c:v>
                </c:pt>
                <c:pt idx="1">
                  <c:v>128.6</c:v>
                </c:pt>
                <c:pt idx="2">
                  <c:v>127.95</c:v>
                </c:pt>
                <c:pt idx="3">
                  <c:v>127.8</c:v>
                </c:pt>
                <c:pt idx="4">
                  <c:v>128.05000000000001</c:v>
                </c:pt>
                <c:pt idx="5">
                  <c:v>128.62</c:v>
                </c:pt>
                <c:pt idx="6">
                  <c:v>133.31</c:v>
                </c:pt>
                <c:pt idx="7">
                  <c:v>136.72</c:v>
                </c:pt>
                <c:pt idx="8">
                  <c:v>143.80000000000001</c:v>
                </c:pt>
              </c:numCache>
            </c:numRef>
          </c:val>
          <c:smooth val="0"/>
          <c:extLst>
            <c:ext xmlns:c16="http://schemas.microsoft.com/office/drawing/2014/chart" uri="{C3380CC4-5D6E-409C-BE32-E72D297353CC}">
              <c16:uniqueId val="{00000002-62E7-40E3-B518-532D262CD342}"/>
            </c:ext>
          </c:extLst>
        </c:ser>
        <c:dLbls>
          <c:showLegendKey val="0"/>
          <c:showVal val="0"/>
          <c:showCatName val="0"/>
          <c:showSerName val="0"/>
          <c:showPercent val="0"/>
          <c:showBubbleSize val="0"/>
        </c:dLbls>
        <c:marker val="1"/>
        <c:smooth val="0"/>
        <c:axId val="192894080"/>
        <c:axId val="192896000"/>
      </c:lineChart>
      <c:catAx>
        <c:axId val="192894080"/>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92896000"/>
        <c:crosses val="autoZero"/>
        <c:auto val="1"/>
        <c:lblAlgn val="ctr"/>
        <c:lblOffset val="100"/>
        <c:noMultiLvlLbl val="0"/>
      </c:catAx>
      <c:valAx>
        <c:axId val="192896000"/>
        <c:scaling>
          <c:orientation val="minMax"/>
        </c:scaling>
        <c:delete val="0"/>
        <c:axPos val="l"/>
        <c:majorGridlines>
          <c:spPr>
            <a:ln>
              <a:solidFill>
                <a:schemeClr val="bg1">
                  <a:lumMod val="75000"/>
                </a:schemeClr>
              </a:solidFill>
            </a:ln>
          </c:spPr>
        </c:majorGridlines>
        <c:numFmt formatCode="&quot;£&quot;#,##0" sourceLinked="0"/>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92894080"/>
        <c:crosses val="autoZero"/>
        <c:crossBetween val="between"/>
      </c:valAx>
      <c:spPr>
        <a:noFill/>
      </c:spPr>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'PRP LA trend tool 2015-23'!$B$248</c:f>
          <c:strCache>
            <c:ptCount val="1"/>
            <c:pt idx="0">
              <c:v>Average weekly Affordable Rent supported housing/housing for older people gross rent (£ per week)</c:v>
            </c:pt>
          </c:strCache>
        </c:strRef>
      </c:tx>
      <c:layout>
        <c:manualLayout>
          <c:xMode val="edge"/>
          <c:yMode val="edge"/>
          <c:x val="1.5793644797100744E-3"/>
          <c:y val="3.721425241401823E-3"/>
        </c:manualLayout>
      </c:layout>
      <c:overlay val="0"/>
      <c:txPr>
        <a:bodyPr/>
        <a:lstStyle/>
        <a:p>
          <a:pPr algn="l">
            <a:defRPr sz="1200">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0172434221701142"/>
          <c:y val="0.23599432819630134"/>
          <c:w val="0.86232853727954795"/>
          <c:h val="0.59737900313273684"/>
        </c:manualLayout>
      </c:layout>
      <c:barChart>
        <c:barDir val="col"/>
        <c:grouping val="clustered"/>
        <c:varyColors val="0"/>
        <c:ser>
          <c:idx val="0"/>
          <c:order val="0"/>
          <c:tx>
            <c:strRef>
              <c:f>'PRP LA trend tool 2015-23'!$B$250</c:f>
              <c:strCache>
                <c:ptCount val="1"/>
                <c:pt idx="0">
                  <c:v>0</c:v>
                </c:pt>
              </c:strCache>
            </c:strRef>
          </c:tx>
          <c:spPr>
            <a:solidFill>
              <a:srgbClr val="59468D"/>
            </a:solidFill>
          </c:spPr>
          <c:invertIfNegative val="0"/>
          <c:cat>
            <c:numRef>
              <c:f>'PRP LA trend tool 2015-23'!$E$249:$M$249</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2015-23'!$E$251:$M$251</c:f>
              <c:numCache>
                <c:formatCode>"£"#,##0.00;\-#,##0.00_-;"-"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CD94-444C-A1B0-1A8286718B10}"/>
            </c:ext>
          </c:extLst>
        </c:ser>
        <c:dLbls>
          <c:showLegendKey val="0"/>
          <c:showVal val="0"/>
          <c:showCatName val="0"/>
          <c:showSerName val="0"/>
          <c:showPercent val="0"/>
          <c:showBubbleSize val="0"/>
        </c:dLbls>
        <c:gapWidth val="150"/>
        <c:axId val="192931712"/>
        <c:axId val="192942080"/>
      </c:barChart>
      <c:lineChart>
        <c:grouping val="standard"/>
        <c:varyColors val="0"/>
        <c:ser>
          <c:idx val="1"/>
          <c:order val="1"/>
          <c:tx>
            <c:strRef>
              <c:f>'PRP LA trend tool 2015-23'!$B$253</c:f>
              <c:strCache>
                <c:ptCount val="1"/>
              </c:strCache>
            </c:strRef>
          </c:tx>
          <c:spPr>
            <a:ln>
              <a:solidFill>
                <a:srgbClr val="AECFE6"/>
              </a:solidFill>
            </a:ln>
          </c:spPr>
          <c:marker>
            <c:symbol val="diamond"/>
            <c:size val="7"/>
            <c:spPr>
              <a:solidFill>
                <a:srgbClr val="AECFE6"/>
              </a:solidFill>
              <a:ln>
                <a:solidFill>
                  <a:srgbClr val="AECFE6"/>
                </a:solidFill>
              </a:ln>
            </c:spPr>
          </c:marker>
          <c:cat>
            <c:numRef>
              <c:f>'PRP LA trend tool 2015-23'!$E$249:$M$249</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2015-23'!$E$254:$M$254</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CD94-444C-A1B0-1A8286718B10}"/>
            </c:ext>
          </c:extLst>
        </c:ser>
        <c:ser>
          <c:idx val="2"/>
          <c:order val="2"/>
          <c:tx>
            <c:strRef>
              <c:f>'PRP LA trend tool 2015-23'!$B$256</c:f>
              <c:strCache>
                <c:ptCount val="1"/>
                <c:pt idx="0">
                  <c:v>England</c:v>
                </c:pt>
              </c:strCache>
            </c:strRef>
          </c:tx>
          <c:spPr>
            <a:ln>
              <a:solidFill>
                <a:srgbClr val="FCBE37"/>
              </a:solidFill>
            </a:ln>
          </c:spPr>
          <c:marker>
            <c:symbol val="circle"/>
            <c:size val="7"/>
            <c:spPr>
              <a:solidFill>
                <a:srgbClr val="FFC000"/>
              </a:solidFill>
              <a:ln>
                <a:solidFill>
                  <a:srgbClr val="FCBE37"/>
                </a:solidFill>
              </a:ln>
            </c:spPr>
          </c:marker>
          <c:cat>
            <c:numRef>
              <c:f>'PRP LA trend tool 2015-23'!$E$249:$M$249</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2015-23'!$E$257:$M$257</c:f>
              <c:numCache>
                <c:formatCode>"£"#,##0.00</c:formatCode>
                <c:ptCount val="9"/>
                <c:pt idx="0">
                  <c:v>146.38999999999999</c:v>
                </c:pt>
                <c:pt idx="1">
                  <c:v>154.62</c:v>
                </c:pt>
                <c:pt idx="2">
                  <c:v>163.69999999999999</c:v>
                </c:pt>
                <c:pt idx="3">
                  <c:v>166.43</c:v>
                </c:pt>
                <c:pt idx="4">
                  <c:v>169.93</c:v>
                </c:pt>
                <c:pt idx="5">
                  <c:v>172.58</c:v>
                </c:pt>
                <c:pt idx="6">
                  <c:v>176.5</c:v>
                </c:pt>
                <c:pt idx="7">
                  <c:v>181.29</c:v>
                </c:pt>
                <c:pt idx="8">
                  <c:v>193.03</c:v>
                </c:pt>
              </c:numCache>
            </c:numRef>
          </c:val>
          <c:smooth val="0"/>
          <c:extLst>
            <c:ext xmlns:c16="http://schemas.microsoft.com/office/drawing/2014/chart" uri="{C3380CC4-5D6E-409C-BE32-E72D297353CC}">
              <c16:uniqueId val="{00000002-CD94-444C-A1B0-1A8286718B10}"/>
            </c:ext>
          </c:extLst>
        </c:ser>
        <c:dLbls>
          <c:showLegendKey val="0"/>
          <c:showVal val="0"/>
          <c:showCatName val="0"/>
          <c:showSerName val="0"/>
          <c:showPercent val="0"/>
          <c:showBubbleSize val="0"/>
        </c:dLbls>
        <c:marker val="1"/>
        <c:smooth val="0"/>
        <c:axId val="192931712"/>
        <c:axId val="192942080"/>
      </c:lineChart>
      <c:catAx>
        <c:axId val="192931712"/>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92942080"/>
        <c:crosses val="autoZero"/>
        <c:auto val="1"/>
        <c:lblAlgn val="ctr"/>
        <c:lblOffset val="100"/>
        <c:noMultiLvlLbl val="0"/>
      </c:catAx>
      <c:valAx>
        <c:axId val="192942080"/>
        <c:scaling>
          <c:orientation val="minMax"/>
        </c:scaling>
        <c:delete val="0"/>
        <c:axPos val="l"/>
        <c:majorGridlines>
          <c:spPr>
            <a:ln>
              <a:solidFill>
                <a:schemeClr val="bg1">
                  <a:lumMod val="75000"/>
                </a:schemeClr>
              </a:solidFill>
            </a:ln>
          </c:spPr>
        </c:majorGridlines>
        <c:numFmt formatCode="&quot;£&quot;#,##0_);\(&quot;£&quot;#,##0\)" sourceLinked="0"/>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92931712"/>
        <c:crosses val="autoZero"/>
        <c:crossBetween val="between"/>
      </c:valAx>
      <c:spPr>
        <a:noFill/>
      </c:spPr>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'PRP LA trend tool 2015-23'!$O$368</c:f>
          <c:strCache>
            <c:ptCount val="1"/>
            <c:pt idx="0">
              <c:v>Vacant general needs self-contained units and percentage of all general needs self-contained units vacant</c:v>
            </c:pt>
          </c:strCache>
        </c:strRef>
      </c:tx>
      <c:layout>
        <c:manualLayout>
          <c:xMode val="edge"/>
          <c:yMode val="edge"/>
          <c:x val="3.2039469456882131E-3"/>
          <c:y val="5.8585115485273445E-3"/>
        </c:manualLayout>
      </c:layout>
      <c:overlay val="0"/>
      <c:txPr>
        <a:bodyPr/>
        <a:lstStyle/>
        <a:p>
          <a:pPr algn="l" rtl="0">
            <a:defRPr lang="en-US" sz="1200" b="1" i="0" u="none" strike="noStrike" kern="1200" baseline="0">
              <a:solidFill>
                <a:srgbClr val="8064A2">
                  <a:lumMod val="75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1758065047408646E-2"/>
          <c:y val="0.11864613950534217"/>
          <c:w val="0.81440951936874328"/>
          <c:h val="0.70859634172403729"/>
        </c:manualLayout>
      </c:layout>
      <c:barChart>
        <c:barDir val="col"/>
        <c:grouping val="stacked"/>
        <c:varyColors val="0"/>
        <c:ser>
          <c:idx val="0"/>
          <c:order val="0"/>
          <c:tx>
            <c:strRef>
              <c:f>'PRP LA trend tool 2015-23'!$B$344</c:f>
              <c:strCache>
                <c:ptCount val="1"/>
                <c:pt idx="0">
                  <c:v>Vacant and available for letting</c:v>
                </c:pt>
              </c:strCache>
            </c:strRef>
          </c:tx>
          <c:spPr>
            <a:solidFill>
              <a:srgbClr val="59468D"/>
            </a:solidFill>
          </c:spPr>
          <c:invertIfNegative val="0"/>
          <c:dPt>
            <c:idx val="0"/>
            <c:invertIfNegative val="0"/>
            <c:bubble3D val="0"/>
            <c:spPr>
              <a:solidFill>
                <a:srgbClr val="59468D"/>
              </a:solidFill>
            </c:spPr>
            <c:extLst>
              <c:ext xmlns:c16="http://schemas.microsoft.com/office/drawing/2014/chart" uri="{C3380CC4-5D6E-409C-BE32-E72D297353CC}">
                <c16:uniqueId val="{00000001-FC55-44E9-94CF-AD02F83DCB4B}"/>
              </c:ext>
            </c:extLst>
          </c:dPt>
          <c:cat>
            <c:numRef>
              <c:f>'PRP LA trend tool 2015-23'!$E$341:$M$341</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2015-23'!$E$344:$M$344</c:f>
              <c:numCache>
                <c:formatCode>_-* #,##0_-;\-* #,##0_-;_-*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FC55-44E9-94CF-AD02F83DCB4B}"/>
            </c:ext>
          </c:extLst>
        </c:ser>
        <c:ser>
          <c:idx val="1"/>
          <c:order val="1"/>
          <c:tx>
            <c:strRef>
              <c:f>'PRP LA trend tool 2015-23'!$B$345</c:f>
              <c:strCache>
                <c:ptCount val="1"/>
                <c:pt idx="0">
                  <c:v>Vacant and not available for letting</c:v>
                </c:pt>
              </c:strCache>
            </c:strRef>
          </c:tx>
          <c:spPr>
            <a:solidFill>
              <a:srgbClr val="AECFE6"/>
            </a:solidFill>
          </c:spPr>
          <c:invertIfNegative val="0"/>
          <c:cat>
            <c:numRef>
              <c:f>'PRP LA trend tool 2015-23'!$E$341:$M$341</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2015-23'!$E$345:$M$345</c:f>
              <c:numCache>
                <c:formatCode>_-* #,##0_-;\-* #,##0_-;_-*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FC55-44E9-94CF-AD02F83DCB4B}"/>
            </c:ext>
          </c:extLst>
        </c:ser>
        <c:dLbls>
          <c:showLegendKey val="0"/>
          <c:showVal val="0"/>
          <c:showCatName val="0"/>
          <c:showSerName val="0"/>
          <c:showPercent val="0"/>
          <c:showBubbleSize val="0"/>
        </c:dLbls>
        <c:gapWidth val="92"/>
        <c:overlap val="100"/>
        <c:axId val="192971136"/>
        <c:axId val="192973056"/>
      </c:barChart>
      <c:lineChart>
        <c:grouping val="standard"/>
        <c:varyColors val="0"/>
        <c:ser>
          <c:idx val="2"/>
          <c:order val="2"/>
          <c:tx>
            <c:strRef>
              <c:f>'PRP LA trend tool 2015-23'!$B$347</c:f>
              <c:strCache>
                <c:ptCount val="1"/>
                <c:pt idx="0">
                  <c:v>% of units vacant</c:v>
                </c:pt>
              </c:strCache>
            </c:strRef>
          </c:tx>
          <c:spPr>
            <a:ln>
              <a:solidFill>
                <a:srgbClr val="FCBE37"/>
              </a:solidFill>
            </a:ln>
          </c:spPr>
          <c:marker>
            <c:symbol val="diamond"/>
            <c:size val="5"/>
            <c:spPr>
              <a:solidFill>
                <a:srgbClr val="FCBE37"/>
              </a:solidFill>
              <a:ln>
                <a:solidFill>
                  <a:srgbClr val="FCBE37"/>
                </a:solidFill>
              </a:ln>
            </c:spPr>
          </c:marker>
          <c:cat>
            <c:numRef>
              <c:f>'PRP LA trend tool 2015-23'!$E$341:$M$341</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2015-23'!$E$347:$M$347</c:f>
              <c:numCache>
                <c:formatCode>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FC55-44E9-94CF-AD02F83DCB4B}"/>
            </c:ext>
          </c:extLst>
        </c:ser>
        <c:dLbls>
          <c:showLegendKey val="0"/>
          <c:showVal val="0"/>
          <c:showCatName val="0"/>
          <c:showSerName val="0"/>
          <c:showPercent val="0"/>
          <c:showBubbleSize val="0"/>
        </c:dLbls>
        <c:marker val="1"/>
        <c:smooth val="0"/>
        <c:axId val="192976384"/>
        <c:axId val="192974848"/>
      </c:lineChart>
      <c:catAx>
        <c:axId val="192971136"/>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en-US"/>
          </a:p>
        </c:txPr>
        <c:crossAx val="192973056"/>
        <c:crosses val="autoZero"/>
        <c:auto val="1"/>
        <c:lblAlgn val="ctr"/>
        <c:lblOffset val="100"/>
        <c:noMultiLvlLbl val="0"/>
      </c:catAx>
      <c:valAx>
        <c:axId val="192973056"/>
        <c:scaling>
          <c:orientation val="minMax"/>
        </c:scaling>
        <c:delete val="0"/>
        <c:axPos val="l"/>
        <c:majorGridlines>
          <c:spPr>
            <a:ln>
              <a:solidFill>
                <a:sysClr val="window" lastClr="FFFFFF">
                  <a:lumMod val="75000"/>
                </a:sysClr>
              </a:solidFill>
            </a:ln>
          </c:spPr>
        </c:majorGridlines>
        <c:numFmt formatCode="#,##0" sourceLinked="0"/>
        <c:majorTickMark val="out"/>
        <c:minorTickMark val="none"/>
        <c:tickLblPos val="nextTo"/>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en-US"/>
          </a:p>
        </c:txPr>
        <c:crossAx val="192971136"/>
        <c:crosses val="autoZero"/>
        <c:crossBetween val="between"/>
      </c:valAx>
      <c:valAx>
        <c:axId val="192974848"/>
        <c:scaling>
          <c:orientation val="minMax"/>
        </c:scaling>
        <c:delete val="0"/>
        <c:axPos val="r"/>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2976384"/>
        <c:crosses val="max"/>
        <c:crossBetween val="between"/>
      </c:valAx>
      <c:catAx>
        <c:axId val="192976384"/>
        <c:scaling>
          <c:orientation val="minMax"/>
        </c:scaling>
        <c:delete val="1"/>
        <c:axPos val="b"/>
        <c:numFmt formatCode="General" sourceLinked="1"/>
        <c:majorTickMark val="out"/>
        <c:minorTickMark val="none"/>
        <c:tickLblPos val="nextTo"/>
        <c:crossAx val="192974848"/>
        <c:crosses val="autoZero"/>
        <c:auto val="1"/>
        <c:lblAlgn val="ctr"/>
        <c:lblOffset val="100"/>
        <c:noMultiLvlLbl val="0"/>
      </c:catAx>
      <c:spPr>
        <a:noFill/>
      </c:spPr>
    </c:plotArea>
    <c:legend>
      <c:legendPos val="b"/>
      <c:layout>
        <c:manualLayout>
          <c:xMode val="edge"/>
          <c:yMode val="edge"/>
          <c:x val="9.2485995151925002E-2"/>
          <c:y val="0.90197448249931356"/>
          <c:w val="0.8288606361940265"/>
          <c:h val="8.3517757281416902E-2"/>
        </c:manualLayout>
      </c:layout>
      <c:overlay val="0"/>
      <c:txPr>
        <a:bodyPr/>
        <a:lstStyle/>
        <a:p>
          <a:pPr rtl="0">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'PRP LA trend tool 2015-23'!$K$291</c:f>
          <c:strCache>
            <c:ptCount val="1"/>
            <c:pt idx="0">
              <c:v>Percentage of sales per year by type for large PRPs</c:v>
            </c:pt>
          </c:strCache>
        </c:strRef>
      </c:tx>
      <c:layout>
        <c:manualLayout>
          <c:xMode val="edge"/>
          <c:yMode val="edge"/>
          <c:x val="4.7244277888922629E-3"/>
          <c:y val="8.636571723514546E-3"/>
        </c:manualLayout>
      </c:layout>
      <c:overlay val="0"/>
      <c:txPr>
        <a:bodyPr/>
        <a:lstStyle/>
        <a:p>
          <a:pPr algn="l">
            <a:defRPr sz="1200">
              <a:solidFill>
                <a:schemeClr val="accent4">
                  <a:lumMod val="75000"/>
                </a:schemeClr>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9.9938321956074161E-2"/>
          <c:y val="0.12260381090224921"/>
          <c:w val="0.86051728336146505"/>
          <c:h val="0.61875307253540568"/>
        </c:manualLayout>
      </c:layout>
      <c:barChart>
        <c:barDir val="bar"/>
        <c:grouping val="stacked"/>
        <c:varyColors val="0"/>
        <c:ser>
          <c:idx val="0"/>
          <c:order val="0"/>
          <c:tx>
            <c:strRef>
              <c:f>'PRP LA trend tool 2015-23'!$Q$273</c:f>
              <c:strCache>
                <c:ptCount val="1"/>
                <c:pt idx="0">
                  <c:v>Total sales to registered providers</c:v>
                </c:pt>
              </c:strCache>
            </c:strRef>
          </c:tx>
          <c:spPr>
            <a:solidFill>
              <a:srgbClr val="59468D"/>
            </a:solidFill>
          </c:spPr>
          <c:invertIfNegative val="0"/>
          <c:cat>
            <c:numRef>
              <c:f>'PRP LA trend tool 2015-23'!$R$272:$Z$272</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2015-23'!$R$273:$Z$273</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A1A9-456C-A7CB-B339B154BBE2}"/>
            </c:ext>
          </c:extLst>
        </c:ser>
        <c:ser>
          <c:idx val="1"/>
          <c:order val="1"/>
          <c:tx>
            <c:strRef>
              <c:f>'PRP LA trend tool 2015-23'!$Q$274</c:f>
              <c:strCache>
                <c:ptCount val="1"/>
                <c:pt idx="0">
                  <c:v>Total sales to tenants</c:v>
                </c:pt>
              </c:strCache>
            </c:strRef>
          </c:tx>
          <c:spPr>
            <a:solidFill>
              <a:srgbClr val="AECFE6"/>
            </a:solidFill>
          </c:spPr>
          <c:invertIfNegative val="0"/>
          <c:cat>
            <c:numRef>
              <c:f>'PRP LA trend tool 2015-23'!$R$272:$Z$272</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2015-23'!$R$274:$Z$274</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A1A9-456C-A7CB-B339B154BBE2}"/>
            </c:ext>
          </c:extLst>
        </c:ser>
        <c:ser>
          <c:idx val="2"/>
          <c:order val="2"/>
          <c:tx>
            <c:strRef>
              <c:f>'PRP LA trend tool 2015-23'!$Q$275</c:f>
              <c:strCache>
                <c:ptCount val="1"/>
                <c:pt idx="0">
                  <c:v>Total sales to other</c:v>
                </c:pt>
              </c:strCache>
            </c:strRef>
          </c:tx>
          <c:spPr>
            <a:solidFill>
              <a:srgbClr val="FCBE37"/>
            </a:solidFill>
          </c:spPr>
          <c:invertIfNegative val="0"/>
          <c:cat>
            <c:numRef>
              <c:f>'PRP LA trend tool 2015-23'!$R$272:$Z$272</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2015-23'!$R$275:$Z$275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A1A9-456C-A7CB-B339B154BBE2}"/>
            </c:ext>
          </c:extLst>
        </c:ser>
        <c:ser>
          <c:idx val="3"/>
          <c:order val="3"/>
          <c:tx>
            <c:strRef>
              <c:f>'PRP LA trend tool 2015-23'!$Q$276</c:f>
              <c:strCache>
                <c:ptCount val="1"/>
                <c:pt idx="0">
                  <c:v>First tranche LCHO sales</c:v>
                </c:pt>
              </c:strCache>
            </c:strRef>
          </c:tx>
          <c:spPr>
            <a:solidFill>
              <a:srgbClr val="97D88A"/>
            </a:solidFill>
          </c:spPr>
          <c:invertIfNegative val="0"/>
          <c:cat>
            <c:numRef>
              <c:f>'PRP LA trend tool 2015-23'!$R$272:$Z$272</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2015-23'!$R$276:$Z$276</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A1A9-456C-A7CB-B339B154BBE2}"/>
            </c:ext>
          </c:extLst>
        </c:ser>
        <c:ser>
          <c:idx val="4"/>
          <c:order val="4"/>
          <c:tx>
            <c:strRef>
              <c:f>'PRP LA trend tool 2015-23'!$Q$277</c:f>
              <c:strCache>
                <c:ptCount val="1"/>
                <c:pt idx="0">
                  <c:v>100% staircased LCHO sales</c:v>
                </c:pt>
              </c:strCache>
            </c:strRef>
          </c:tx>
          <c:spPr>
            <a:solidFill>
              <a:srgbClr val="E1CE9D"/>
            </a:solidFill>
          </c:spPr>
          <c:invertIfNegative val="0"/>
          <c:cat>
            <c:numRef>
              <c:f>'PRP LA trend tool 2015-23'!$R$272:$Z$272</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'PRP LA trend tool 2015-23'!$R$277:$Z$277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A1A9-456C-A7CB-B339B154BBE2}"/>
            </c:ext>
          </c:extLst>
        </c:ser>
        <c:dLbls>
          <c:showLegendKey val="0"/>
          <c:showVal val="0"/>
          <c:showCatName val="0"/>
          <c:showSerName val="0"/>
          <c:showPercent val="0"/>
          <c:showBubbleSize val="0"/>
        </c:dLbls>
        <c:gapWidth val="80"/>
        <c:overlap val="100"/>
        <c:axId val="434268800"/>
        <c:axId val="434274688"/>
      </c:barChart>
      <c:catAx>
        <c:axId val="434268800"/>
        <c:scaling>
          <c:orientation val="minMax"/>
        </c:scaling>
        <c:delete val="0"/>
        <c:axPos val="l"/>
        <c:numFmt formatCode="General" sourceLinked="1"/>
        <c:majorTickMark val="out"/>
        <c:minorTickMark val="none"/>
        <c:tickLblPos val="nextTo"/>
        <c:spPr>
          <a:ln>
            <a:solidFill>
              <a:sysClr val="windowText" lastClr="000000"/>
            </a:solidFill>
          </a:ln>
        </c:spPr>
        <c:txPr>
          <a:bodyPr/>
          <a:lstStyle/>
          <a:p>
            <a:pPr>
              <a:defRPr sz="1000">
                <a:latin typeface="Arial" panose="020B0604020202020204" pitchFamily="34" charset="0"/>
                <a:cs typeface="Arial" panose="020B0604020202020204" pitchFamily="34" charset="0"/>
              </a:defRPr>
            </a:pPr>
            <a:endParaRPr lang="en-US"/>
          </a:p>
        </c:txPr>
        <c:crossAx val="434274688"/>
        <c:crosses val="autoZero"/>
        <c:auto val="1"/>
        <c:lblAlgn val="ctr"/>
        <c:lblOffset val="100"/>
        <c:noMultiLvlLbl val="0"/>
      </c:catAx>
      <c:valAx>
        <c:axId val="434274688"/>
        <c:scaling>
          <c:orientation val="minMax"/>
          <c:max val="1"/>
        </c:scaling>
        <c:delete val="0"/>
        <c:axPos val="b"/>
        <c:majorGridlines>
          <c:spPr>
            <a:ln>
              <a:solidFill>
                <a:sysClr val="window" lastClr="FFFFFF">
                  <a:lumMod val="75000"/>
                </a:sysClr>
              </a:solidFill>
            </a:ln>
          </c:spPr>
        </c:majorGridlines>
        <c:numFmt formatCode="0%" sourceLinked="1"/>
        <c:majorTickMark val="out"/>
        <c:minorTickMark val="none"/>
        <c:tickLblPos val="nextTo"/>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en-US"/>
          </a:p>
        </c:txPr>
        <c:crossAx val="434268800"/>
        <c:crosses val="autoZero"/>
        <c:crossBetween val="between"/>
      </c:valAx>
    </c:plotArea>
    <c:legend>
      <c:legendPos val="b"/>
      <c:layout>
        <c:manualLayout>
          <c:xMode val="edge"/>
          <c:yMode val="edge"/>
          <c:x val="3.2967834427686263E-2"/>
          <c:y val="0.81867659403313442"/>
          <c:w val="0.96338435930336463"/>
          <c:h val="0.1628047535724701"/>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0"/>
    <c:dispBlanksAs val="gap"/>
    <c:showDLblsOverMax val="0"/>
  </c:chart>
  <c:spPr>
    <a:ln>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4</xdr:col>
      <xdr:colOff>5829300</xdr:colOff>
      <xdr:row>1</xdr:row>
      <xdr:rowOff>22224</xdr:rowOff>
    </xdr:from>
    <xdr:to>
      <xdr:col>10</xdr:col>
      <xdr:colOff>590549</xdr:colOff>
      <xdr:row>7</xdr:row>
      <xdr:rowOff>25400</xdr:rowOff>
    </xdr:to>
    <xdr:sp macro="" textlink="">
      <xdr:nvSpPr>
        <xdr:cNvPr id="2" name="Text Box 2">
          <a:extLst>
            <a:ext uri="{FF2B5EF4-FFF2-40B4-BE49-F238E27FC236}">
              <a16:creationId xmlns:a16="http://schemas.microsoft.com/office/drawing/2014/main" id="{5BE3445B-2033-44BC-A05D-233AD8FB59ED}"/>
            </a:ext>
          </a:extLst>
        </xdr:cNvPr>
        <xdr:cNvSpPr>
          <a:spLocks noChangeArrowheads="1"/>
        </xdr:cNvSpPr>
      </xdr:nvSpPr>
      <xdr:spPr bwMode="auto">
        <a:xfrm>
          <a:off x="7639050" y="250824"/>
          <a:ext cx="4552949" cy="1517651"/>
        </a:xfrm>
        <a:prstGeom prst="roundRect">
          <a:avLst>
            <a:gd name="adj" fmla="val 9648"/>
          </a:avLst>
        </a:prstGeom>
        <a:noFill/>
        <a:ln w="28575" algn="ctr">
          <a:solidFill>
            <a:srgbClr val="59468D"/>
          </a:solidFill>
          <a:round/>
          <a:headEnd/>
          <a:tailEnd/>
        </a:ln>
        <a:effectLst/>
        <a:extLst>
          <a:ext uri="{909E8E84-426E-40DD-AFC4-6F175D3DCCD1}">
            <a14:hiddenFill xmlns:a14="http://schemas.microsoft.com/office/drawing/2010/main">
              <a:solidFill>
                <a:srgbClr val="EEEBF5"/>
              </a:solidFill>
            </a14:hiddenFill>
          </a:ext>
          <a:ext uri="{AF507438-7753-43E0-B8FC-AC1667EBCBE1}">
            <a14:hiddenEffects xmlns:a14="http://schemas.microsoft.com/office/drawing/2010/main">
              <a:effectLst>
                <a:outerShdw sx="0" sy="0" algn="ctr" rotWithShape="0">
                  <a:srgbClr val="59468D">
                    <a:alpha val="0"/>
                  </a:srgbClr>
                </a:outerShdw>
              </a:effectLst>
            </a14:hiddenEffects>
          </a:ext>
        </a:extLst>
      </xdr:spPr>
      <xdr:txBody>
        <a:bodyPr vertOverflow="clip" wrap="square" lIns="91440" tIns="45720" rIns="91440" bIns="45720" anchor="t" upright="1"/>
        <a:lstStyle/>
        <a:p>
          <a:pPr algn="ctr" rtl="0">
            <a:defRPr sz="1000"/>
          </a:pPr>
          <a:r>
            <a:rPr lang="en-GB" sz="1200" b="1" i="0" u="none" strike="noStrike" baseline="0">
              <a:solidFill>
                <a:srgbClr val="594691"/>
              </a:solidFill>
              <a:latin typeface="Arial"/>
              <a:cs typeface="Arial"/>
            </a:rPr>
            <a:t>Why not have your say on our statistics in 2023/24?</a:t>
          </a:r>
        </a:p>
        <a:p>
          <a:pPr algn="ctr" rtl="0">
            <a:defRPr sz="1000"/>
          </a:pPr>
          <a:endParaRPr lang="en-GB" sz="600" b="1" i="0" u="none" strike="noStrike" baseline="0">
            <a:solidFill>
              <a:srgbClr val="594691"/>
            </a:solidFill>
            <a:latin typeface="Arial"/>
            <a:cs typeface="Arial"/>
          </a:endParaRPr>
        </a:p>
        <a:p>
          <a:pPr algn="ctr" rtl="0">
            <a:defRPr sz="1000"/>
          </a:pPr>
          <a:r>
            <a:rPr lang="en-GB" sz="1000" b="0" i="0" u="none" strike="noStrike" baseline="0">
              <a:solidFill>
                <a:srgbClr val="594691"/>
              </a:solidFill>
              <a:latin typeface="Arial"/>
              <a:cs typeface="Arial"/>
            </a:rPr>
            <a:t>Email feedback to </a:t>
          </a:r>
          <a:r>
            <a:rPr lang="en-GB" sz="1000" b="0" i="0" u="none" strike="noStrike" baseline="0">
              <a:solidFill>
                <a:srgbClr val="0000FF"/>
              </a:solidFill>
              <a:latin typeface="Arial"/>
              <a:cs typeface="Arial"/>
            </a:rPr>
            <a:t>enquiries@rsh.gov.uk</a:t>
          </a:r>
          <a:r>
            <a:rPr lang="en-GB" sz="1000" b="0" i="0" u="none" strike="noStrike" baseline="0">
              <a:solidFill>
                <a:srgbClr val="594691"/>
              </a:solidFill>
              <a:latin typeface="Arial"/>
              <a:cs typeface="Arial"/>
            </a:rPr>
            <a:t> or rate how this document meets your needs </a:t>
          </a:r>
          <a:r>
            <a:rPr lang="en-GB" sz="1000" b="1" i="0" u="none" strike="noStrike" baseline="0">
              <a:solidFill>
                <a:srgbClr val="594691"/>
              </a:solidFill>
              <a:latin typeface="Arial"/>
              <a:cs typeface="Arial"/>
            </a:rPr>
            <a:t>by clicking 1 of the 3 options below:</a:t>
          </a:r>
        </a:p>
        <a:p>
          <a:pPr algn="ctr" rtl="0">
            <a:defRPr sz="1000"/>
          </a:pPr>
          <a:endParaRPr lang="en-GB" sz="1000" b="1" i="0" u="none" strike="noStrike" baseline="0">
            <a:solidFill>
              <a:srgbClr val="594691"/>
            </a:solidFill>
            <a:latin typeface="Arial"/>
            <a:cs typeface="Arial"/>
          </a:endParaRPr>
        </a:p>
        <a:p>
          <a:pPr algn="l" rtl="0">
            <a:defRPr sz="1000"/>
          </a:pPr>
          <a:endParaRPr lang="en-GB" sz="1100" b="0" i="0" u="none" strike="noStrike" baseline="0">
            <a:solidFill>
              <a:srgbClr val="00B050"/>
            </a:solidFill>
            <a:latin typeface="Arial"/>
            <a:cs typeface="Arial"/>
          </a:endParaRPr>
        </a:p>
      </xdr:txBody>
    </xdr:sp>
    <xdr:clientData/>
  </xdr:twoCellAnchor>
  <xdr:twoCellAnchor editAs="oneCell">
    <xdr:from>
      <xdr:col>1</xdr:col>
      <xdr:colOff>263526</xdr:colOff>
      <xdr:row>1</xdr:row>
      <xdr:rowOff>206822</xdr:rowOff>
    </xdr:from>
    <xdr:to>
      <xdr:col>4</xdr:col>
      <xdr:colOff>787401</xdr:colOff>
      <xdr:row>5</xdr:row>
      <xdr:rowOff>96801</xdr:rowOff>
    </xdr:to>
    <xdr:pic>
      <xdr:nvPicPr>
        <xdr:cNvPr id="3" name="Picture 2">
          <a:extLst>
            <a:ext uri="{FF2B5EF4-FFF2-40B4-BE49-F238E27FC236}">
              <a16:creationId xmlns:a16="http://schemas.microsoft.com/office/drawing/2014/main" id="{BC720063-A50D-47D4-AE95-71D306030833}"/>
            </a:ext>
          </a:extLst>
        </xdr:cNvPr>
        <xdr:cNvPicPr>
          <a:picLocks noChangeAspect="1"/>
        </xdr:cNvPicPr>
      </xdr:nvPicPr>
      <xdr:blipFill>
        <a:blip xmlns:r="http://schemas.openxmlformats.org/officeDocument/2006/relationships" r:embed="rId1"/>
        <a:stretch>
          <a:fillRect/>
        </a:stretch>
      </xdr:blipFill>
      <xdr:spPr>
        <a:xfrm>
          <a:off x="482601" y="435422"/>
          <a:ext cx="2117725" cy="10425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333375</xdr:colOff>
      <xdr:row>1</xdr:row>
      <xdr:rowOff>19050</xdr:rowOff>
    </xdr:from>
    <xdr:ext cx="1428297" cy="727075"/>
    <xdr:pic>
      <xdr:nvPicPr>
        <xdr:cNvPr id="2" name="Picture 1">
          <a:extLst>
            <a:ext uri="{FF2B5EF4-FFF2-40B4-BE49-F238E27FC236}">
              <a16:creationId xmlns:a16="http://schemas.microsoft.com/office/drawing/2014/main" id="{66777289-B530-4507-B8B4-E03892C1C2FC}"/>
            </a:ext>
          </a:extLst>
        </xdr:cNvPr>
        <xdr:cNvPicPr>
          <a:picLocks noChangeAspect="1"/>
        </xdr:cNvPicPr>
      </xdr:nvPicPr>
      <xdr:blipFill>
        <a:blip xmlns:r="http://schemas.openxmlformats.org/officeDocument/2006/relationships" r:embed="rId1"/>
        <a:stretch>
          <a:fillRect/>
        </a:stretch>
      </xdr:blipFill>
      <xdr:spPr>
        <a:xfrm>
          <a:off x="333375" y="314325"/>
          <a:ext cx="1428297" cy="7270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206375</xdr:colOff>
      <xdr:row>0</xdr:row>
      <xdr:rowOff>282575</xdr:rowOff>
    </xdr:from>
    <xdr:ext cx="1384638" cy="704850"/>
    <xdr:pic>
      <xdr:nvPicPr>
        <xdr:cNvPr id="2" name="Picture 1">
          <a:extLst>
            <a:ext uri="{FF2B5EF4-FFF2-40B4-BE49-F238E27FC236}">
              <a16:creationId xmlns:a16="http://schemas.microsoft.com/office/drawing/2014/main" id="{B2011ED5-191B-450A-8F21-956A66D0D598}"/>
            </a:ext>
          </a:extLst>
        </xdr:cNvPr>
        <xdr:cNvPicPr>
          <a:picLocks noChangeAspect="1"/>
        </xdr:cNvPicPr>
      </xdr:nvPicPr>
      <xdr:blipFill>
        <a:blip xmlns:r="http://schemas.openxmlformats.org/officeDocument/2006/relationships" r:embed="rId1"/>
        <a:stretch>
          <a:fillRect/>
        </a:stretch>
      </xdr:blipFill>
      <xdr:spPr>
        <a:xfrm>
          <a:off x="311150" y="282575"/>
          <a:ext cx="1384638" cy="7048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800963</xdr:colOff>
      <xdr:row>65</xdr:row>
      <xdr:rowOff>2684</xdr:rowOff>
    </xdr:from>
    <xdr:to>
      <xdr:col>12</xdr:col>
      <xdr:colOff>800963</xdr:colOff>
      <xdr:row>90</xdr:row>
      <xdr:rowOff>151109</xdr:rowOff>
    </xdr:to>
    <xdr:graphicFrame macro="">
      <xdr:nvGraphicFramePr>
        <xdr:cNvPr id="2" name="Chart 1">
          <a:extLst>
            <a:ext uri="{FF2B5EF4-FFF2-40B4-BE49-F238E27FC236}">
              <a16:creationId xmlns:a16="http://schemas.microsoft.com/office/drawing/2014/main" id="{BC71E521-2C2F-421C-B733-4AE30BBA9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802813</xdr:colOff>
      <xdr:row>10</xdr:row>
      <xdr:rowOff>10073</xdr:rowOff>
    </xdr:from>
    <xdr:to>
      <xdr:col>12</xdr:col>
      <xdr:colOff>800963</xdr:colOff>
      <xdr:row>35</xdr:row>
      <xdr:rowOff>164848</xdr:rowOff>
    </xdr:to>
    <xdr:graphicFrame macro="">
      <xdr:nvGraphicFramePr>
        <xdr:cNvPr id="3" name="Chart 2">
          <a:extLst>
            <a:ext uri="{FF2B5EF4-FFF2-40B4-BE49-F238E27FC236}">
              <a16:creationId xmlns:a16="http://schemas.microsoft.com/office/drawing/2014/main" id="{043D763D-F149-43A7-A726-2213A239F8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800100</xdr:colOff>
      <xdr:row>119</xdr:row>
      <xdr:rowOff>952</xdr:rowOff>
    </xdr:from>
    <xdr:to>
      <xdr:col>12</xdr:col>
      <xdr:colOff>800963</xdr:colOff>
      <xdr:row>144</xdr:row>
      <xdr:rowOff>152552</xdr:rowOff>
    </xdr:to>
    <xdr:graphicFrame macro="">
      <xdr:nvGraphicFramePr>
        <xdr:cNvPr id="5" name="Chart 4">
          <a:extLst>
            <a:ext uri="{FF2B5EF4-FFF2-40B4-BE49-F238E27FC236}">
              <a16:creationId xmlns:a16="http://schemas.microsoft.com/office/drawing/2014/main" id="{9CFEFB11-E86E-4760-A535-FEC265DE3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803663</xdr:colOff>
      <xdr:row>174</xdr:row>
      <xdr:rowOff>2226</xdr:rowOff>
    </xdr:from>
    <xdr:to>
      <xdr:col>12</xdr:col>
      <xdr:colOff>800963</xdr:colOff>
      <xdr:row>199</xdr:row>
      <xdr:rowOff>150651</xdr:rowOff>
    </xdr:to>
    <xdr:graphicFrame macro="">
      <xdr:nvGraphicFramePr>
        <xdr:cNvPr id="6" name="Chart 5">
          <a:extLst>
            <a:ext uri="{FF2B5EF4-FFF2-40B4-BE49-F238E27FC236}">
              <a16:creationId xmlns:a16="http://schemas.microsoft.com/office/drawing/2014/main" id="{0935598D-3B14-4EA2-8CD2-7ACFE6C345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804088</xdr:colOff>
      <xdr:row>218</xdr:row>
      <xdr:rowOff>0</xdr:rowOff>
    </xdr:from>
    <xdr:to>
      <xdr:col>12</xdr:col>
      <xdr:colOff>800963</xdr:colOff>
      <xdr:row>243</xdr:row>
      <xdr:rowOff>145250</xdr:rowOff>
    </xdr:to>
    <xdr:graphicFrame macro="">
      <xdr:nvGraphicFramePr>
        <xdr:cNvPr id="7" name="Chart 6">
          <a:extLst>
            <a:ext uri="{FF2B5EF4-FFF2-40B4-BE49-F238E27FC236}">
              <a16:creationId xmlns:a16="http://schemas.microsoft.com/office/drawing/2014/main" id="{F8D382CA-2F69-46A3-9142-6CCB1AF898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1238</xdr:colOff>
      <xdr:row>311</xdr:row>
      <xdr:rowOff>1628</xdr:rowOff>
    </xdr:from>
    <xdr:to>
      <xdr:col>12</xdr:col>
      <xdr:colOff>800963</xdr:colOff>
      <xdr:row>336</xdr:row>
      <xdr:rowOff>150053</xdr:rowOff>
    </xdr:to>
    <xdr:graphicFrame macro="">
      <xdr:nvGraphicFramePr>
        <xdr:cNvPr id="8" name="Chart 7">
          <a:extLst>
            <a:ext uri="{FF2B5EF4-FFF2-40B4-BE49-F238E27FC236}">
              <a16:creationId xmlns:a16="http://schemas.microsoft.com/office/drawing/2014/main" id="{5F08E1EB-8684-4AC3-A3BB-CD49F8E80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813</xdr:colOff>
      <xdr:row>262</xdr:row>
      <xdr:rowOff>521</xdr:rowOff>
    </xdr:from>
    <xdr:to>
      <xdr:col>12</xdr:col>
      <xdr:colOff>800963</xdr:colOff>
      <xdr:row>287</xdr:row>
      <xdr:rowOff>142596</xdr:rowOff>
    </xdr:to>
    <xdr:graphicFrame macro="">
      <xdr:nvGraphicFramePr>
        <xdr:cNvPr id="9" name="Chart 4">
          <a:extLst>
            <a:ext uri="{FF2B5EF4-FFF2-40B4-BE49-F238E27FC236}">
              <a16:creationId xmlns:a16="http://schemas.microsoft.com/office/drawing/2014/main" id="{9D546350-6DD6-4232-9DBD-990992DE17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0</xdr:col>
      <xdr:colOff>168276</xdr:colOff>
      <xdr:row>0</xdr:row>
      <xdr:rowOff>381001</xdr:rowOff>
    </xdr:from>
    <xdr:ext cx="1496906" cy="762000"/>
    <xdr:pic>
      <xdr:nvPicPr>
        <xdr:cNvPr id="14" name="Picture 13">
          <a:extLst>
            <a:ext uri="{FF2B5EF4-FFF2-40B4-BE49-F238E27FC236}">
              <a16:creationId xmlns:a16="http://schemas.microsoft.com/office/drawing/2014/main" id="{A84CD062-62AE-4914-A036-445EEE1D95AD}"/>
            </a:ext>
          </a:extLst>
        </xdr:cNvPr>
        <xdr:cNvPicPr>
          <a:picLocks noChangeAspect="1"/>
        </xdr:cNvPicPr>
      </xdr:nvPicPr>
      <xdr:blipFill>
        <a:blip xmlns:r="http://schemas.openxmlformats.org/officeDocument/2006/relationships" r:embed="rId8"/>
        <a:stretch>
          <a:fillRect/>
        </a:stretch>
      </xdr:blipFill>
      <xdr:spPr>
        <a:xfrm>
          <a:off x="168276" y="381001"/>
          <a:ext cx="1496906" cy="7620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38099</xdr:colOff>
      <xdr:row>14</xdr:row>
      <xdr:rowOff>95250</xdr:rowOff>
    </xdr:from>
    <xdr:to>
      <xdr:col>9</xdr:col>
      <xdr:colOff>294626</xdr:colOff>
      <xdr:row>22</xdr:row>
      <xdr:rowOff>120650</xdr:rowOff>
    </xdr:to>
    <xdr:pic>
      <xdr:nvPicPr>
        <xdr:cNvPr id="5" name="Picture 4">
          <a:extLst>
            <a:ext uri="{FF2B5EF4-FFF2-40B4-BE49-F238E27FC236}">
              <a16:creationId xmlns:a16="http://schemas.microsoft.com/office/drawing/2014/main" id="{8A3B3295-74E6-4138-8B75-2AEA274B8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1752600"/>
          <a:ext cx="5139677" cy="147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25400</xdr:colOff>
      <xdr:row>27</xdr:row>
      <xdr:rowOff>82549</xdr:rowOff>
    </xdr:from>
    <xdr:to>
      <xdr:col>9</xdr:col>
      <xdr:colOff>267834</xdr:colOff>
      <xdr:row>32</xdr:row>
      <xdr:rowOff>136524</xdr:rowOff>
    </xdr:to>
    <xdr:pic>
      <xdr:nvPicPr>
        <xdr:cNvPr id="6" name="Picture 5">
          <a:extLst>
            <a:ext uri="{FF2B5EF4-FFF2-40B4-BE49-F238E27FC236}">
              <a16:creationId xmlns:a16="http://schemas.microsoft.com/office/drawing/2014/main" id="{88981A17-7EFC-409E-9B15-EBCA005D3F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800" y="4146549"/>
          <a:ext cx="5116059" cy="955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35</xdr:row>
      <xdr:rowOff>120649</xdr:rowOff>
    </xdr:from>
    <xdr:to>
      <xdr:col>9</xdr:col>
      <xdr:colOff>209550</xdr:colOff>
      <xdr:row>43</xdr:row>
      <xdr:rowOff>136070</xdr:rowOff>
    </xdr:to>
    <xdr:pic>
      <xdr:nvPicPr>
        <xdr:cNvPr id="7" name="Picture 6">
          <a:extLst>
            <a:ext uri="{FF2B5EF4-FFF2-40B4-BE49-F238E27FC236}">
              <a16:creationId xmlns:a16="http://schemas.microsoft.com/office/drawing/2014/main" id="{AC96B7E0-9523-4E2D-8217-18469CD80A3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0" y="5657849"/>
          <a:ext cx="5067300" cy="1460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133349</xdr:colOff>
      <xdr:row>4</xdr:row>
      <xdr:rowOff>95250</xdr:rowOff>
    </xdr:from>
    <xdr:to>
      <xdr:col>9</xdr:col>
      <xdr:colOff>313251</xdr:colOff>
      <xdr:row>10</xdr:row>
      <xdr:rowOff>38100</xdr:rowOff>
    </xdr:to>
    <xdr:pic>
      <xdr:nvPicPr>
        <xdr:cNvPr id="8" name="Picture 7">
          <a:extLst>
            <a:ext uri="{FF2B5EF4-FFF2-40B4-BE49-F238E27FC236}">
              <a16:creationId xmlns:a16="http://schemas.microsoft.com/office/drawing/2014/main" id="{A0E6434C-103C-4910-B333-FC8C02446E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349" y="990600"/>
          <a:ext cx="5440877"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46</xdr:row>
      <xdr:rowOff>133350</xdr:rowOff>
    </xdr:from>
    <xdr:to>
      <xdr:col>9</xdr:col>
      <xdr:colOff>215900</xdr:colOff>
      <xdr:row>52</xdr:row>
      <xdr:rowOff>64646</xdr:rowOff>
    </xdr:to>
    <xdr:pic>
      <xdr:nvPicPr>
        <xdr:cNvPr id="3" name="Picture 2">
          <a:extLst>
            <a:ext uri="{FF2B5EF4-FFF2-40B4-BE49-F238E27FC236}">
              <a16:creationId xmlns:a16="http://schemas.microsoft.com/office/drawing/2014/main" id="{90EF4152-D530-41A9-AFC7-20AB163ED697}"/>
            </a:ext>
          </a:extLst>
        </xdr:cNvPr>
        <xdr:cNvPicPr>
          <a:picLocks noChangeAspect="1"/>
        </xdr:cNvPicPr>
      </xdr:nvPicPr>
      <xdr:blipFill>
        <a:blip xmlns:r="http://schemas.openxmlformats.org/officeDocument/2006/relationships" r:embed="rId5"/>
        <a:stretch>
          <a:fillRect/>
        </a:stretch>
      </xdr:blipFill>
      <xdr:spPr>
        <a:xfrm>
          <a:off x="76200" y="8667750"/>
          <a:ext cx="5400675" cy="10203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enquiries@rsh.gov.uk?subject=Trend%20Lookup%20tool%20meets%20no%20needs" TargetMode="External"/><Relationship Id="rId2" Type="http://schemas.openxmlformats.org/officeDocument/2006/relationships/hyperlink" Target="mailto:enquiries@rsh.gov.uk?subject=Trend%20Lookup%20tool%20meets%20some%20needs" TargetMode="External"/><Relationship Id="rId1" Type="http://schemas.openxmlformats.org/officeDocument/2006/relationships/hyperlink" Target="mailto:enquiries@rsh.gov.uk?subject=Trend%20Lookup%20tool%20meets%20my%20need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enquiries@rsh.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london.gov.uk/what-we-do/housing-and-land/homes-londoners-affordable-homes-programmes/homes-londoners-affordable-homes-programme-2016-2023"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enquiries@rsh.gov.uk"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47881-1859-4E51-9F4F-BE96120BC3B5}">
  <sheetPr codeName="Sheet8">
    <tabColor rgb="FF59468D"/>
    <pageSetUpPr fitToPage="1"/>
  </sheetPr>
  <dimension ref="A1:K53"/>
  <sheetViews>
    <sheetView tabSelected="1" zoomScaleNormal="100" workbookViewId="0">
      <selection activeCell="B11" sqref="B11:J18"/>
    </sheetView>
  </sheetViews>
  <sheetFormatPr defaultColWidth="9.140625" defaultRowHeight="15" x14ac:dyDescent="0.25"/>
  <cols>
    <col min="1" max="1" width="3.140625" style="170" customWidth="1"/>
    <col min="2" max="3" width="9.140625" style="170"/>
    <col min="4" max="4" width="4.5703125" style="170" customWidth="1"/>
    <col min="5" max="5" width="94.5703125" style="170" customWidth="1"/>
    <col min="6" max="16384" width="9.140625" style="170"/>
  </cols>
  <sheetData>
    <row r="1" spans="2:11" ht="18" customHeight="1" x14ac:dyDescent="0.25"/>
    <row r="2" spans="2:11" ht="18" customHeight="1" x14ac:dyDescent="0.25"/>
    <row r="3" spans="2:11" ht="18" customHeight="1" x14ac:dyDescent="0.25"/>
    <row r="4" spans="2:11" ht="18" customHeight="1" x14ac:dyDescent="0.25"/>
    <row r="5" spans="2:11" ht="36.75" x14ac:dyDescent="0.45">
      <c r="F5" s="171" t="s">
        <v>710</v>
      </c>
      <c r="G5" s="172"/>
      <c r="H5" s="173" t="s">
        <v>711</v>
      </c>
      <c r="I5" s="174"/>
      <c r="J5" s="175" t="s">
        <v>712</v>
      </c>
      <c r="K5" s="176"/>
    </row>
    <row r="6" spans="2:11" x14ac:dyDescent="0.25">
      <c r="F6" s="177" t="s">
        <v>713</v>
      </c>
      <c r="G6" s="177"/>
      <c r="H6" s="178" t="s">
        <v>714</v>
      </c>
      <c r="I6" s="179"/>
      <c r="J6" s="180" t="s">
        <v>715</v>
      </c>
      <c r="K6" s="181"/>
    </row>
    <row r="9" spans="2:11" ht="35.25" x14ac:dyDescent="0.5">
      <c r="B9" s="182" t="s">
        <v>803</v>
      </c>
    </row>
    <row r="11" spans="2:11" x14ac:dyDescent="0.25">
      <c r="B11" s="436" t="s">
        <v>811</v>
      </c>
      <c r="C11" s="437"/>
      <c r="D11" s="437"/>
      <c r="E11" s="437"/>
      <c r="F11" s="437"/>
      <c r="G11" s="437"/>
      <c r="H11" s="437"/>
      <c r="I11" s="437"/>
      <c r="J11" s="437"/>
    </row>
    <row r="12" spans="2:11" x14ac:dyDescent="0.25">
      <c r="B12" s="437"/>
      <c r="C12" s="437"/>
      <c r="D12" s="437"/>
      <c r="E12" s="437"/>
      <c r="F12" s="437"/>
      <c r="G12" s="437"/>
      <c r="H12" s="437"/>
      <c r="I12" s="437"/>
      <c r="J12" s="437"/>
    </row>
    <row r="13" spans="2:11" x14ac:dyDescent="0.25">
      <c r="B13" s="437"/>
      <c r="C13" s="437"/>
      <c r="D13" s="437"/>
      <c r="E13" s="437"/>
      <c r="F13" s="437"/>
      <c r="G13" s="437"/>
      <c r="H13" s="437"/>
      <c r="I13" s="437"/>
      <c r="J13" s="437"/>
    </row>
    <row r="14" spans="2:11" ht="14.45" customHeight="1" x14ac:dyDescent="0.25">
      <c r="B14" s="437"/>
      <c r="C14" s="437"/>
      <c r="D14" s="437"/>
      <c r="E14" s="437"/>
      <c r="F14" s="437"/>
      <c r="G14" s="437"/>
      <c r="H14" s="437"/>
      <c r="I14" s="437"/>
      <c r="J14" s="437"/>
    </row>
    <row r="15" spans="2:11" x14ac:dyDescent="0.25">
      <c r="B15" s="437"/>
      <c r="C15" s="437"/>
      <c r="D15" s="437"/>
      <c r="E15" s="437"/>
      <c r="F15" s="437"/>
      <c r="G15" s="437"/>
      <c r="H15" s="437"/>
      <c r="I15" s="437"/>
      <c r="J15" s="437"/>
    </row>
    <row r="16" spans="2:11" x14ac:dyDescent="0.25">
      <c r="B16" s="437"/>
      <c r="C16" s="437"/>
      <c r="D16" s="437"/>
      <c r="E16" s="437"/>
      <c r="F16" s="437"/>
      <c r="G16" s="437"/>
      <c r="H16" s="437"/>
      <c r="I16" s="437"/>
      <c r="J16" s="437"/>
    </row>
    <row r="17" spans="1:10" x14ac:dyDescent="0.25">
      <c r="B17" s="437"/>
      <c r="C17" s="437"/>
      <c r="D17" s="437"/>
      <c r="E17" s="437"/>
      <c r="F17" s="437"/>
      <c r="G17" s="437"/>
      <c r="H17" s="437"/>
      <c r="I17" s="437"/>
      <c r="J17" s="437"/>
    </row>
    <row r="18" spans="1:10" ht="48" customHeight="1" x14ac:dyDescent="0.25">
      <c r="B18" s="437"/>
      <c r="C18" s="437"/>
      <c r="D18" s="437"/>
      <c r="E18" s="437"/>
      <c r="F18" s="437"/>
      <c r="G18" s="437"/>
      <c r="H18" s="437"/>
      <c r="I18" s="437"/>
      <c r="J18" s="437"/>
    </row>
    <row r="19" spans="1:10" ht="33.950000000000003" customHeight="1" x14ac:dyDescent="0.35">
      <c r="B19" s="438" t="s">
        <v>716</v>
      </c>
      <c r="C19" s="438"/>
      <c r="D19" s="438"/>
      <c r="E19" s="438"/>
      <c r="F19" s="438"/>
      <c r="G19" s="438"/>
      <c r="H19" s="438"/>
      <c r="I19" s="438"/>
      <c r="J19" s="438"/>
    </row>
    <row r="20" spans="1:10" ht="14.45" customHeight="1" x14ac:dyDescent="0.25">
      <c r="B20" s="183"/>
      <c r="C20" s="183"/>
      <c r="D20" s="183"/>
      <c r="E20" s="183"/>
    </row>
    <row r="21" spans="1:10" ht="14.45" customHeight="1" x14ac:dyDescent="0.25">
      <c r="B21" s="184" t="s">
        <v>717</v>
      </c>
      <c r="C21" s="185"/>
      <c r="D21" s="185"/>
      <c r="E21" s="185" t="s">
        <v>718</v>
      </c>
    </row>
    <row r="22" spans="1:10" ht="14.45" customHeight="1" x14ac:dyDescent="0.25">
      <c r="B22" s="186"/>
      <c r="C22" s="186"/>
      <c r="D22" s="186"/>
      <c r="E22" s="186"/>
      <c r="F22" s="186"/>
    </row>
    <row r="23" spans="1:10" ht="15.75" x14ac:dyDescent="0.25">
      <c r="A23" s="186"/>
      <c r="B23" s="327" t="s">
        <v>719</v>
      </c>
      <c r="C23" s="186"/>
      <c r="D23" s="186"/>
      <c r="E23" s="186"/>
      <c r="F23" s="186"/>
    </row>
    <row r="24" spans="1:10" ht="15.75" x14ac:dyDescent="0.25">
      <c r="A24" s="186"/>
      <c r="B24" s="186"/>
      <c r="C24" s="186"/>
      <c r="D24" s="186"/>
      <c r="E24" s="186"/>
      <c r="F24" s="186"/>
    </row>
    <row r="25" spans="1:10" ht="15.75" x14ac:dyDescent="0.25">
      <c r="A25" s="186"/>
      <c r="B25" s="439" t="s">
        <v>808</v>
      </c>
      <c r="C25" s="439"/>
      <c r="D25" s="439"/>
      <c r="E25" s="439"/>
      <c r="F25" s="186"/>
    </row>
    <row r="26" spans="1:10" ht="15.75" x14ac:dyDescent="0.25">
      <c r="A26" s="186"/>
      <c r="B26" s="186"/>
      <c r="C26" s="186"/>
      <c r="D26" s="186"/>
      <c r="E26" s="186"/>
      <c r="F26" s="186"/>
    </row>
    <row r="27" spans="1:10" ht="15.75" x14ac:dyDescent="0.25">
      <c r="A27" s="186"/>
      <c r="B27" s="188">
        <v>1</v>
      </c>
      <c r="C27" s="186"/>
      <c r="D27" s="186"/>
      <c r="E27" s="415" t="s">
        <v>720</v>
      </c>
      <c r="F27" s="186"/>
    </row>
    <row r="28" spans="1:10" ht="15.75" x14ac:dyDescent="0.25">
      <c r="A28" s="186"/>
      <c r="B28" s="188"/>
      <c r="C28" s="186"/>
      <c r="D28" s="186"/>
      <c r="E28" s="186"/>
      <c r="F28" s="186"/>
    </row>
    <row r="29" spans="1:10" ht="15.75" x14ac:dyDescent="0.25">
      <c r="A29" s="186"/>
      <c r="B29" s="188">
        <v>2</v>
      </c>
      <c r="C29" s="186"/>
      <c r="D29" s="186"/>
      <c r="E29" s="415" t="s">
        <v>721</v>
      </c>
      <c r="F29" s="186"/>
    </row>
    <row r="30" spans="1:10" ht="15.75" x14ac:dyDescent="0.25">
      <c r="A30" s="186"/>
      <c r="B30" s="188"/>
      <c r="C30" s="186"/>
      <c r="D30" s="186"/>
      <c r="E30" s="186"/>
      <c r="F30" s="186"/>
    </row>
    <row r="31" spans="1:10" ht="15.75" x14ac:dyDescent="0.25">
      <c r="A31" s="186"/>
      <c r="B31" s="188">
        <v>3</v>
      </c>
      <c r="C31" s="186"/>
      <c r="D31" s="186"/>
      <c r="E31" s="415" t="s">
        <v>722</v>
      </c>
      <c r="F31" s="186"/>
    </row>
    <row r="32" spans="1:10" ht="15.75" x14ac:dyDescent="0.25">
      <c r="A32" s="186"/>
      <c r="B32" s="188"/>
      <c r="C32" s="186"/>
      <c r="D32" s="186"/>
      <c r="E32" s="186"/>
      <c r="F32" s="186"/>
    </row>
    <row r="33" spans="1:6" ht="15.75" x14ac:dyDescent="0.25">
      <c r="A33" s="186"/>
      <c r="B33" s="188">
        <v>4</v>
      </c>
      <c r="C33" s="186"/>
      <c r="D33" s="186"/>
      <c r="E33" s="415" t="s">
        <v>786</v>
      </c>
      <c r="F33" s="186"/>
    </row>
    <row r="34" spans="1:6" ht="15.75" x14ac:dyDescent="0.25">
      <c r="A34" s="186"/>
      <c r="B34" s="188"/>
      <c r="C34" s="186"/>
      <c r="D34" s="186"/>
      <c r="E34" s="186"/>
      <c r="F34" s="186"/>
    </row>
    <row r="35" spans="1:6" ht="15.75" x14ac:dyDescent="0.25">
      <c r="A35" s="186"/>
      <c r="B35" s="188">
        <v>5</v>
      </c>
      <c r="C35" s="186"/>
      <c r="D35" s="186"/>
      <c r="E35" s="415" t="s">
        <v>723</v>
      </c>
      <c r="F35" s="186"/>
    </row>
    <row r="36" spans="1:6" ht="15.75" x14ac:dyDescent="0.25">
      <c r="A36" s="186"/>
      <c r="B36" s="188"/>
      <c r="C36" s="186"/>
      <c r="D36" s="186"/>
      <c r="E36" s="186"/>
      <c r="F36" s="186"/>
    </row>
    <row r="37" spans="1:6" ht="15.75" x14ac:dyDescent="0.25">
      <c r="A37" s="186"/>
      <c r="B37" s="188">
        <v>6</v>
      </c>
      <c r="C37" s="186"/>
      <c r="D37" s="186"/>
      <c r="E37" s="415" t="s">
        <v>724</v>
      </c>
      <c r="F37" s="186"/>
    </row>
    <row r="38" spans="1:6" ht="15.75" x14ac:dyDescent="0.25">
      <c r="A38" s="186"/>
      <c r="B38" s="188"/>
      <c r="C38" s="186"/>
      <c r="D38" s="186"/>
      <c r="E38" s="186"/>
      <c r="F38" s="186"/>
    </row>
    <row r="39" spans="1:6" ht="15.75" x14ac:dyDescent="0.25">
      <c r="A39" s="186"/>
      <c r="B39" s="188">
        <v>7</v>
      </c>
      <c r="C39" s="186"/>
      <c r="D39" s="186"/>
      <c r="E39" s="415" t="s">
        <v>25</v>
      </c>
      <c r="F39" s="186"/>
    </row>
    <row r="40" spans="1:6" ht="15.75" x14ac:dyDescent="0.25">
      <c r="A40" s="186"/>
      <c r="B40" s="186"/>
      <c r="C40" s="186"/>
      <c r="D40" s="186"/>
      <c r="E40" s="186"/>
      <c r="F40" s="186"/>
    </row>
    <row r="41" spans="1:6" ht="15.75" x14ac:dyDescent="0.25">
      <c r="A41" s="186"/>
      <c r="B41" s="188">
        <v>8</v>
      </c>
      <c r="C41" s="186"/>
      <c r="D41" s="186"/>
      <c r="E41" s="415" t="s">
        <v>725</v>
      </c>
      <c r="F41" s="186"/>
    </row>
    <row r="42" spans="1:6" ht="15.75" x14ac:dyDescent="0.25">
      <c r="A42" s="186"/>
      <c r="B42" s="186"/>
      <c r="C42" s="186"/>
      <c r="D42" s="186"/>
      <c r="E42" s="186"/>
    </row>
    <row r="43" spans="1:6" ht="15.75" x14ac:dyDescent="0.25">
      <c r="A43" s="186"/>
      <c r="B43" s="439" t="s">
        <v>789</v>
      </c>
      <c r="C43" s="439"/>
      <c r="D43" s="439"/>
      <c r="E43" s="439"/>
    </row>
    <row r="46" spans="1:6" ht="15.75" x14ac:dyDescent="0.25">
      <c r="B46" s="186" t="s">
        <v>726</v>
      </c>
      <c r="C46" s="186" t="s">
        <v>809</v>
      </c>
      <c r="D46" s="186"/>
      <c r="E46" s="186"/>
    </row>
    <row r="47" spans="1:6" ht="15.75" x14ac:dyDescent="0.25">
      <c r="B47" s="186"/>
      <c r="C47" s="186"/>
      <c r="D47" s="186"/>
      <c r="E47" s="186"/>
    </row>
    <row r="48" spans="1:6" ht="15.75" x14ac:dyDescent="0.25">
      <c r="B48" s="186" t="s">
        <v>727</v>
      </c>
      <c r="C48" s="186"/>
      <c r="D48" s="186"/>
      <c r="E48" s="186"/>
    </row>
    <row r="49" spans="2:3" ht="15.75" x14ac:dyDescent="0.25">
      <c r="B49" s="186" t="s">
        <v>728</v>
      </c>
    </row>
    <row r="50" spans="2:3" ht="15.75" x14ac:dyDescent="0.25">
      <c r="B50" s="186" t="s">
        <v>729</v>
      </c>
      <c r="C50" s="189" t="s">
        <v>730</v>
      </c>
    </row>
    <row r="51" spans="2:3" ht="15.75" x14ac:dyDescent="0.25">
      <c r="B51" s="186"/>
    </row>
    <row r="52" spans="2:3" ht="15.75" x14ac:dyDescent="0.25">
      <c r="B52" s="186" t="s">
        <v>810</v>
      </c>
    </row>
    <row r="53" spans="2:3" ht="15.75" x14ac:dyDescent="0.25">
      <c r="B53" s="186" t="s">
        <v>766</v>
      </c>
    </row>
  </sheetData>
  <sheetProtection algorithmName="SHA-512" hashValue="898ZSA7O/nXet84a28Rljts3P6UDX4tbkOZJMAuLc21zsVv45lZUKrw5/b/9SWp3cnRKZyfT3uy1WuKORo+3vA==" saltValue="DJm2pRckWdHG3vp/ZYgx0w==" spinCount="100000" sheet="1" objects="1" scenarios="1"/>
  <mergeCells count="4">
    <mergeCell ref="B11:J18"/>
    <mergeCell ref="B19:J19"/>
    <mergeCell ref="B25:E25"/>
    <mergeCell ref="B43:E43"/>
  </mergeCells>
  <hyperlinks>
    <hyperlink ref="F5" r:id="rId1" xr:uid="{E4BEE952-8675-495D-B9F8-ACA1592E0B27}"/>
    <hyperlink ref="H5" r:id="rId2" xr:uid="{F38A183F-86CD-4582-9392-49CFD52A665F}"/>
    <hyperlink ref="J5" r:id="rId3" xr:uid="{923A5989-FCE2-4EE1-9DC7-DE7A24E8BADE}"/>
    <hyperlink ref="C50" r:id="rId4" xr:uid="{25F36A23-EC27-48A5-9B9E-7ECFF316BBF1}"/>
    <hyperlink ref="E29" location="'PRP LA trend tool 2015-23'!A64" display="Decent Homes Standard" xr:uid="{CFF328E5-F13C-469B-993D-E955CE81587A}"/>
    <hyperlink ref="E31" location="'PRP LA trend tool 2015-23'!A91" display="General needs - average weekly rent and units" xr:uid="{607B8A6F-A7DE-417B-B3F6-66A9AF32821A}"/>
    <hyperlink ref="E33" location="'PRP LA trend tool 2015-23'!A145" display="Supported housing/housing for older people - average weekly rent and units" xr:uid="{E1C744FE-AED7-41AE-B7D7-329B33669E84}"/>
    <hyperlink ref="E35" location="'PRP LA trend tool 2015-23'!A200" display="Affordable Rent general needs - average weekly rent and units" xr:uid="{6029CFC1-A5A5-444F-A020-F991343D882A}"/>
    <hyperlink ref="E37" location="'PRP LA trend tool 2015-23'!A244" display="Affordable Rent supported housing  - average weekly rent and units" xr:uid="{B8D72D21-2943-4CCE-8475-C155B459ECEA}"/>
    <hyperlink ref="E39" location="'PRP LA trend tool 2015-23'!A288" display="Sales by PRPs by type - Large PRPs only" xr:uid="{9423CC47-F450-4896-BA6A-0EF91EAD5004}"/>
    <hyperlink ref="E41" location="'PRP LA trend tool 2015-23'!A337" display="Total vacant general needs self-contained" xr:uid="{7DB661C2-CFD2-43A1-9DB9-1CE526CB99E8}"/>
    <hyperlink ref="B43:E43" location="'How to use the search function'!A1" display="How to use the seach function" xr:uid="{0E78CC2A-AD7C-4262-AB68-DF4EA7B96F39}"/>
    <hyperlink ref="B23" location="Glossary!B8" display="Glossary" xr:uid="{6187D464-87E0-438D-B953-83804DB71FFA}"/>
    <hyperlink ref="E27" location="'PRP LA trend tool 2015-23'!A11" display="Total social units by provision type" xr:uid="{70275A9A-09E7-4676-B875-04805734C1ED}"/>
    <hyperlink ref="B25:E25" location="'PRP LA trend tool 2015-23'!A1" display="PRP LA trend tool 2015-23" xr:uid="{D65A6CF5-0A63-442D-9E87-5AD1A9CAEC76}"/>
  </hyperlinks>
  <pageMargins left="0.70866141732283472" right="0.70866141732283472" top="0.74803149606299213" bottom="0.74803149606299213" header="0.31496062992125984" footer="0.31496062992125984"/>
  <pageSetup paperSize="9" scale="53" orientation="landscape" r:id="rId5"/>
  <headerFooter>
    <oddFooter>&amp;C&amp;1#&amp;"Calibri"&amp;12&amp;K0078D7OFFICIAL</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D4908-8506-4D8D-BDFD-B666593A5824}">
  <sheetPr codeName="Sheet5">
    <tabColor rgb="FFFFFF00"/>
  </sheetPr>
  <dimension ref="A1:AG322"/>
  <sheetViews>
    <sheetView topLeftCell="A190" zoomScale="80" zoomScaleNormal="80" workbookViewId="0">
      <selection sqref="A1:XFD1048576"/>
    </sheetView>
  </sheetViews>
  <sheetFormatPr defaultColWidth="9.140625" defaultRowHeight="12.75" x14ac:dyDescent="0.2"/>
  <cols>
    <col min="1" max="8" width="9.140625" style="145"/>
    <col min="9" max="10" width="10.42578125" style="145" customWidth="1"/>
    <col min="11" max="11" width="10.42578125" style="145" bestFit="1" customWidth="1"/>
    <col min="12" max="16384" width="9.140625" style="145"/>
  </cols>
  <sheetData>
    <row r="1" spans="1:33" s="144" customFormat="1" x14ac:dyDescent="0.2">
      <c r="A1" s="134"/>
      <c r="B1" s="134"/>
      <c r="C1" s="135" t="s">
        <v>38</v>
      </c>
      <c r="D1" s="135" t="s">
        <v>38</v>
      </c>
      <c r="E1" s="135" t="s">
        <v>38</v>
      </c>
      <c r="F1" s="135" t="s">
        <v>38</v>
      </c>
      <c r="G1" s="135" t="s">
        <v>38</v>
      </c>
      <c r="H1" s="135" t="s">
        <v>38</v>
      </c>
      <c r="I1" s="136" t="s">
        <v>39</v>
      </c>
      <c r="J1" s="136" t="s">
        <v>39</v>
      </c>
      <c r="K1" s="137" t="s">
        <v>40</v>
      </c>
      <c r="L1" s="137" t="s">
        <v>40</v>
      </c>
      <c r="M1" s="137" t="s">
        <v>40</v>
      </c>
      <c r="N1" s="138" t="s">
        <v>40</v>
      </c>
      <c r="O1" s="137" t="s">
        <v>40</v>
      </c>
      <c r="P1" s="139" t="s">
        <v>41</v>
      </c>
      <c r="Q1" s="139" t="s">
        <v>41</v>
      </c>
      <c r="R1" s="139" t="s">
        <v>41</v>
      </c>
      <c r="S1" s="139" t="s">
        <v>41</v>
      </c>
      <c r="T1" s="139" t="s">
        <v>41</v>
      </c>
      <c r="U1" s="140" t="s">
        <v>42</v>
      </c>
      <c r="V1" s="140" t="s">
        <v>42</v>
      </c>
      <c r="W1" s="141" t="s">
        <v>43</v>
      </c>
      <c r="X1" s="141" t="s">
        <v>43</v>
      </c>
      <c r="Y1" s="142" t="s">
        <v>44</v>
      </c>
      <c r="Z1" s="142" t="s">
        <v>44</v>
      </c>
      <c r="AA1" s="142" t="s">
        <v>44</v>
      </c>
      <c r="AB1" s="142" t="s">
        <v>44</v>
      </c>
      <c r="AC1" s="142" t="s">
        <v>44</v>
      </c>
      <c r="AD1" s="143" t="s">
        <v>45</v>
      </c>
      <c r="AE1" s="143" t="s">
        <v>45</v>
      </c>
      <c r="AF1" s="143" t="s">
        <v>45</v>
      </c>
      <c r="AG1" s="143" t="s">
        <v>45</v>
      </c>
    </row>
    <row r="2" spans="1:33" x14ac:dyDescent="0.2">
      <c r="B2" s="146">
        <v>1</v>
      </c>
      <c r="C2" s="146">
        <v>2</v>
      </c>
      <c r="D2" s="146">
        <v>3</v>
      </c>
      <c r="E2" s="146">
        <v>4</v>
      </c>
      <c r="F2" s="146">
        <v>5</v>
      </c>
      <c r="G2" s="146">
        <v>6</v>
      </c>
      <c r="H2" s="146">
        <v>7</v>
      </c>
      <c r="I2" s="146">
        <v>8</v>
      </c>
      <c r="J2" s="146">
        <v>9</v>
      </c>
      <c r="K2" s="146">
        <v>10</v>
      </c>
      <c r="L2" s="146">
        <v>11</v>
      </c>
      <c r="M2" s="146">
        <v>12</v>
      </c>
      <c r="N2" s="146">
        <v>13</v>
      </c>
      <c r="O2" s="146">
        <v>14</v>
      </c>
      <c r="P2" s="146">
        <v>15</v>
      </c>
      <c r="Q2" s="146">
        <v>16</v>
      </c>
      <c r="R2" s="146">
        <v>17</v>
      </c>
      <c r="S2" s="146">
        <v>18</v>
      </c>
      <c r="T2" s="146">
        <v>19</v>
      </c>
      <c r="U2" s="146">
        <v>20</v>
      </c>
      <c r="V2" s="146">
        <v>21</v>
      </c>
      <c r="W2" s="146">
        <v>22</v>
      </c>
      <c r="X2" s="146">
        <v>23</v>
      </c>
      <c r="Y2" s="146">
        <v>24</v>
      </c>
      <c r="Z2" s="146">
        <v>25</v>
      </c>
      <c r="AA2" s="146">
        <v>26</v>
      </c>
      <c r="AB2" s="146">
        <v>27</v>
      </c>
      <c r="AC2" s="146">
        <v>28</v>
      </c>
      <c r="AD2" s="146">
        <v>29</v>
      </c>
      <c r="AE2" s="146">
        <v>30</v>
      </c>
      <c r="AF2" s="146">
        <v>31</v>
      </c>
      <c r="AG2" s="146">
        <v>32</v>
      </c>
    </row>
    <row r="3" spans="1:33" ht="89.25" x14ac:dyDescent="0.2">
      <c r="A3" s="145" t="s">
        <v>46</v>
      </c>
      <c r="B3" s="145" t="s">
        <v>47</v>
      </c>
      <c r="C3" s="147" t="s">
        <v>48</v>
      </c>
      <c r="D3" s="147" t="s">
        <v>49</v>
      </c>
      <c r="E3" s="147" t="s">
        <v>50</v>
      </c>
      <c r="F3" s="147" t="s">
        <v>51</v>
      </c>
      <c r="G3" s="147" t="s">
        <v>52</v>
      </c>
      <c r="H3" s="147" t="s">
        <v>53</v>
      </c>
      <c r="I3" s="148" t="s">
        <v>54</v>
      </c>
      <c r="J3" s="148" t="s">
        <v>55</v>
      </c>
      <c r="K3" s="149" t="s">
        <v>56</v>
      </c>
      <c r="L3" s="149" t="s">
        <v>57</v>
      </c>
      <c r="M3" s="149" t="s">
        <v>58</v>
      </c>
      <c r="N3" s="150" t="s">
        <v>59</v>
      </c>
      <c r="O3" s="149" t="s">
        <v>60</v>
      </c>
      <c r="P3" s="151" t="s">
        <v>61</v>
      </c>
      <c r="Q3" s="151" t="s">
        <v>62</v>
      </c>
      <c r="R3" s="151" t="s">
        <v>58</v>
      </c>
      <c r="S3" s="151" t="s">
        <v>63</v>
      </c>
      <c r="T3" s="151" t="s">
        <v>64</v>
      </c>
      <c r="U3" s="152" t="s">
        <v>65</v>
      </c>
      <c r="V3" s="152" t="s">
        <v>66</v>
      </c>
      <c r="W3" s="153" t="s">
        <v>67</v>
      </c>
      <c r="X3" s="153" t="s">
        <v>68</v>
      </c>
      <c r="Y3" s="154" t="s">
        <v>69</v>
      </c>
      <c r="Z3" s="154" t="s">
        <v>70</v>
      </c>
      <c r="AA3" s="154" t="s">
        <v>71</v>
      </c>
      <c r="AB3" s="154" t="s">
        <v>72</v>
      </c>
      <c r="AC3" s="154" t="s">
        <v>73</v>
      </c>
      <c r="AD3" s="155" t="s">
        <v>74</v>
      </c>
      <c r="AE3" s="155" t="s">
        <v>75</v>
      </c>
      <c r="AF3" s="155" t="s">
        <v>76</v>
      </c>
      <c r="AG3" s="155" t="s">
        <v>77</v>
      </c>
    </row>
    <row r="4" spans="1:33" x14ac:dyDescent="0.2">
      <c r="A4" s="344" t="s">
        <v>13</v>
      </c>
      <c r="B4" s="344" t="s">
        <v>13</v>
      </c>
      <c r="C4" s="345">
        <v>2130525</v>
      </c>
      <c r="D4" s="345">
        <v>11961</v>
      </c>
      <c r="E4" s="345">
        <v>133418</v>
      </c>
      <c r="F4" s="345">
        <v>263208</v>
      </c>
      <c r="G4" s="345">
        <v>169243</v>
      </c>
      <c r="H4" s="346">
        <v>2708355</v>
      </c>
      <c r="I4" s="345">
        <v>2539112</v>
      </c>
      <c r="J4" s="345">
        <v>9610</v>
      </c>
      <c r="K4" s="347">
        <v>96.33</v>
      </c>
      <c r="L4" s="347">
        <v>95.09</v>
      </c>
      <c r="M4" s="347">
        <v>6.71</v>
      </c>
      <c r="N4" s="347">
        <v>100.16</v>
      </c>
      <c r="O4" s="348">
        <v>1846604</v>
      </c>
      <c r="P4" s="345">
        <v>93.08</v>
      </c>
      <c r="Q4" s="345">
        <v>87.59</v>
      </c>
      <c r="R4" s="345">
        <v>39.71</v>
      </c>
      <c r="S4" s="345">
        <v>129.31</v>
      </c>
      <c r="T4" s="345">
        <v>339386</v>
      </c>
      <c r="U4" s="345">
        <v>127.8</v>
      </c>
      <c r="V4" s="345">
        <v>208889</v>
      </c>
      <c r="W4" s="345">
        <v>166.43</v>
      </c>
      <c r="X4" s="345">
        <v>12354</v>
      </c>
      <c r="Y4" s="345">
        <v>4046</v>
      </c>
      <c r="Z4" s="345">
        <v>5512</v>
      </c>
      <c r="AA4" s="345">
        <v>3318</v>
      </c>
      <c r="AB4" s="345">
        <v>9799</v>
      </c>
      <c r="AC4" s="345">
        <v>4137</v>
      </c>
      <c r="AD4" s="349">
        <v>2073839</v>
      </c>
      <c r="AE4" s="345">
        <v>11579</v>
      </c>
      <c r="AF4" s="345">
        <v>10889</v>
      </c>
      <c r="AG4" s="345">
        <v>22468</v>
      </c>
    </row>
    <row r="5" spans="1:33" x14ac:dyDescent="0.2">
      <c r="A5" s="350" t="s">
        <v>78</v>
      </c>
      <c r="B5" s="350" t="s">
        <v>78</v>
      </c>
      <c r="C5" s="346">
        <v>110967</v>
      </c>
      <c r="D5" s="346">
        <v>314</v>
      </c>
      <c r="E5" s="346">
        <v>7962</v>
      </c>
      <c r="F5" s="346">
        <v>23001</v>
      </c>
      <c r="G5" s="346">
        <v>11938</v>
      </c>
      <c r="H5" s="346">
        <v>154182</v>
      </c>
      <c r="I5" s="345">
        <v>142244</v>
      </c>
      <c r="J5" s="345">
        <v>174</v>
      </c>
      <c r="K5" s="347">
        <v>88.17</v>
      </c>
      <c r="L5" s="347">
        <v>87.14</v>
      </c>
      <c r="M5" s="347">
        <v>4.7699999999999996</v>
      </c>
      <c r="N5" s="347">
        <v>91.2</v>
      </c>
      <c r="O5" s="348">
        <v>94960</v>
      </c>
      <c r="P5" s="345">
        <v>87.5</v>
      </c>
      <c r="Q5" s="345">
        <v>81.58</v>
      </c>
      <c r="R5" s="345">
        <v>33.54</v>
      </c>
      <c r="S5" s="345">
        <v>118.32</v>
      </c>
      <c r="T5" s="345">
        <v>28049</v>
      </c>
      <c r="U5" s="345">
        <v>103.55</v>
      </c>
      <c r="V5" s="345">
        <v>11205</v>
      </c>
      <c r="W5" s="345">
        <v>162.13</v>
      </c>
      <c r="X5" s="345">
        <v>652</v>
      </c>
      <c r="Y5" s="345">
        <v>154</v>
      </c>
      <c r="Z5" s="345">
        <v>266</v>
      </c>
      <c r="AA5" s="345">
        <v>282</v>
      </c>
      <c r="AB5" s="345">
        <v>932</v>
      </c>
      <c r="AC5" s="345">
        <v>320</v>
      </c>
      <c r="AD5" s="349">
        <v>108186</v>
      </c>
      <c r="AE5" s="345">
        <v>636</v>
      </c>
      <c r="AF5" s="345">
        <v>387</v>
      </c>
      <c r="AG5" s="345">
        <v>1023</v>
      </c>
    </row>
    <row r="6" spans="1:33" x14ac:dyDescent="0.2">
      <c r="A6" s="350" t="s">
        <v>79</v>
      </c>
      <c r="B6" s="350" t="s">
        <v>79</v>
      </c>
      <c r="C6" s="346">
        <v>213783</v>
      </c>
      <c r="D6" s="346">
        <v>1707</v>
      </c>
      <c r="E6" s="346">
        <v>12184</v>
      </c>
      <c r="F6" s="346">
        <v>28297</v>
      </c>
      <c r="G6" s="346">
        <v>17503</v>
      </c>
      <c r="H6" s="346">
        <v>273474</v>
      </c>
      <c r="I6" s="345">
        <v>255971</v>
      </c>
      <c r="J6" s="345">
        <v>939</v>
      </c>
      <c r="K6" s="347">
        <v>100.24</v>
      </c>
      <c r="L6" s="347">
        <v>100.25</v>
      </c>
      <c r="M6" s="347">
        <v>5.89</v>
      </c>
      <c r="N6" s="347">
        <v>102.94</v>
      </c>
      <c r="O6" s="348">
        <v>184647</v>
      </c>
      <c r="P6" s="345">
        <v>94.48</v>
      </c>
      <c r="Q6" s="345">
        <v>90.02</v>
      </c>
      <c r="R6" s="345">
        <v>38.42</v>
      </c>
      <c r="S6" s="345">
        <v>127.84</v>
      </c>
      <c r="T6" s="345">
        <v>34666</v>
      </c>
      <c r="U6" s="345">
        <v>132.03</v>
      </c>
      <c r="V6" s="345">
        <v>23897</v>
      </c>
      <c r="W6" s="345">
        <v>179.79</v>
      </c>
      <c r="X6" s="345">
        <v>599</v>
      </c>
      <c r="Y6" s="345">
        <v>377</v>
      </c>
      <c r="Z6" s="345">
        <v>309</v>
      </c>
      <c r="AA6" s="345">
        <v>212</v>
      </c>
      <c r="AB6" s="345">
        <v>1084</v>
      </c>
      <c r="AC6" s="345">
        <v>389</v>
      </c>
      <c r="AD6" s="349">
        <v>211686</v>
      </c>
      <c r="AE6" s="345">
        <v>1025</v>
      </c>
      <c r="AF6" s="345">
        <v>882</v>
      </c>
      <c r="AG6" s="345">
        <v>1907</v>
      </c>
    </row>
    <row r="7" spans="1:33" x14ac:dyDescent="0.2">
      <c r="A7" s="350" t="s">
        <v>80</v>
      </c>
      <c r="B7" s="350" t="s">
        <v>80</v>
      </c>
      <c r="C7" s="346">
        <v>349166</v>
      </c>
      <c r="D7" s="346">
        <v>6138</v>
      </c>
      <c r="E7" s="346">
        <v>27361</v>
      </c>
      <c r="F7" s="346">
        <v>27804</v>
      </c>
      <c r="G7" s="346">
        <v>45934</v>
      </c>
      <c r="H7" s="346">
        <v>456403</v>
      </c>
      <c r="I7" s="345">
        <v>410469</v>
      </c>
      <c r="J7" s="345">
        <v>3480</v>
      </c>
      <c r="K7" s="347">
        <v>125.19</v>
      </c>
      <c r="L7" s="347">
        <v>124.89</v>
      </c>
      <c r="M7" s="347">
        <v>11.76</v>
      </c>
      <c r="N7" s="347">
        <v>133.16999999999999</v>
      </c>
      <c r="O7" s="348">
        <v>295154</v>
      </c>
      <c r="P7" s="345">
        <v>113.61</v>
      </c>
      <c r="Q7" s="345">
        <v>108.85</v>
      </c>
      <c r="R7" s="345">
        <v>55.26</v>
      </c>
      <c r="S7" s="345">
        <v>159.66999999999999</v>
      </c>
      <c r="T7" s="345">
        <v>45082</v>
      </c>
      <c r="U7" s="345">
        <v>186.57</v>
      </c>
      <c r="V7" s="345">
        <v>29368</v>
      </c>
      <c r="W7" s="345">
        <v>207.81</v>
      </c>
      <c r="X7" s="345">
        <v>1164</v>
      </c>
      <c r="Y7" s="345">
        <v>256</v>
      </c>
      <c r="Z7" s="345">
        <v>302</v>
      </c>
      <c r="AA7" s="345">
        <v>400</v>
      </c>
      <c r="AB7" s="345">
        <v>2156</v>
      </c>
      <c r="AC7" s="345">
        <v>1112</v>
      </c>
      <c r="AD7" s="349">
        <v>328468</v>
      </c>
      <c r="AE7" s="345">
        <v>973</v>
      </c>
      <c r="AF7" s="345">
        <v>1739</v>
      </c>
      <c r="AG7" s="345">
        <v>2712</v>
      </c>
    </row>
    <row r="8" spans="1:33" x14ac:dyDescent="0.2">
      <c r="A8" s="350" t="s">
        <v>81</v>
      </c>
      <c r="B8" s="350" t="s">
        <v>81</v>
      </c>
      <c r="C8" s="346">
        <v>157777</v>
      </c>
      <c r="D8" s="346">
        <v>593</v>
      </c>
      <c r="E8" s="346">
        <v>5508</v>
      </c>
      <c r="F8" s="346">
        <v>16071</v>
      </c>
      <c r="G8" s="346">
        <v>2870</v>
      </c>
      <c r="H8" s="346">
        <v>182819</v>
      </c>
      <c r="I8" s="345">
        <v>179949</v>
      </c>
      <c r="J8" s="345">
        <v>952</v>
      </c>
      <c r="K8" s="347">
        <v>78.63</v>
      </c>
      <c r="L8" s="347">
        <v>78.09</v>
      </c>
      <c r="M8" s="347">
        <v>6.8</v>
      </c>
      <c r="N8" s="347">
        <v>80.84</v>
      </c>
      <c r="O8" s="348">
        <v>142139</v>
      </c>
      <c r="P8" s="345">
        <v>84.64</v>
      </c>
      <c r="Q8" s="345">
        <v>76.55</v>
      </c>
      <c r="R8" s="345">
        <v>44.36</v>
      </c>
      <c r="S8" s="345">
        <v>124.07</v>
      </c>
      <c r="T8" s="345">
        <v>18523</v>
      </c>
      <c r="U8" s="345">
        <v>94.97</v>
      </c>
      <c r="V8" s="345">
        <v>13142</v>
      </c>
      <c r="W8" s="345">
        <v>155.34</v>
      </c>
      <c r="X8" s="345">
        <v>1879</v>
      </c>
      <c r="Y8" s="345">
        <v>0</v>
      </c>
      <c r="Z8" s="345">
        <v>576</v>
      </c>
      <c r="AA8" s="345">
        <v>208</v>
      </c>
      <c r="AB8" s="345">
        <v>177</v>
      </c>
      <c r="AC8" s="345">
        <v>47</v>
      </c>
      <c r="AD8" s="349">
        <v>154969</v>
      </c>
      <c r="AE8" s="345">
        <v>1722</v>
      </c>
      <c r="AF8" s="345">
        <v>836</v>
      </c>
      <c r="AG8" s="345">
        <v>2558</v>
      </c>
    </row>
    <row r="9" spans="1:33" x14ac:dyDescent="0.2">
      <c r="A9" s="350" t="s">
        <v>82</v>
      </c>
      <c r="B9" s="350" t="s">
        <v>82</v>
      </c>
      <c r="C9" s="346">
        <v>427546</v>
      </c>
      <c r="D9" s="346">
        <v>399</v>
      </c>
      <c r="E9" s="346">
        <v>21354</v>
      </c>
      <c r="F9" s="346">
        <v>53919</v>
      </c>
      <c r="G9" s="346">
        <v>13252</v>
      </c>
      <c r="H9" s="346">
        <v>516470</v>
      </c>
      <c r="I9" s="345">
        <v>503218</v>
      </c>
      <c r="J9" s="345">
        <v>1486</v>
      </c>
      <c r="K9" s="347">
        <v>83.03</v>
      </c>
      <c r="L9" s="347">
        <v>82.38</v>
      </c>
      <c r="M9" s="347">
        <v>4.75</v>
      </c>
      <c r="N9" s="347">
        <v>85.5</v>
      </c>
      <c r="O9" s="348">
        <v>374559</v>
      </c>
      <c r="P9" s="345">
        <v>83.93</v>
      </c>
      <c r="Q9" s="345">
        <v>77.98</v>
      </c>
      <c r="R9" s="345">
        <v>32.200000000000003</v>
      </c>
      <c r="S9" s="345">
        <v>114.04</v>
      </c>
      <c r="T9" s="345">
        <v>67208</v>
      </c>
      <c r="U9" s="345">
        <v>104.03</v>
      </c>
      <c r="V9" s="345">
        <v>42743</v>
      </c>
      <c r="W9" s="345">
        <v>142.83000000000001</v>
      </c>
      <c r="X9" s="345">
        <v>1738</v>
      </c>
      <c r="Y9" s="345">
        <v>1538</v>
      </c>
      <c r="Z9" s="345">
        <v>2202</v>
      </c>
      <c r="AA9" s="345">
        <v>645</v>
      </c>
      <c r="AB9" s="345">
        <v>664</v>
      </c>
      <c r="AC9" s="345">
        <v>281</v>
      </c>
      <c r="AD9" s="349">
        <v>417817</v>
      </c>
      <c r="AE9" s="345">
        <v>2871</v>
      </c>
      <c r="AF9" s="345">
        <v>2382</v>
      </c>
      <c r="AG9" s="345">
        <v>5253</v>
      </c>
    </row>
    <row r="10" spans="1:33" x14ac:dyDescent="0.2">
      <c r="A10" s="350" t="s">
        <v>83</v>
      </c>
      <c r="B10" s="350" t="s">
        <v>83</v>
      </c>
      <c r="C10" s="346">
        <v>291856</v>
      </c>
      <c r="D10" s="346">
        <v>1301</v>
      </c>
      <c r="E10" s="346">
        <v>15425</v>
      </c>
      <c r="F10" s="346">
        <v>37542</v>
      </c>
      <c r="G10" s="346">
        <v>39022</v>
      </c>
      <c r="H10" s="346">
        <v>385146</v>
      </c>
      <c r="I10" s="345">
        <v>346124</v>
      </c>
      <c r="J10" s="345">
        <v>1101</v>
      </c>
      <c r="K10" s="347">
        <v>108.77</v>
      </c>
      <c r="L10" s="347">
        <v>107.74</v>
      </c>
      <c r="M10" s="347">
        <v>6.3</v>
      </c>
      <c r="N10" s="347">
        <v>112.64</v>
      </c>
      <c r="O10" s="348">
        <v>247087</v>
      </c>
      <c r="P10" s="345">
        <v>99.33</v>
      </c>
      <c r="Q10" s="345">
        <v>93.61</v>
      </c>
      <c r="R10" s="345">
        <v>34.68</v>
      </c>
      <c r="S10" s="345">
        <v>131.79</v>
      </c>
      <c r="T10" s="345">
        <v>42902</v>
      </c>
      <c r="U10" s="345">
        <v>150.38999999999999</v>
      </c>
      <c r="V10" s="345">
        <v>34460</v>
      </c>
      <c r="W10" s="345">
        <v>167.59</v>
      </c>
      <c r="X10" s="345">
        <v>1762</v>
      </c>
      <c r="Y10" s="345">
        <v>1002</v>
      </c>
      <c r="Z10" s="345">
        <v>331</v>
      </c>
      <c r="AA10" s="345">
        <v>377</v>
      </c>
      <c r="AB10" s="345">
        <v>2588</v>
      </c>
      <c r="AC10" s="345">
        <v>956</v>
      </c>
      <c r="AD10" s="349">
        <v>285007</v>
      </c>
      <c r="AE10" s="345">
        <v>1146</v>
      </c>
      <c r="AF10" s="345">
        <v>957</v>
      </c>
      <c r="AG10" s="345">
        <v>2103</v>
      </c>
    </row>
    <row r="11" spans="1:33" x14ac:dyDescent="0.2">
      <c r="A11" s="350" t="s">
        <v>84</v>
      </c>
      <c r="B11" s="350" t="s">
        <v>84</v>
      </c>
      <c r="C11" s="346">
        <v>194320</v>
      </c>
      <c r="D11" s="346">
        <v>287</v>
      </c>
      <c r="E11" s="346">
        <v>13371</v>
      </c>
      <c r="F11" s="346">
        <v>30250</v>
      </c>
      <c r="G11" s="346">
        <v>17790</v>
      </c>
      <c r="H11" s="346">
        <v>256018</v>
      </c>
      <c r="I11" s="345">
        <v>238228</v>
      </c>
      <c r="J11" s="345">
        <v>406</v>
      </c>
      <c r="K11" s="347">
        <v>93.01</v>
      </c>
      <c r="L11" s="347">
        <v>89.95</v>
      </c>
      <c r="M11" s="347">
        <v>4.95</v>
      </c>
      <c r="N11" s="347">
        <v>96.25</v>
      </c>
      <c r="O11" s="348">
        <v>166010</v>
      </c>
      <c r="P11" s="345">
        <v>88.83</v>
      </c>
      <c r="Q11" s="345">
        <v>81.489999999999995</v>
      </c>
      <c r="R11" s="345">
        <v>31.84</v>
      </c>
      <c r="S11" s="345">
        <v>119.59</v>
      </c>
      <c r="T11" s="345">
        <v>37612</v>
      </c>
      <c r="U11" s="345">
        <v>123.4</v>
      </c>
      <c r="V11" s="345">
        <v>20775</v>
      </c>
      <c r="W11" s="345">
        <v>159.59</v>
      </c>
      <c r="X11" s="345">
        <v>1313</v>
      </c>
      <c r="Y11" s="345">
        <v>467</v>
      </c>
      <c r="Z11" s="345">
        <v>421</v>
      </c>
      <c r="AA11" s="345">
        <v>465</v>
      </c>
      <c r="AB11" s="345">
        <v>1166</v>
      </c>
      <c r="AC11" s="345">
        <v>416</v>
      </c>
      <c r="AD11" s="349">
        <v>188340</v>
      </c>
      <c r="AE11" s="345">
        <v>687</v>
      </c>
      <c r="AF11" s="345">
        <v>1065</v>
      </c>
      <c r="AG11" s="345">
        <v>1752</v>
      </c>
    </row>
    <row r="12" spans="1:33" x14ac:dyDescent="0.2">
      <c r="A12" s="350" t="s">
        <v>85</v>
      </c>
      <c r="B12" s="350" t="s">
        <v>85</v>
      </c>
      <c r="C12" s="346">
        <v>217981</v>
      </c>
      <c r="D12" s="346">
        <v>833</v>
      </c>
      <c r="E12" s="346">
        <v>19255</v>
      </c>
      <c r="F12" s="346">
        <v>28614</v>
      </c>
      <c r="G12" s="346">
        <v>14691</v>
      </c>
      <c r="H12" s="346">
        <v>281374</v>
      </c>
      <c r="I12" s="345">
        <v>266683</v>
      </c>
      <c r="J12" s="345">
        <v>572</v>
      </c>
      <c r="K12" s="347">
        <v>89.14</v>
      </c>
      <c r="L12" s="347">
        <v>86.17</v>
      </c>
      <c r="M12" s="347">
        <v>5.85</v>
      </c>
      <c r="N12" s="347">
        <v>92.78</v>
      </c>
      <c r="O12" s="348">
        <v>193604</v>
      </c>
      <c r="P12" s="345">
        <v>93.49</v>
      </c>
      <c r="Q12" s="345">
        <v>91.6</v>
      </c>
      <c r="R12" s="345">
        <v>52.23</v>
      </c>
      <c r="S12" s="345">
        <v>141.18</v>
      </c>
      <c r="T12" s="345">
        <v>40765</v>
      </c>
      <c r="U12" s="345">
        <v>108.16</v>
      </c>
      <c r="V12" s="345">
        <v>18168</v>
      </c>
      <c r="W12" s="345">
        <v>176.03</v>
      </c>
      <c r="X12" s="345">
        <v>2627</v>
      </c>
      <c r="Y12" s="345">
        <v>119</v>
      </c>
      <c r="Z12" s="345">
        <v>568</v>
      </c>
      <c r="AA12" s="345">
        <v>566</v>
      </c>
      <c r="AB12" s="345">
        <v>745</v>
      </c>
      <c r="AC12" s="345">
        <v>451</v>
      </c>
      <c r="AD12" s="349">
        <v>213918</v>
      </c>
      <c r="AE12" s="345">
        <v>1157</v>
      </c>
      <c r="AF12" s="345">
        <v>907</v>
      </c>
      <c r="AG12" s="345">
        <v>2064</v>
      </c>
    </row>
    <row r="13" spans="1:33" x14ac:dyDescent="0.2">
      <c r="A13" s="350" t="s">
        <v>788</v>
      </c>
      <c r="B13" s="350" t="s">
        <v>788</v>
      </c>
      <c r="C13" s="346">
        <v>167129</v>
      </c>
      <c r="D13" s="346">
        <v>389</v>
      </c>
      <c r="E13" s="346">
        <v>10998</v>
      </c>
      <c r="F13" s="346">
        <v>17710</v>
      </c>
      <c r="G13" s="346">
        <v>6243</v>
      </c>
      <c r="H13" s="346">
        <v>202469</v>
      </c>
      <c r="I13" s="345">
        <v>196226</v>
      </c>
      <c r="J13" s="345">
        <v>500</v>
      </c>
      <c r="K13" s="347">
        <v>82.22</v>
      </c>
      <c r="L13" s="347">
        <v>81.37</v>
      </c>
      <c r="M13" s="347">
        <v>5.65</v>
      </c>
      <c r="N13" s="347">
        <v>85.5</v>
      </c>
      <c r="O13" s="348">
        <v>148444</v>
      </c>
      <c r="P13" s="345">
        <v>86.06</v>
      </c>
      <c r="Q13" s="345">
        <v>78.02</v>
      </c>
      <c r="R13" s="345">
        <v>41.06</v>
      </c>
      <c r="S13" s="345">
        <v>124.85</v>
      </c>
      <c r="T13" s="345">
        <v>24579</v>
      </c>
      <c r="U13" s="345">
        <v>98.8</v>
      </c>
      <c r="V13" s="345">
        <v>15131</v>
      </c>
      <c r="W13" s="345">
        <v>150.63999999999999</v>
      </c>
      <c r="X13" s="345">
        <v>620</v>
      </c>
      <c r="Y13" s="345">
        <v>133</v>
      </c>
      <c r="Z13" s="345">
        <v>537</v>
      </c>
      <c r="AA13" s="345">
        <v>163</v>
      </c>
      <c r="AB13" s="345">
        <v>287</v>
      </c>
      <c r="AC13" s="345">
        <v>165</v>
      </c>
      <c r="AD13" s="349">
        <v>165448</v>
      </c>
      <c r="AE13" s="345">
        <v>1362</v>
      </c>
      <c r="AF13" s="345">
        <v>1734</v>
      </c>
      <c r="AG13" s="345">
        <v>3096</v>
      </c>
    </row>
    <row r="14" spans="1:33" x14ac:dyDescent="0.2">
      <c r="A14" s="344" t="s">
        <v>86</v>
      </c>
      <c r="B14" s="350" t="s">
        <v>87</v>
      </c>
      <c r="C14" s="346">
        <v>930</v>
      </c>
      <c r="D14" s="346">
        <v>0</v>
      </c>
      <c r="E14" s="346">
        <v>63</v>
      </c>
      <c r="F14" s="346">
        <v>51</v>
      </c>
      <c r="G14" s="346">
        <v>130</v>
      </c>
      <c r="H14" s="346">
        <v>1174</v>
      </c>
      <c r="I14" s="345">
        <v>1044</v>
      </c>
      <c r="J14" s="345">
        <v>0</v>
      </c>
      <c r="K14" s="347">
        <v>109.04</v>
      </c>
      <c r="L14" s="347">
        <v>106.94</v>
      </c>
      <c r="M14" s="347">
        <v>6.45</v>
      </c>
      <c r="N14" s="347">
        <v>114.23</v>
      </c>
      <c r="O14" s="348">
        <v>795</v>
      </c>
      <c r="P14" s="345">
        <v>99.98</v>
      </c>
      <c r="Q14" s="345">
        <v>96.13</v>
      </c>
      <c r="R14" s="345">
        <v>47.04</v>
      </c>
      <c r="S14" s="345">
        <v>146.51</v>
      </c>
      <c r="T14" s="345">
        <v>92</v>
      </c>
      <c r="U14" s="345">
        <v>156.36000000000001</v>
      </c>
      <c r="V14" s="345">
        <v>106</v>
      </c>
      <c r="W14" s="345">
        <v>146.16</v>
      </c>
      <c r="X14" s="345">
        <v>14</v>
      </c>
      <c r="Y14" s="345">
        <v>0</v>
      </c>
      <c r="Z14" s="345">
        <v>2</v>
      </c>
      <c r="AA14" s="345">
        <v>0</v>
      </c>
      <c r="AB14" s="345">
        <v>10</v>
      </c>
      <c r="AC14" s="345">
        <v>4</v>
      </c>
      <c r="AD14" s="349">
        <v>909</v>
      </c>
      <c r="AE14" s="349">
        <v>0</v>
      </c>
      <c r="AF14" s="349">
        <v>3</v>
      </c>
      <c r="AG14" s="349">
        <v>3</v>
      </c>
    </row>
    <row r="15" spans="1:33" x14ac:dyDescent="0.2">
      <c r="A15" s="344" t="s">
        <v>88</v>
      </c>
      <c r="B15" s="350" t="s">
        <v>89</v>
      </c>
      <c r="C15" s="346">
        <v>8234</v>
      </c>
      <c r="D15" s="346">
        <v>48</v>
      </c>
      <c r="E15" s="346">
        <v>125</v>
      </c>
      <c r="F15" s="346">
        <v>409</v>
      </c>
      <c r="G15" s="346">
        <v>113</v>
      </c>
      <c r="H15" s="346">
        <v>8929</v>
      </c>
      <c r="I15" s="345">
        <v>8816</v>
      </c>
      <c r="J15" s="345">
        <v>30</v>
      </c>
      <c r="K15" s="347">
        <v>85.61</v>
      </c>
      <c r="L15" s="347">
        <v>82.87</v>
      </c>
      <c r="M15" s="347">
        <v>2.31</v>
      </c>
      <c r="N15" s="347">
        <v>87.5</v>
      </c>
      <c r="O15" s="348">
        <v>7281</v>
      </c>
      <c r="P15" s="345">
        <v>80.86</v>
      </c>
      <c r="Q15" s="345">
        <v>74.599999999999994</v>
      </c>
      <c r="R15" s="345">
        <v>34.82</v>
      </c>
      <c r="S15" s="345">
        <v>115.61</v>
      </c>
      <c r="T15" s="345">
        <v>485</v>
      </c>
      <c r="U15" s="345">
        <v>106.29</v>
      </c>
      <c r="V15" s="345">
        <v>452</v>
      </c>
      <c r="W15" s="345">
        <v>147.11000000000001</v>
      </c>
      <c r="X15" s="345">
        <v>34</v>
      </c>
      <c r="Y15" s="345">
        <v>0</v>
      </c>
      <c r="Z15" s="345">
        <v>16</v>
      </c>
      <c r="AA15" s="345">
        <v>1</v>
      </c>
      <c r="AB15" s="345">
        <v>3</v>
      </c>
      <c r="AC15" s="345">
        <v>1</v>
      </c>
      <c r="AD15" s="349">
        <v>7552</v>
      </c>
      <c r="AE15" s="349">
        <v>99</v>
      </c>
      <c r="AF15" s="349">
        <v>8</v>
      </c>
      <c r="AG15" s="349">
        <v>107</v>
      </c>
    </row>
    <row r="16" spans="1:33" x14ac:dyDescent="0.2">
      <c r="A16" s="344" t="s">
        <v>90</v>
      </c>
      <c r="B16" s="350" t="s">
        <v>91</v>
      </c>
      <c r="C16" s="346">
        <v>4587</v>
      </c>
      <c r="D16" s="346">
        <v>0</v>
      </c>
      <c r="E16" s="346">
        <v>156</v>
      </c>
      <c r="F16" s="346">
        <v>2430</v>
      </c>
      <c r="G16" s="346">
        <v>137</v>
      </c>
      <c r="H16" s="346">
        <v>7310</v>
      </c>
      <c r="I16" s="345">
        <v>7173</v>
      </c>
      <c r="J16" s="345">
        <v>0</v>
      </c>
      <c r="K16" s="347">
        <v>89.57</v>
      </c>
      <c r="L16" s="347">
        <v>89.23</v>
      </c>
      <c r="M16" s="347">
        <v>2.2999999999999998</v>
      </c>
      <c r="N16" s="347">
        <v>91.68</v>
      </c>
      <c r="O16" s="348">
        <v>4346</v>
      </c>
      <c r="P16" s="345">
        <v>83.3</v>
      </c>
      <c r="Q16" s="345">
        <v>86.47</v>
      </c>
      <c r="R16" s="345">
        <v>8.08</v>
      </c>
      <c r="S16" s="345">
        <v>91.29</v>
      </c>
      <c r="T16" s="345">
        <v>2542</v>
      </c>
      <c r="U16" s="345">
        <v>99.67</v>
      </c>
      <c r="V16" s="345">
        <v>237</v>
      </c>
      <c r="W16" s="345">
        <v>0</v>
      </c>
      <c r="X16" s="345">
        <v>0</v>
      </c>
      <c r="Y16" s="345">
        <v>0</v>
      </c>
      <c r="Z16" s="345">
        <v>27</v>
      </c>
      <c r="AA16" s="345">
        <v>8</v>
      </c>
      <c r="AB16" s="345">
        <v>10</v>
      </c>
      <c r="AC16" s="345">
        <v>5</v>
      </c>
      <c r="AD16" s="349">
        <v>4579</v>
      </c>
      <c r="AE16" s="349">
        <v>30</v>
      </c>
      <c r="AF16" s="349">
        <v>16</v>
      </c>
      <c r="AG16" s="349">
        <v>46</v>
      </c>
    </row>
    <row r="17" spans="1:33" x14ac:dyDescent="0.2">
      <c r="A17" s="344" t="s">
        <v>92</v>
      </c>
      <c r="B17" s="350" t="s">
        <v>93</v>
      </c>
      <c r="C17" s="346">
        <v>2937</v>
      </c>
      <c r="D17" s="346">
        <v>19</v>
      </c>
      <c r="E17" s="346">
        <v>224</v>
      </c>
      <c r="F17" s="346">
        <v>286</v>
      </c>
      <c r="G17" s="346">
        <v>544</v>
      </c>
      <c r="H17" s="346">
        <v>4010</v>
      </c>
      <c r="I17" s="345">
        <v>3466</v>
      </c>
      <c r="J17" s="345">
        <v>0</v>
      </c>
      <c r="K17" s="347">
        <v>108.96</v>
      </c>
      <c r="L17" s="347">
        <v>107.2</v>
      </c>
      <c r="M17" s="347">
        <v>6.69</v>
      </c>
      <c r="N17" s="347">
        <v>114.54</v>
      </c>
      <c r="O17" s="348">
        <v>2260</v>
      </c>
      <c r="P17" s="345">
        <v>97.09</v>
      </c>
      <c r="Q17" s="345">
        <v>90.06</v>
      </c>
      <c r="R17" s="345">
        <v>33.92</v>
      </c>
      <c r="S17" s="345">
        <v>129.16</v>
      </c>
      <c r="T17" s="345">
        <v>331</v>
      </c>
      <c r="U17" s="345">
        <v>153.9</v>
      </c>
      <c r="V17" s="345">
        <v>628</v>
      </c>
      <c r="W17" s="345">
        <v>0</v>
      </c>
      <c r="X17" s="345">
        <v>0</v>
      </c>
      <c r="Y17" s="345">
        <v>0</v>
      </c>
      <c r="Z17" s="345">
        <v>7</v>
      </c>
      <c r="AA17" s="345">
        <v>5</v>
      </c>
      <c r="AB17" s="345">
        <v>63</v>
      </c>
      <c r="AC17" s="345">
        <v>16</v>
      </c>
      <c r="AD17" s="349">
        <v>2935</v>
      </c>
      <c r="AE17" s="349">
        <v>9</v>
      </c>
      <c r="AF17" s="349">
        <v>2</v>
      </c>
      <c r="AG17" s="349">
        <v>11</v>
      </c>
    </row>
    <row r="18" spans="1:33" x14ac:dyDescent="0.2">
      <c r="A18" s="344" t="s">
        <v>94</v>
      </c>
      <c r="B18" s="350" t="s">
        <v>95</v>
      </c>
      <c r="C18" s="346">
        <v>1621</v>
      </c>
      <c r="D18" s="346">
        <v>0</v>
      </c>
      <c r="E18" s="346">
        <v>172</v>
      </c>
      <c r="F18" s="346">
        <v>291</v>
      </c>
      <c r="G18" s="346">
        <v>160</v>
      </c>
      <c r="H18" s="346">
        <v>2244</v>
      </c>
      <c r="I18" s="345">
        <v>2084</v>
      </c>
      <c r="J18" s="345">
        <v>0</v>
      </c>
      <c r="K18" s="347">
        <v>86.75</v>
      </c>
      <c r="L18" s="347">
        <v>84.89</v>
      </c>
      <c r="M18" s="347">
        <v>5.14</v>
      </c>
      <c r="N18" s="347">
        <v>89.26</v>
      </c>
      <c r="O18" s="348">
        <v>1366</v>
      </c>
      <c r="P18" s="345">
        <v>95</v>
      </c>
      <c r="Q18" s="345">
        <v>88.92</v>
      </c>
      <c r="R18" s="345">
        <v>47.7</v>
      </c>
      <c r="S18" s="345">
        <v>138.33000000000001</v>
      </c>
      <c r="T18" s="345">
        <v>459</v>
      </c>
      <c r="U18" s="345">
        <v>98.54</v>
      </c>
      <c r="V18" s="345">
        <v>183</v>
      </c>
      <c r="W18" s="345">
        <v>0</v>
      </c>
      <c r="X18" s="345">
        <v>0</v>
      </c>
      <c r="Y18" s="345">
        <v>0</v>
      </c>
      <c r="Z18" s="345">
        <v>1</v>
      </c>
      <c r="AA18" s="345">
        <v>3</v>
      </c>
      <c r="AB18" s="345">
        <v>6</v>
      </c>
      <c r="AC18" s="345">
        <v>2</v>
      </c>
      <c r="AD18" s="349">
        <v>1621</v>
      </c>
      <c r="AE18" s="349">
        <v>5</v>
      </c>
      <c r="AF18" s="349">
        <v>3</v>
      </c>
      <c r="AG18" s="349">
        <v>8</v>
      </c>
    </row>
    <row r="19" spans="1:33" x14ac:dyDescent="0.2">
      <c r="A19" s="344" t="s">
        <v>96</v>
      </c>
      <c r="B19" s="350" t="s">
        <v>97</v>
      </c>
      <c r="C19" s="346">
        <v>2239</v>
      </c>
      <c r="D19" s="346">
        <v>0</v>
      </c>
      <c r="E19" s="346">
        <v>144</v>
      </c>
      <c r="F19" s="346">
        <v>151</v>
      </c>
      <c r="G19" s="346">
        <v>673</v>
      </c>
      <c r="H19" s="346">
        <v>3207</v>
      </c>
      <c r="I19" s="345">
        <v>2534</v>
      </c>
      <c r="J19" s="345">
        <v>4</v>
      </c>
      <c r="K19" s="347">
        <v>100.73</v>
      </c>
      <c r="L19" s="347">
        <v>98.69</v>
      </c>
      <c r="M19" s="347">
        <v>7.03</v>
      </c>
      <c r="N19" s="347">
        <v>106.4</v>
      </c>
      <c r="O19" s="348">
        <v>1793</v>
      </c>
      <c r="P19" s="345">
        <v>109.65</v>
      </c>
      <c r="Q19" s="345">
        <v>82.79</v>
      </c>
      <c r="R19" s="345">
        <v>54.59</v>
      </c>
      <c r="S19" s="345">
        <v>163.78</v>
      </c>
      <c r="T19" s="345">
        <v>236</v>
      </c>
      <c r="U19" s="345">
        <v>134.47</v>
      </c>
      <c r="V19" s="345">
        <v>377</v>
      </c>
      <c r="W19" s="345">
        <v>189.73</v>
      </c>
      <c r="X19" s="345">
        <v>59</v>
      </c>
      <c r="Y19" s="345">
        <v>0</v>
      </c>
      <c r="Z19" s="345">
        <v>2</v>
      </c>
      <c r="AA19" s="345">
        <v>2</v>
      </c>
      <c r="AB19" s="345">
        <v>46</v>
      </c>
      <c r="AC19" s="345">
        <v>19</v>
      </c>
      <c r="AD19" s="349">
        <v>2199</v>
      </c>
      <c r="AE19" s="349">
        <v>5</v>
      </c>
      <c r="AF19" s="349">
        <v>2</v>
      </c>
      <c r="AG19" s="349">
        <v>7</v>
      </c>
    </row>
    <row r="20" spans="1:33" x14ac:dyDescent="0.2">
      <c r="A20" s="344" t="s">
        <v>98</v>
      </c>
      <c r="B20" s="350" t="s">
        <v>99</v>
      </c>
      <c r="C20" s="346">
        <v>1706</v>
      </c>
      <c r="D20" s="346">
        <v>0</v>
      </c>
      <c r="E20" s="346">
        <v>122</v>
      </c>
      <c r="F20" s="346">
        <v>123</v>
      </c>
      <c r="G20" s="346">
        <v>174</v>
      </c>
      <c r="H20" s="346">
        <v>2125</v>
      </c>
      <c r="I20" s="345">
        <v>1951</v>
      </c>
      <c r="J20" s="345">
        <v>1</v>
      </c>
      <c r="K20" s="347">
        <v>93.76</v>
      </c>
      <c r="L20" s="347">
        <v>93.36</v>
      </c>
      <c r="M20" s="347">
        <v>4.25</v>
      </c>
      <c r="N20" s="347">
        <v>96.07</v>
      </c>
      <c r="O20" s="348">
        <v>1263</v>
      </c>
      <c r="P20" s="345">
        <v>109.55</v>
      </c>
      <c r="Q20" s="345">
        <v>97.81</v>
      </c>
      <c r="R20" s="345">
        <v>46.99</v>
      </c>
      <c r="S20" s="345">
        <v>154.83000000000001</v>
      </c>
      <c r="T20" s="345">
        <v>192</v>
      </c>
      <c r="U20" s="345">
        <v>114.78</v>
      </c>
      <c r="V20" s="345">
        <v>402</v>
      </c>
      <c r="W20" s="345">
        <v>108.81</v>
      </c>
      <c r="X20" s="345">
        <v>2</v>
      </c>
      <c r="Y20" s="345">
        <v>0</v>
      </c>
      <c r="Z20" s="345">
        <v>0</v>
      </c>
      <c r="AA20" s="345">
        <v>0</v>
      </c>
      <c r="AB20" s="345">
        <v>4</v>
      </c>
      <c r="AC20" s="345">
        <v>3</v>
      </c>
      <c r="AD20" s="349">
        <v>1699</v>
      </c>
      <c r="AE20" s="349">
        <v>5</v>
      </c>
      <c r="AF20" s="349">
        <v>4</v>
      </c>
      <c r="AG20" s="349">
        <v>9</v>
      </c>
    </row>
    <row r="21" spans="1:33" x14ac:dyDescent="0.2">
      <c r="A21" s="344" t="s">
        <v>100</v>
      </c>
      <c r="B21" s="350" t="s">
        <v>101</v>
      </c>
      <c r="C21" s="346">
        <v>4238</v>
      </c>
      <c r="D21" s="346">
        <v>61</v>
      </c>
      <c r="E21" s="346">
        <v>374</v>
      </c>
      <c r="F21" s="346">
        <v>466</v>
      </c>
      <c r="G21" s="346">
        <v>728</v>
      </c>
      <c r="H21" s="346">
        <v>5867</v>
      </c>
      <c r="I21" s="345">
        <v>5139</v>
      </c>
      <c r="J21" s="345">
        <v>0</v>
      </c>
      <c r="K21" s="347">
        <v>128.69999999999999</v>
      </c>
      <c r="L21" s="347">
        <v>115.73</v>
      </c>
      <c r="M21" s="347">
        <v>8.4</v>
      </c>
      <c r="N21" s="347">
        <v>132.88</v>
      </c>
      <c r="O21" s="348">
        <v>2979</v>
      </c>
      <c r="P21" s="345">
        <v>103.89</v>
      </c>
      <c r="Q21" s="345">
        <v>100.87</v>
      </c>
      <c r="R21" s="345">
        <v>58.05</v>
      </c>
      <c r="S21" s="345">
        <v>152.88</v>
      </c>
      <c r="T21" s="345">
        <v>692</v>
      </c>
      <c r="U21" s="345">
        <v>167.94</v>
      </c>
      <c r="V21" s="345">
        <v>751</v>
      </c>
      <c r="W21" s="345">
        <v>0</v>
      </c>
      <c r="X21" s="345">
        <v>0</v>
      </c>
      <c r="Y21" s="345">
        <v>0</v>
      </c>
      <c r="Z21" s="345">
        <v>11</v>
      </c>
      <c r="AA21" s="345">
        <v>5</v>
      </c>
      <c r="AB21" s="345">
        <v>14</v>
      </c>
      <c r="AC21" s="345">
        <v>29</v>
      </c>
      <c r="AD21" s="349">
        <v>4238</v>
      </c>
      <c r="AE21" s="349">
        <v>5</v>
      </c>
      <c r="AF21" s="349">
        <v>5</v>
      </c>
      <c r="AG21" s="349">
        <v>10</v>
      </c>
    </row>
    <row r="22" spans="1:33" x14ac:dyDescent="0.2">
      <c r="A22" s="344" t="s">
        <v>102</v>
      </c>
      <c r="B22" s="350" t="s">
        <v>103</v>
      </c>
      <c r="C22" s="346">
        <v>6933</v>
      </c>
      <c r="D22" s="346">
        <v>28</v>
      </c>
      <c r="E22" s="346">
        <v>620</v>
      </c>
      <c r="F22" s="346">
        <v>1124</v>
      </c>
      <c r="G22" s="346">
        <v>1386</v>
      </c>
      <c r="H22" s="346">
        <v>10091</v>
      </c>
      <c r="I22" s="345">
        <v>8705</v>
      </c>
      <c r="J22" s="345">
        <v>5</v>
      </c>
      <c r="K22" s="347">
        <v>129.75</v>
      </c>
      <c r="L22" s="347">
        <v>128.28</v>
      </c>
      <c r="M22" s="347">
        <v>12.21</v>
      </c>
      <c r="N22" s="347">
        <v>139.71</v>
      </c>
      <c r="O22" s="348">
        <v>5697</v>
      </c>
      <c r="P22" s="345">
        <v>130.80000000000001</v>
      </c>
      <c r="Q22" s="345">
        <v>112.6</v>
      </c>
      <c r="R22" s="345">
        <v>54.55</v>
      </c>
      <c r="S22" s="345">
        <v>178.32</v>
      </c>
      <c r="T22" s="345">
        <v>970</v>
      </c>
      <c r="U22" s="345">
        <v>207.61</v>
      </c>
      <c r="V22" s="345">
        <v>976</v>
      </c>
      <c r="W22" s="345">
        <v>245.66</v>
      </c>
      <c r="X22" s="345">
        <v>20</v>
      </c>
      <c r="Y22" s="345">
        <v>0</v>
      </c>
      <c r="Z22" s="345">
        <v>2</v>
      </c>
      <c r="AA22" s="345">
        <v>4</v>
      </c>
      <c r="AB22" s="345">
        <v>94</v>
      </c>
      <c r="AC22" s="345">
        <v>20</v>
      </c>
      <c r="AD22" s="349">
        <v>6678</v>
      </c>
      <c r="AE22" s="349">
        <v>11</v>
      </c>
      <c r="AF22" s="349">
        <v>10</v>
      </c>
      <c r="AG22" s="349">
        <v>21</v>
      </c>
    </row>
    <row r="23" spans="1:33" x14ac:dyDescent="0.2">
      <c r="A23" s="344" t="s">
        <v>104</v>
      </c>
      <c r="B23" s="350" t="s">
        <v>105</v>
      </c>
      <c r="C23" s="346">
        <v>2850</v>
      </c>
      <c r="D23" s="346">
        <v>0</v>
      </c>
      <c r="E23" s="346">
        <v>305</v>
      </c>
      <c r="F23" s="346">
        <v>672</v>
      </c>
      <c r="G23" s="346">
        <v>253</v>
      </c>
      <c r="H23" s="346">
        <v>4080</v>
      </c>
      <c r="I23" s="345">
        <v>3827</v>
      </c>
      <c r="J23" s="345">
        <v>2</v>
      </c>
      <c r="K23" s="347">
        <v>86.16</v>
      </c>
      <c r="L23" s="347">
        <v>83.12</v>
      </c>
      <c r="M23" s="347">
        <v>5.88</v>
      </c>
      <c r="N23" s="347">
        <v>88.76</v>
      </c>
      <c r="O23" s="348">
        <v>1926</v>
      </c>
      <c r="P23" s="345">
        <v>86.33</v>
      </c>
      <c r="Q23" s="345">
        <v>82.33</v>
      </c>
      <c r="R23" s="345">
        <v>34.1</v>
      </c>
      <c r="S23" s="345">
        <v>115.83</v>
      </c>
      <c r="T23" s="345">
        <v>963</v>
      </c>
      <c r="U23" s="345">
        <v>94.05</v>
      </c>
      <c r="V23" s="345">
        <v>821</v>
      </c>
      <c r="W23" s="345">
        <v>0</v>
      </c>
      <c r="X23" s="345">
        <v>0</v>
      </c>
      <c r="Y23" s="345">
        <v>24</v>
      </c>
      <c r="Z23" s="345">
        <v>1</v>
      </c>
      <c r="AA23" s="345">
        <v>10</v>
      </c>
      <c r="AB23" s="345">
        <v>8</v>
      </c>
      <c r="AC23" s="345">
        <v>2</v>
      </c>
      <c r="AD23" s="349">
        <v>2848</v>
      </c>
      <c r="AE23" s="349">
        <v>18</v>
      </c>
      <c r="AF23" s="349">
        <v>9</v>
      </c>
      <c r="AG23" s="349">
        <v>27</v>
      </c>
    </row>
    <row r="24" spans="1:33" x14ac:dyDescent="0.2">
      <c r="A24" s="344" t="s">
        <v>106</v>
      </c>
      <c r="B24" s="350" t="s">
        <v>107</v>
      </c>
      <c r="C24" s="346">
        <v>502</v>
      </c>
      <c r="D24" s="346">
        <v>0</v>
      </c>
      <c r="E24" s="346">
        <v>113</v>
      </c>
      <c r="F24" s="346">
        <v>224</v>
      </c>
      <c r="G24" s="346">
        <v>12</v>
      </c>
      <c r="H24" s="346">
        <v>851</v>
      </c>
      <c r="I24" s="345">
        <v>839</v>
      </c>
      <c r="J24" s="345">
        <v>5</v>
      </c>
      <c r="K24" s="347">
        <v>80.400000000000006</v>
      </c>
      <c r="L24" s="347">
        <v>77.34</v>
      </c>
      <c r="M24" s="347">
        <v>5.69</v>
      </c>
      <c r="N24" s="347">
        <v>83.73</v>
      </c>
      <c r="O24" s="348">
        <v>449</v>
      </c>
      <c r="P24" s="345">
        <v>82.13</v>
      </c>
      <c r="Q24" s="345">
        <v>81.540000000000006</v>
      </c>
      <c r="R24" s="345">
        <v>41.65</v>
      </c>
      <c r="S24" s="345">
        <v>123.78</v>
      </c>
      <c r="T24" s="345">
        <v>301</v>
      </c>
      <c r="U24" s="345">
        <v>108.65</v>
      </c>
      <c r="V24" s="345">
        <v>27</v>
      </c>
      <c r="W24" s="345">
        <v>0</v>
      </c>
      <c r="X24" s="345">
        <v>0</v>
      </c>
      <c r="Y24" s="345">
        <v>0</v>
      </c>
      <c r="Z24" s="345">
        <v>0</v>
      </c>
      <c r="AA24" s="345">
        <v>0</v>
      </c>
      <c r="AB24" s="345">
        <v>0</v>
      </c>
      <c r="AC24" s="345">
        <v>0</v>
      </c>
      <c r="AD24" s="349">
        <v>491</v>
      </c>
      <c r="AE24" s="349">
        <v>0</v>
      </c>
      <c r="AF24" s="349">
        <v>0</v>
      </c>
      <c r="AG24" s="349">
        <v>0</v>
      </c>
    </row>
    <row r="25" spans="1:33" x14ac:dyDescent="0.2">
      <c r="A25" s="344" t="s">
        <v>108</v>
      </c>
      <c r="B25" s="350" t="s">
        <v>109</v>
      </c>
      <c r="C25" s="346">
        <v>5293</v>
      </c>
      <c r="D25" s="346">
        <v>0</v>
      </c>
      <c r="E25" s="346">
        <v>221</v>
      </c>
      <c r="F25" s="346">
        <v>351</v>
      </c>
      <c r="G25" s="346">
        <v>644</v>
      </c>
      <c r="H25" s="346">
        <v>6509</v>
      </c>
      <c r="I25" s="345">
        <v>5865</v>
      </c>
      <c r="J25" s="345">
        <v>0</v>
      </c>
      <c r="K25" s="347">
        <v>111.78</v>
      </c>
      <c r="L25" s="347">
        <v>112.24</v>
      </c>
      <c r="M25" s="347">
        <v>7.03</v>
      </c>
      <c r="N25" s="347">
        <v>114.8</v>
      </c>
      <c r="O25" s="348">
        <v>5069</v>
      </c>
      <c r="P25" s="345">
        <v>93.07</v>
      </c>
      <c r="Q25" s="345">
        <v>93.05</v>
      </c>
      <c r="R25" s="345">
        <v>41.53</v>
      </c>
      <c r="S25" s="345">
        <v>133.69</v>
      </c>
      <c r="T25" s="345">
        <v>501</v>
      </c>
      <c r="U25" s="345">
        <v>129.11000000000001</v>
      </c>
      <c r="V25" s="345">
        <v>171</v>
      </c>
      <c r="W25" s="345">
        <v>0</v>
      </c>
      <c r="X25" s="345">
        <v>0</v>
      </c>
      <c r="Y25" s="345">
        <v>0</v>
      </c>
      <c r="Z25" s="345">
        <v>0</v>
      </c>
      <c r="AA25" s="345">
        <v>0</v>
      </c>
      <c r="AB25" s="345">
        <v>7</v>
      </c>
      <c r="AC25" s="345">
        <v>1</v>
      </c>
      <c r="AD25" s="349">
        <v>5293</v>
      </c>
      <c r="AE25" s="349">
        <v>22</v>
      </c>
      <c r="AF25" s="349">
        <v>34</v>
      </c>
      <c r="AG25" s="349">
        <v>56</v>
      </c>
    </row>
    <row r="26" spans="1:33" x14ac:dyDescent="0.2">
      <c r="A26" s="344" t="s">
        <v>110</v>
      </c>
      <c r="B26" s="350" t="s">
        <v>111</v>
      </c>
      <c r="C26" s="346">
        <v>12201</v>
      </c>
      <c r="D26" s="346">
        <v>312</v>
      </c>
      <c r="E26" s="346">
        <v>386</v>
      </c>
      <c r="F26" s="346">
        <v>909</v>
      </c>
      <c r="G26" s="346">
        <v>959</v>
      </c>
      <c r="H26" s="346">
        <v>14767</v>
      </c>
      <c r="I26" s="345">
        <v>13808</v>
      </c>
      <c r="J26" s="345">
        <v>0</v>
      </c>
      <c r="K26" s="347">
        <v>113.97</v>
      </c>
      <c r="L26" s="347">
        <v>112.55</v>
      </c>
      <c r="M26" s="347">
        <v>4.8099999999999996</v>
      </c>
      <c r="N26" s="347">
        <v>115.87</v>
      </c>
      <c r="O26" s="348">
        <v>11172</v>
      </c>
      <c r="P26" s="345">
        <v>98.21</v>
      </c>
      <c r="Q26" s="345">
        <v>94.17</v>
      </c>
      <c r="R26" s="345">
        <v>30.42</v>
      </c>
      <c r="S26" s="345">
        <v>127.05</v>
      </c>
      <c r="T26" s="345">
        <v>1132</v>
      </c>
      <c r="U26" s="345">
        <v>146.1</v>
      </c>
      <c r="V26" s="345">
        <v>750</v>
      </c>
      <c r="W26" s="345">
        <v>150.16999999999999</v>
      </c>
      <c r="X26" s="345">
        <v>2</v>
      </c>
      <c r="Y26" s="345">
        <v>0</v>
      </c>
      <c r="Z26" s="345">
        <v>8</v>
      </c>
      <c r="AA26" s="345">
        <v>0</v>
      </c>
      <c r="AB26" s="345">
        <v>68</v>
      </c>
      <c r="AC26" s="345">
        <v>28</v>
      </c>
      <c r="AD26" s="349">
        <v>12189</v>
      </c>
      <c r="AE26" s="349">
        <v>72</v>
      </c>
      <c r="AF26" s="349">
        <v>11</v>
      </c>
      <c r="AG26" s="349">
        <v>83</v>
      </c>
    </row>
    <row r="27" spans="1:33" x14ac:dyDescent="0.2">
      <c r="A27" s="344" t="s">
        <v>112</v>
      </c>
      <c r="B27" s="350" t="s">
        <v>113</v>
      </c>
      <c r="C27" s="346">
        <v>943</v>
      </c>
      <c r="D27" s="346">
        <v>0</v>
      </c>
      <c r="E27" s="346">
        <v>260</v>
      </c>
      <c r="F27" s="346">
        <v>154</v>
      </c>
      <c r="G27" s="346">
        <v>78</v>
      </c>
      <c r="H27" s="346">
        <v>1435</v>
      </c>
      <c r="I27" s="345">
        <v>1357</v>
      </c>
      <c r="J27" s="345">
        <v>4</v>
      </c>
      <c r="K27" s="347">
        <v>87.61</v>
      </c>
      <c r="L27" s="347">
        <v>85.19</v>
      </c>
      <c r="M27" s="347">
        <v>3.13</v>
      </c>
      <c r="N27" s="347">
        <v>89.5</v>
      </c>
      <c r="O27" s="348">
        <v>839</v>
      </c>
      <c r="P27" s="345">
        <v>122.73</v>
      </c>
      <c r="Q27" s="345">
        <v>74.28</v>
      </c>
      <c r="R27" s="345">
        <v>55.14</v>
      </c>
      <c r="S27" s="345">
        <v>176.05</v>
      </c>
      <c r="T27" s="345">
        <v>363</v>
      </c>
      <c r="U27" s="345">
        <v>92.93</v>
      </c>
      <c r="V27" s="345">
        <v>81</v>
      </c>
      <c r="W27" s="345">
        <v>147.16</v>
      </c>
      <c r="X27" s="345">
        <v>4</v>
      </c>
      <c r="Y27" s="345">
        <v>0</v>
      </c>
      <c r="Z27" s="345">
        <v>0</v>
      </c>
      <c r="AA27" s="345">
        <v>5</v>
      </c>
      <c r="AB27" s="345">
        <v>9</v>
      </c>
      <c r="AC27" s="345">
        <v>7</v>
      </c>
      <c r="AD27" s="349">
        <v>940</v>
      </c>
      <c r="AE27" s="349">
        <v>29</v>
      </c>
      <c r="AF27" s="349">
        <v>5</v>
      </c>
      <c r="AG27" s="349">
        <v>34</v>
      </c>
    </row>
    <row r="28" spans="1:33" x14ac:dyDescent="0.2">
      <c r="A28" s="344" t="s">
        <v>114</v>
      </c>
      <c r="B28" s="350" t="s">
        <v>115</v>
      </c>
      <c r="C28" s="346">
        <v>8969</v>
      </c>
      <c r="D28" s="346">
        <v>0</v>
      </c>
      <c r="E28" s="346">
        <v>359</v>
      </c>
      <c r="F28" s="346">
        <v>2125</v>
      </c>
      <c r="G28" s="346">
        <v>497</v>
      </c>
      <c r="H28" s="346">
        <v>11950</v>
      </c>
      <c r="I28" s="345">
        <v>11453</v>
      </c>
      <c r="J28" s="345">
        <v>6</v>
      </c>
      <c r="K28" s="347">
        <v>100.27</v>
      </c>
      <c r="L28" s="347">
        <v>100.54</v>
      </c>
      <c r="M28" s="347">
        <v>4.1399999999999997</v>
      </c>
      <c r="N28" s="347">
        <v>103.86</v>
      </c>
      <c r="O28" s="348">
        <v>8195</v>
      </c>
      <c r="P28" s="345">
        <v>93.43</v>
      </c>
      <c r="Q28" s="345">
        <v>94.27</v>
      </c>
      <c r="R28" s="345">
        <v>15.27</v>
      </c>
      <c r="S28" s="345">
        <v>108.57</v>
      </c>
      <c r="T28" s="345">
        <v>2229</v>
      </c>
      <c r="U28" s="345">
        <v>132.83000000000001</v>
      </c>
      <c r="V28" s="345">
        <v>657</v>
      </c>
      <c r="W28" s="345">
        <v>119.51</v>
      </c>
      <c r="X28" s="345">
        <v>77</v>
      </c>
      <c r="Y28" s="345">
        <v>0</v>
      </c>
      <c r="Z28" s="345">
        <v>24</v>
      </c>
      <c r="AA28" s="345">
        <v>15</v>
      </c>
      <c r="AB28" s="345">
        <v>59</v>
      </c>
      <c r="AC28" s="345">
        <v>12</v>
      </c>
      <c r="AD28" s="349">
        <v>8883</v>
      </c>
      <c r="AE28" s="349">
        <v>6</v>
      </c>
      <c r="AF28" s="349">
        <v>77</v>
      </c>
      <c r="AG28" s="349">
        <v>83</v>
      </c>
    </row>
    <row r="29" spans="1:33" x14ac:dyDescent="0.2">
      <c r="A29" s="344" t="s">
        <v>116</v>
      </c>
      <c r="B29" s="350" t="s">
        <v>117</v>
      </c>
      <c r="C29" s="346">
        <v>10587</v>
      </c>
      <c r="D29" s="346">
        <v>0</v>
      </c>
      <c r="E29" s="346">
        <v>401</v>
      </c>
      <c r="F29" s="346">
        <v>1097</v>
      </c>
      <c r="G29" s="346">
        <v>1051</v>
      </c>
      <c r="H29" s="346">
        <v>13136</v>
      </c>
      <c r="I29" s="345">
        <v>12085</v>
      </c>
      <c r="J29" s="345">
        <v>2</v>
      </c>
      <c r="K29" s="347">
        <v>98.79</v>
      </c>
      <c r="L29" s="347">
        <v>98.17</v>
      </c>
      <c r="M29" s="347">
        <v>8.42</v>
      </c>
      <c r="N29" s="347">
        <v>104.83</v>
      </c>
      <c r="O29" s="348">
        <v>9243</v>
      </c>
      <c r="P29" s="345">
        <v>98.09</v>
      </c>
      <c r="Q29" s="345">
        <v>92.11</v>
      </c>
      <c r="R29" s="345">
        <v>43.86</v>
      </c>
      <c r="S29" s="345">
        <v>140.6</v>
      </c>
      <c r="T29" s="345">
        <v>1297</v>
      </c>
      <c r="U29" s="345">
        <v>127.69</v>
      </c>
      <c r="V29" s="345">
        <v>1007</v>
      </c>
      <c r="W29" s="345">
        <v>102.74</v>
      </c>
      <c r="X29" s="345">
        <v>5</v>
      </c>
      <c r="Y29" s="345">
        <v>0</v>
      </c>
      <c r="Z29" s="345">
        <v>4</v>
      </c>
      <c r="AA29" s="345">
        <v>4</v>
      </c>
      <c r="AB29" s="345">
        <v>91</v>
      </c>
      <c r="AC29" s="345">
        <v>14</v>
      </c>
      <c r="AD29" s="349">
        <v>10504</v>
      </c>
      <c r="AE29" s="349">
        <v>60</v>
      </c>
      <c r="AF29" s="349">
        <v>18</v>
      </c>
      <c r="AG29" s="349">
        <v>78</v>
      </c>
    </row>
    <row r="30" spans="1:33" x14ac:dyDescent="0.2">
      <c r="A30" s="344" t="s">
        <v>118</v>
      </c>
      <c r="B30" s="350" t="s">
        <v>119</v>
      </c>
      <c r="C30" s="346">
        <v>12304</v>
      </c>
      <c r="D30" s="346">
        <v>47</v>
      </c>
      <c r="E30" s="346">
        <v>120</v>
      </c>
      <c r="F30" s="346">
        <v>1300</v>
      </c>
      <c r="G30" s="346">
        <v>1147</v>
      </c>
      <c r="H30" s="346">
        <v>14918</v>
      </c>
      <c r="I30" s="345">
        <v>13771</v>
      </c>
      <c r="J30" s="345">
        <v>50</v>
      </c>
      <c r="K30" s="347">
        <v>110.94</v>
      </c>
      <c r="L30" s="347">
        <v>108.44</v>
      </c>
      <c r="M30" s="347">
        <v>10.37</v>
      </c>
      <c r="N30" s="347">
        <v>120.57</v>
      </c>
      <c r="O30" s="348">
        <v>10025</v>
      </c>
      <c r="P30" s="345">
        <v>98.09</v>
      </c>
      <c r="Q30" s="345">
        <v>96.37</v>
      </c>
      <c r="R30" s="345">
        <v>28.44</v>
      </c>
      <c r="S30" s="345">
        <v>125.86</v>
      </c>
      <c r="T30" s="345">
        <v>1294</v>
      </c>
      <c r="U30" s="345">
        <v>158.01</v>
      </c>
      <c r="V30" s="345">
        <v>1329</v>
      </c>
      <c r="W30" s="345">
        <v>0</v>
      </c>
      <c r="X30" s="345">
        <v>0</v>
      </c>
      <c r="Y30" s="345">
        <v>0</v>
      </c>
      <c r="Z30" s="345">
        <v>8</v>
      </c>
      <c r="AA30" s="345">
        <v>11</v>
      </c>
      <c r="AB30" s="345">
        <v>154</v>
      </c>
      <c r="AC30" s="345">
        <v>22</v>
      </c>
      <c r="AD30" s="349">
        <v>11412</v>
      </c>
      <c r="AE30" s="349">
        <v>96</v>
      </c>
      <c r="AF30" s="349">
        <v>232</v>
      </c>
      <c r="AG30" s="349">
        <v>328</v>
      </c>
    </row>
    <row r="31" spans="1:33" x14ac:dyDescent="0.2">
      <c r="A31" s="344" t="s">
        <v>120</v>
      </c>
      <c r="B31" s="350" t="s">
        <v>121</v>
      </c>
      <c r="C31" s="346">
        <v>34143</v>
      </c>
      <c r="D31" s="346">
        <v>624</v>
      </c>
      <c r="E31" s="346">
        <v>9642</v>
      </c>
      <c r="F31" s="346">
        <v>4380</v>
      </c>
      <c r="G31" s="346">
        <v>3117</v>
      </c>
      <c r="H31" s="346">
        <v>51906</v>
      </c>
      <c r="I31" s="345">
        <v>48789</v>
      </c>
      <c r="J31" s="345">
        <v>431</v>
      </c>
      <c r="K31" s="347">
        <v>92.78</v>
      </c>
      <c r="L31" s="347">
        <v>91.78</v>
      </c>
      <c r="M31" s="347">
        <v>7.34</v>
      </c>
      <c r="N31" s="347">
        <v>98.28</v>
      </c>
      <c r="O31" s="348">
        <v>30611</v>
      </c>
      <c r="P31" s="345">
        <v>104.98</v>
      </c>
      <c r="Q31" s="345">
        <v>113.95</v>
      </c>
      <c r="R31" s="345">
        <v>94.03</v>
      </c>
      <c r="S31" s="345">
        <v>185.08</v>
      </c>
      <c r="T31" s="345">
        <v>11774</v>
      </c>
      <c r="U31" s="345">
        <v>115.1</v>
      </c>
      <c r="V31" s="345">
        <v>1479</v>
      </c>
      <c r="W31" s="345">
        <v>190.5</v>
      </c>
      <c r="X31" s="345">
        <v>120</v>
      </c>
      <c r="Y31" s="345">
        <v>30</v>
      </c>
      <c r="Z31" s="345">
        <v>21</v>
      </c>
      <c r="AA31" s="345">
        <v>48</v>
      </c>
      <c r="AB31" s="345">
        <v>33</v>
      </c>
      <c r="AC31" s="345">
        <v>140</v>
      </c>
      <c r="AD31" s="349">
        <v>32500</v>
      </c>
      <c r="AE31" s="349">
        <v>162</v>
      </c>
      <c r="AF31" s="349">
        <v>100</v>
      </c>
      <c r="AG31" s="349">
        <v>262</v>
      </c>
    </row>
    <row r="32" spans="1:33" x14ac:dyDescent="0.2">
      <c r="A32" s="344" t="s">
        <v>122</v>
      </c>
      <c r="B32" s="350" t="s">
        <v>123</v>
      </c>
      <c r="C32" s="346">
        <v>2046</v>
      </c>
      <c r="D32" s="346">
        <v>0</v>
      </c>
      <c r="E32" s="346">
        <v>109</v>
      </c>
      <c r="F32" s="346">
        <v>1377</v>
      </c>
      <c r="G32" s="346">
        <v>350</v>
      </c>
      <c r="H32" s="346">
        <v>3882</v>
      </c>
      <c r="I32" s="345">
        <v>3532</v>
      </c>
      <c r="J32" s="345">
        <v>0</v>
      </c>
      <c r="K32" s="347">
        <v>87.66</v>
      </c>
      <c r="L32" s="347">
        <v>86.95</v>
      </c>
      <c r="M32" s="347">
        <v>4.16</v>
      </c>
      <c r="N32" s="347">
        <v>89.91</v>
      </c>
      <c r="O32" s="348">
        <v>1617</v>
      </c>
      <c r="P32" s="345">
        <v>77.48</v>
      </c>
      <c r="Q32" s="345">
        <v>76.81</v>
      </c>
      <c r="R32" s="345">
        <v>19.670000000000002</v>
      </c>
      <c r="S32" s="345">
        <v>96.6</v>
      </c>
      <c r="T32" s="345">
        <v>1481</v>
      </c>
      <c r="U32" s="345">
        <v>108.59</v>
      </c>
      <c r="V32" s="345">
        <v>336</v>
      </c>
      <c r="W32" s="345">
        <v>0</v>
      </c>
      <c r="X32" s="345">
        <v>0</v>
      </c>
      <c r="Y32" s="345">
        <v>0</v>
      </c>
      <c r="Z32" s="345">
        <v>8</v>
      </c>
      <c r="AA32" s="345">
        <v>3</v>
      </c>
      <c r="AB32" s="345">
        <v>30</v>
      </c>
      <c r="AC32" s="345">
        <v>4</v>
      </c>
      <c r="AD32" s="349">
        <v>2046</v>
      </c>
      <c r="AE32" s="349">
        <v>7</v>
      </c>
      <c r="AF32" s="349">
        <v>8</v>
      </c>
      <c r="AG32" s="349">
        <v>15</v>
      </c>
    </row>
    <row r="33" spans="1:33" x14ac:dyDescent="0.2">
      <c r="A33" s="344" t="s">
        <v>124</v>
      </c>
      <c r="B33" s="350" t="s">
        <v>125</v>
      </c>
      <c r="C33" s="346">
        <v>10206</v>
      </c>
      <c r="D33" s="346">
        <v>0</v>
      </c>
      <c r="E33" s="346">
        <v>493</v>
      </c>
      <c r="F33" s="346">
        <v>793</v>
      </c>
      <c r="G33" s="346">
        <v>211</v>
      </c>
      <c r="H33" s="346">
        <v>11703</v>
      </c>
      <c r="I33" s="345">
        <v>11492</v>
      </c>
      <c r="J33" s="345">
        <v>0</v>
      </c>
      <c r="K33" s="347">
        <v>78.81</v>
      </c>
      <c r="L33" s="347">
        <v>75.27</v>
      </c>
      <c r="M33" s="347">
        <v>2.2400000000000002</v>
      </c>
      <c r="N33" s="347">
        <v>80.8</v>
      </c>
      <c r="O33" s="348">
        <v>9012</v>
      </c>
      <c r="P33" s="345">
        <v>88.38</v>
      </c>
      <c r="Q33" s="345">
        <v>72.47</v>
      </c>
      <c r="R33" s="345">
        <v>58.03</v>
      </c>
      <c r="S33" s="345">
        <v>144.96</v>
      </c>
      <c r="T33" s="345">
        <v>1078</v>
      </c>
      <c r="U33" s="345">
        <v>95.36</v>
      </c>
      <c r="V33" s="345">
        <v>1102</v>
      </c>
      <c r="W33" s="345">
        <v>132.6</v>
      </c>
      <c r="X33" s="345">
        <v>120</v>
      </c>
      <c r="Y33" s="345">
        <v>0</v>
      </c>
      <c r="Z33" s="345">
        <v>63</v>
      </c>
      <c r="AA33" s="345">
        <v>17</v>
      </c>
      <c r="AB33" s="345">
        <v>4</v>
      </c>
      <c r="AC33" s="345">
        <v>7</v>
      </c>
      <c r="AD33" s="349">
        <v>10198</v>
      </c>
      <c r="AE33" s="349">
        <v>74</v>
      </c>
      <c r="AF33" s="349">
        <v>18</v>
      </c>
      <c r="AG33" s="349">
        <v>92</v>
      </c>
    </row>
    <row r="34" spans="1:33" x14ac:dyDescent="0.2">
      <c r="A34" s="344" t="s">
        <v>126</v>
      </c>
      <c r="B34" s="350" t="s">
        <v>127</v>
      </c>
      <c r="C34" s="346">
        <v>1677</v>
      </c>
      <c r="D34" s="346">
        <v>0</v>
      </c>
      <c r="E34" s="346">
        <v>385</v>
      </c>
      <c r="F34" s="346">
        <v>199</v>
      </c>
      <c r="G34" s="346">
        <v>130</v>
      </c>
      <c r="H34" s="346">
        <v>2391</v>
      </c>
      <c r="I34" s="345">
        <v>2261</v>
      </c>
      <c r="J34" s="345">
        <v>0</v>
      </c>
      <c r="K34" s="347">
        <v>86.46</v>
      </c>
      <c r="L34" s="347">
        <v>83.82</v>
      </c>
      <c r="M34" s="347">
        <v>4.4400000000000004</v>
      </c>
      <c r="N34" s="347">
        <v>89.83</v>
      </c>
      <c r="O34" s="348">
        <v>1217</v>
      </c>
      <c r="P34" s="345">
        <v>102.97</v>
      </c>
      <c r="Q34" s="345">
        <v>83.39</v>
      </c>
      <c r="R34" s="345">
        <v>58.3</v>
      </c>
      <c r="S34" s="345">
        <v>158.51</v>
      </c>
      <c r="T34" s="345">
        <v>527</v>
      </c>
      <c r="U34" s="345">
        <v>104.57</v>
      </c>
      <c r="V34" s="345">
        <v>331</v>
      </c>
      <c r="W34" s="345">
        <v>0</v>
      </c>
      <c r="X34" s="345">
        <v>0</v>
      </c>
      <c r="Y34" s="345">
        <v>1</v>
      </c>
      <c r="Z34" s="345">
        <v>0</v>
      </c>
      <c r="AA34" s="345">
        <v>7</v>
      </c>
      <c r="AB34" s="345">
        <v>8</v>
      </c>
      <c r="AC34" s="345">
        <v>8</v>
      </c>
      <c r="AD34" s="349">
        <v>1619</v>
      </c>
      <c r="AE34" s="349">
        <v>6</v>
      </c>
      <c r="AF34" s="349">
        <v>12</v>
      </c>
      <c r="AG34" s="349">
        <v>18</v>
      </c>
    </row>
    <row r="35" spans="1:33" x14ac:dyDescent="0.2">
      <c r="A35" s="344" t="s">
        <v>128</v>
      </c>
      <c r="B35" s="350" t="s">
        <v>129</v>
      </c>
      <c r="C35" s="346">
        <v>752</v>
      </c>
      <c r="D35" s="346">
        <v>0</v>
      </c>
      <c r="E35" s="346">
        <v>56</v>
      </c>
      <c r="F35" s="346">
        <v>261</v>
      </c>
      <c r="G35" s="346">
        <v>21</v>
      </c>
      <c r="H35" s="346">
        <v>1090</v>
      </c>
      <c r="I35" s="345">
        <v>1069</v>
      </c>
      <c r="J35" s="345">
        <v>0</v>
      </c>
      <c r="K35" s="347">
        <v>89.86</v>
      </c>
      <c r="L35" s="347">
        <v>87.49</v>
      </c>
      <c r="M35" s="347">
        <v>3.46</v>
      </c>
      <c r="N35" s="347">
        <v>91.89</v>
      </c>
      <c r="O35" s="348">
        <v>654</v>
      </c>
      <c r="P35" s="345">
        <v>91.56</v>
      </c>
      <c r="Q35" s="345">
        <v>86.38</v>
      </c>
      <c r="R35" s="345">
        <v>14.75</v>
      </c>
      <c r="S35" s="345">
        <v>105.67</v>
      </c>
      <c r="T35" s="345">
        <v>300</v>
      </c>
      <c r="U35" s="345">
        <v>89.56</v>
      </c>
      <c r="V35" s="345">
        <v>63</v>
      </c>
      <c r="W35" s="345">
        <v>0</v>
      </c>
      <c r="X35" s="345">
        <v>0</v>
      </c>
      <c r="Y35" s="345">
        <v>0</v>
      </c>
      <c r="Z35" s="345">
        <v>1</v>
      </c>
      <c r="AA35" s="345">
        <v>5</v>
      </c>
      <c r="AB35" s="345">
        <v>0</v>
      </c>
      <c r="AC35" s="345">
        <v>1</v>
      </c>
      <c r="AD35" s="349">
        <v>743</v>
      </c>
      <c r="AE35" s="349">
        <v>17</v>
      </c>
      <c r="AF35" s="349">
        <v>3</v>
      </c>
      <c r="AG35" s="349">
        <v>20</v>
      </c>
    </row>
    <row r="36" spans="1:33" x14ac:dyDescent="0.2">
      <c r="A36" s="344" t="s">
        <v>130</v>
      </c>
      <c r="B36" s="350" t="s">
        <v>131</v>
      </c>
      <c r="C36" s="346">
        <v>20880</v>
      </c>
      <c r="D36" s="346">
        <v>0</v>
      </c>
      <c r="E36" s="346">
        <v>789</v>
      </c>
      <c r="F36" s="346">
        <v>3832</v>
      </c>
      <c r="G36" s="346">
        <v>405</v>
      </c>
      <c r="H36" s="346">
        <v>25906</v>
      </c>
      <c r="I36" s="345">
        <v>25501</v>
      </c>
      <c r="J36" s="345">
        <v>31</v>
      </c>
      <c r="K36" s="347">
        <v>78.02</v>
      </c>
      <c r="L36" s="347">
        <v>79.75</v>
      </c>
      <c r="M36" s="347">
        <v>8.25</v>
      </c>
      <c r="N36" s="347">
        <v>80.45</v>
      </c>
      <c r="O36" s="348">
        <v>17590</v>
      </c>
      <c r="P36" s="345">
        <v>75.31</v>
      </c>
      <c r="Q36" s="345">
        <v>71.8</v>
      </c>
      <c r="R36" s="345">
        <v>31.5</v>
      </c>
      <c r="S36" s="345">
        <v>105.96</v>
      </c>
      <c r="T36" s="345">
        <v>4524</v>
      </c>
      <c r="U36" s="345">
        <v>95.89</v>
      </c>
      <c r="V36" s="345">
        <v>3176</v>
      </c>
      <c r="W36" s="345">
        <v>183.48</v>
      </c>
      <c r="X36" s="345">
        <v>5</v>
      </c>
      <c r="Y36" s="345">
        <v>0</v>
      </c>
      <c r="Z36" s="345">
        <v>176</v>
      </c>
      <c r="AA36" s="345">
        <v>3</v>
      </c>
      <c r="AB36" s="345">
        <v>9</v>
      </c>
      <c r="AC36" s="345">
        <v>14</v>
      </c>
      <c r="AD36" s="349">
        <v>20845</v>
      </c>
      <c r="AE36" s="349">
        <v>75</v>
      </c>
      <c r="AF36" s="349">
        <v>165</v>
      </c>
      <c r="AG36" s="349">
        <v>240</v>
      </c>
    </row>
    <row r="37" spans="1:33" x14ac:dyDescent="0.2">
      <c r="A37" s="344" t="s">
        <v>132</v>
      </c>
      <c r="B37" s="350" t="s">
        <v>133</v>
      </c>
      <c r="C37" s="346">
        <v>4446</v>
      </c>
      <c r="D37" s="346">
        <v>3</v>
      </c>
      <c r="E37" s="346">
        <v>137</v>
      </c>
      <c r="F37" s="346">
        <v>930</v>
      </c>
      <c r="G37" s="346">
        <v>244</v>
      </c>
      <c r="H37" s="346">
        <v>5760</v>
      </c>
      <c r="I37" s="345">
        <v>5516</v>
      </c>
      <c r="J37" s="345">
        <v>0</v>
      </c>
      <c r="K37" s="347">
        <v>80.400000000000006</v>
      </c>
      <c r="L37" s="347">
        <v>77.650000000000006</v>
      </c>
      <c r="M37" s="347">
        <v>1.8</v>
      </c>
      <c r="N37" s="347">
        <v>82.16</v>
      </c>
      <c r="O37" s="348">
        <v>4025</v>
      </c>
      <c r="P37" s="345">
        <v>75.97</v>
      </c>
      <c r="Q37" s="345">
        <v>72.62</v>
      </c>
      <c r="R37" s="345">
        <v>19.25</v>
      </c>
      <c r="S37" s="345">
        <v>95.11</v>
      </c>
      <c r="T37" s="345">
        <v>1033</v>
      </c>
      <c r="U37" s="345">
        <v>103.22</v>
      </c>
      <c r="V37" s="345">
        <v>319</v>
      </c>
      <c r="W37" s="345">
        <v>268.58999999999997</v>
      </c>
      <c r="X37" s="345">
        <v>6</v>
      </c>
      <c r="Y37" s="345">
        <v>0</v>
      </c>
      <c r="Z37" s="345">
        <v>10</v>
      </c>
      <c r="AA37" s="345">
        <v>1</v>
      </c>
      <c r="AB37" s="345">
        <v>21</v>
      </c>
      <c r="AC37" s="345">
        <v>4</v>
      </c>
      <c r="AD37" s="349">
        <v>4410</v>
      </c>
      <c r="AE37" s="349">
        <v>4</v>
      </c>
      <c r="AF37" s="349">
        <v>13</v>
      </c>
      <c r="AG37" s="349">
        <v>17</v>
      </c>
    </row>
    <row r="38" spans="1:33" x14ac:dyDescent="0.2">
      <c r="A38" s="344" t="s">
        <v>134</v>
      </c>
      <c r="B38" s="350" t="s">
        <v>135</v>
      </c>
      <c r="C38" s="345">
        <v>6482</v>
      </c>
      <c r="D38" s="345">
        <v>19</v>
      </c>
      <c r="E38" s="345">
        <v>1241</v>
      </c>
      <c r="F38" s="345">
        <v>1268</v>
      </c>
      <c r="G38" s="345">
        <v>865</v>
      </c>
      <c r="H38" s="345">
        <v>9875</v>
      </c>
      <c r="I38" s="345">
        <v>9010</v>
      </c>
      <c r="J38" s="345">
        <v>1</v>
      </c>
      <c r="K38" s="345">
        <v>104.78</v>
      </c>
      <c r="L38" s="345">
        <v>103.33</v>
      </c>
      <c r="M38" s="345">
        <v>5.42</v>
      </c>
      <c r="N38" s="345">
        <v>108.57</v>
      </c>
      <c r="O38" s="348">
        <v>5543</v>
      </c>
      <c r="P38" s="345">
        <v>96.06</v>
      </c>
      <c r="Q38" s="345">
        <v>88.38</v>
      </c>
      <c r="R38" s="345">
        <v>38.78</v>
      </c>
      <c r="S38" s="345">
        <v>133.05000000000001</v>
      </c>
      <c r="T38" s="345">
        <v>1909</v>
      </c>
      <c r="U38" s="345">
        <v>141.81</v>
      </c>
      <c r="V38" s="345">
        <v>457</v>
      </c>
      <c r="W38" s="345">
        <v>415.58</v>
      </c>
      <c r="X38" s="345">
        <v>52</v>
      </c>
      <c r="Y38" s="345">
        <v>66</v>
      </c>
      <c r="Z38" s="345">
        <v>2</v>
      </c>
      <c r="AA38" s="345">
        <v>19</v>
      </c>
      <c r="AB38" s="345">
        <v>10</v>
      </c>
      <c r="AC38" s="345">
        <v>23</v>
      </c>
      <c r="AD38" s="345">
        <v>6020</v>
      </c>
      <c r="AE38" s="345">
        <v>16</v>
      </c>
      <c r="AF38" s="345">
        <v>13</v>
      </c>
      <c r="AG38" s="345">
        <v>29</v>
      </c>
    </row>
    <row r="39" spans="1:33" x14ac:dyDescent="0.2">
      <c r="A39" s="344" t="s">
        <v>136</v>
      </c>
      <c r="B39" s="350" t="s">
        <v>137</v>
      </c>
      <c r="C39" s="346">
        <v>7251</v>
      </c>
      <c r="D39" s="346">
        <v>4</v>
      </c>
      <c r="E39" s="346">
        <v>245</v>
      </c>
      <c r="F39" s="346">
        <v>536</v>
      </c>
      <c r="G39" s="346">
        <v>588</v>
      </c>
      <c r="H39" s="346">
        <v>8624</v>
      </c>
      <c r="I39" s="345">
        <v>8036</v>
      </c>
      <c r="J39" s="345">
        <v>5</v>
      </c>
      <c r="K39" s="347">
        <v>109.86</v>
      </c>
      <c r="L39" s="347">
        <v>109.84</v>
      </c>
      <c r="M39" s="347">
        <v>7.9</v>
      </c>
      <c r="N39" s="347">
        <v>112.36</v>
      </c>
      <c r="O39" s="348">
        <v>6739</v>
      </c>
      <c r="P39" s="345">
        <v>100.52</v>
      </c>
      <c r="Q39" s="345">
        <v>98.38</v>
      </c>
      <c r="R39" s="345">
        <v>36.42</v>
      </c>
      <c r="S39" s="345">
        <v>135.02000000000001</v>
      </c>
      <c r="T39" s="345">
        <v>776</v>
      </c>
      <c r="U39" s="345">
        <v>154.88</v>
      </c>
      <c r="V39" s="345">
        <v>435</v>
      </c>
      <c r="W39" s="345">
        <v>0</v>
      </c>
      <c r="X39" s="345">
        <v>0</v>
      </c>
      <c r="Y39" s="345">
        <v>0</v>
      </c>
      <c r="Z39" s="345">
        <v>22</v>
      </c>
      <c r="AA39" s="345">
        <v>3</v>
      </c>
      <c r="AB39" s="345">
        <v>48</v>
      </c>
      <c r="AC39" s="345">
        <v>13</v>
      </c>
      <c r="AD39" s="349">
        <v>7223</v>
      </c>
      <c r="AE39" s="349">
        <v>16</v>
      </c>
      <c r="AF39" s="349">
        <v>66</v>
      </c>
      <c r="AG39" s="349">
        <v>82</v>
      </c>
    </row>
    <row r="40" spans="1:33" x14ac:dyDescent="0.2">
      <c r="A40" s="344" t="s">
        <v>138</v>
      </c>
      <c r="B40" s="350" t="s">
        <v>139</v>
      </c>
      <c r="C40" s="346">
        <v>27542</v>
      </c>
      <c r="D40" s="346">
        <v>149</v>
      </c>
      <c r="E40" s="346">
        <v>1272</v>
      </c>
      <c r="F40" s="346">
        <v>2907</v>
      </c>
      <c r="G40" s="346">
        <v>589</v>
      </c>
      <c r="H40" s="346">
        <v>32459</v>
      </c>
      <c r="I40" s="345">
        <v>31870</v>
      </c>
      <c r="J40" s="345">
        <v>156</v>
      </c>
      <c r="K40" s="347">
        <v>79.14</v>
      </c>
      <c r="L40" s="347">
        <v>78.680000000000007</v>
      </c>
      <c r="M40" s="347">
        <v>5.76</v>
      </c>
      <c r="N40" s="347">
        <v>84.63</v>
      </c>
      <c r="O40" s="348">
        <v>25044</v>
      </c>
      <c r="P40" s="345">
        <v>81.31</v>
      </c>
      <c r="Q40" s="345">
        <v>77.099999999999994</v>
      </c>
      <c r="R40" s="345">
        <v>35.950000000000003</v>
      </c>
      <c r="S40" s="345">
        <v>116.91</v>
      </c>
      <c r="T40" s="345">
        <v>3476</v>
      </c>
      <c r="U40" s="345">
        <v>98.97</v>
      </c>
      <c r="V40" s="345">
        <v>2563</v>
      </c>
      <c r="W40" s="345">
        <v>154.30000000000001</v>
      </c>
      <c r="X40" s="345">
        <v>83</v>
      </c>
      <c r="Y40" s="345">
        <v>0</v>
      </c>
      <c r="Z40" s="345">
        <v>124</v>
      </c>
      <c r="AA40" s="345">
        <v>25</v>
      </c>
      <c r="AB40" s="345">
        <v>0</v>
      </c>
      <c r="AC40" s="345">
        <v>12</v>
      </c>
      <c r="AD40" s="349">
        <v>27526</v>
      </c>
      <c r="AE40" s="349">
        <v>241</v>
      </c>
      <c r="AF40" s="349">
        <v>414</v>
      </c>
      <c r="AG40" s="349">
        <v>655</v>
      </c>
    </row>
    <row r="41" spans="1:33" x14ac:dyDescent="0.2">
      <c r="A41" s="344" t="s">
        <v>140</v>
      </c>
      <c r="B41" s="350" t="s">
        <v>141</v>
      </c>
      <c r="C41" s="346">
        <v>9499</v>
      </c>
      <c r="D41" s="346">
        <v>33</v>
      </c>
      <c r="E41" s="346">
        <v>299</v>
      </c>
      <c r="F41" s="346">
        <v>713</v>
      </c>
      <c r="G41" s="346">
        <v>263</v>
      </c>
      <c r="H41" s="346">
        <v>10807</v>
      </c>
      <c r="I41" s="345">
        <v>10544</v>
      </c>
      <c r="J41" s="345">
        <v>0</v>
      </c>
      <c r="K41" s="347">
        <v>96.87</v>
      </c>
      <c r="L41" s="347">
        <v>97.18</v>
      </c>
      <c r="M41" s="347">
        <v>4.3</v>
      </c>
      <c r="N41" s="347">
        <v>97.96</v>
      </c>
      <c r="O41" s="348">
        <v>8823</v>
      </c>
      <c r="P41" s="345">
        <v>89.14</v>
      </c>
      <c r="Q41" s="345">
        <v>82.96</v>
      </c>
      <c r="R41" s="345">
        <v>39.5</v>
      </c>
      <c r="S41" s="345">
        <v>127.33</v>
      </c>
      <c r="T41" s="345">
        <v>847</v>
      </c>
      <c r="U41" s="345">
        <v>131.78</v>
      </c>
      <c r="V41" s="345">
        <v>623</v>
      </c>
      <c r="W41" s="345">
        <v>137.38999999999999</v>
      </c>
      <c r="X41" s="345">
        <v>25</v>
      </c>
      <c r="Y41" s="345">
        <v>0</v>
      </c>
      <c r="Z41" s="345">
        <v>24</v>
      </c>
      <c r="AA41" s="345">
        <v>5</v>
      </c>
      <c r="AB41" s="345">
        <v>12</v>
      </c>
      <c r="AC41" s="345">
        <v>6</v>
      </c>
      <c r="AD41" s="349">
        <v>9487</v>
      </c>
      <c r="AE41" s="349">
        <v>6</v>
      </c>
      <c r="AF41" s="349">
        <v>45</v>
      </c>
      <c r="AG41" s="349">
        <v>51</v>
      </c>
    </row>
    <row r="42" spans="1:33" x14ac:dyDescent="0.2">
      <c r="A42" s="344" t="s">
        <v>142</v>
      </c>
      <c r="B42" s="350" t="s">
        <v>143</v>
      </c>
      <c r="C42" s="346">
        <v>7203</v>
      </c>
      <c r="D42" s="346">
        <v>0</v>
      </c>
      <c r="E42" s="346">
        <v>211</v>
      </c>
      <c r="F42" s="346">
        <v>1020</v>
      </c>
      <c r="G42" s="346">
        <v>208</v>
      </c>
      <c r="H42" s="346">
        <v>8642</v>
      </c>
      <c r="I42" s="345">
        <v>8434</v>
      </c>
      <c r="J42" s="345">
        <v>1</v>
      </c>
      <c r="K42" s="347">
        <v>89.41</v>
      </c>
      <c r="L42" s="347">
        <v>89.42</v>
      </c>
      <c r="M42" s="347">
        <v>2.97</v>
      </c>
      <c r="N42" s="347">
        <v>90.1</v>
      </c>
      <c r="O42" s="348">
        <v>6736</v>
      </c>
      <c r="P42" s="345">
        <v>80.959999999999994</v>
      </c>
      <c r="Q42" s="345">
        <v>78.94</v>
      </c>
      <c r="R42" s="345">
        <v>24.53</v>
      </c>
      <c r="S42" s="345">
        <v>104.52</v>
      </c>
      <c r="T42" s="345">
        <v>1193</v>
      </c>
      <c r="U42" s="345">
        <v>112.4</v>
      </c>
      <c r="V42" s="345">
        <v>434</v>
      </c>
      <c r="W42" s="345">
        <v>0</v>
      </c>
      <c r="X42" s="345">
        <v>0</v>
      </c>
      <c r="Y42" s="345">
        <v>0</v>
      </c>
      <c r="Z42" s="345">
        <v>4</v>
      </c>
      <c r="AA42" s="345">
        <v>2</v>
      </c>
      <c r="AB42" s="345">
        <v>9</v>
      </c>
      <c r="AC42" s="345">
        <v>6</v>
      </c>
      <c r="AD42" s="349">
        <v>7199</v>
      </c>
      <c r="AE42" s="349">
        <v>27</v>
      </c>
      <c r="AF42" s="349">
        <v>15</v>
      </c>
      <c r="AG42" s="349">
        <v>42</v>
      </c>
    </row>
    <row r="43" spans="1:33" x14ac:dyDescent="0.2">
      <c r="A43" s="344" t="s">
        <v>144</v>
      </c>
      <c r="B43" s="350" t="s">
        <v>145</v>
      </c>
      <c r="C43" s="346">
        <v>15238</v>
      </c>
      <c r="D43" s="346">
        <v>668</v>
      </c>
      <c r="E43" s="346">
        <v>1059</v>
      </c>
      <c r="F43" s="346">
        <v>970</v>
      </c>
      <c r="G43" s="346">
        <v>2286</v>
      </c>
      <c r="H43" s="346">
        <v>20221</v>
      </c>
      <c r="I43" s="345">
        <v>17935</v>
      </c>
      <c r="J43" s="345">
        <v>138</v>
      </c>
      <c r="K43" s="347">
        <v>137.03</v>
      </c>
      <c r="L43" s="347">
        <v>129.26</v>
      </c>
      <c r="M43" s="347">
        <v>9.4</v>
      </c>
      <c r="N43" s="347">
        <v>143.37</v>
      </c>
      <c r="O43" s="348">
        <v>12264</v>
      </c>
      <c r="P43" s="345">
        <v>114.34</v>
      </c>
      <c r="Q43" s="345">
        <v>99.56</v>
      </c>
      <c r="R43" s="345">
        <v>57.24</v>
      </c>
      <c r="S43" s="345">
        <v>156.76</v>
      </c>
      <c r="T43" s="345">
        <v>1803</v>
      </c>
      <c r="U43" s="345">
        <v>203.81</v>
      </c>
      <c r="V43" s="345">
        <v>1344</v>
      </c>
      <c r="W43" s="345">
        <v>194.31</v>
      </c>
      <c r="X43" s="345">
        <v>40</v>
      </c>
      <c r="Y43" s="345">
        <v>0</v>
      </c>
      <c r="Z43" s="345">
        <v>7</v>
      </c>
      <c r="AA43" s="345">
        <v>15</v>
      </c>
      <c r="AB43" s="345">
        <v>57</v>
      </c>
      <c r="AC43" s="345">
        <v>79</v>
      </c>
      <c r="AD43" s="349">
        <v>13797</v>
      </c>
      <c r="AE43" s="349">
        <v>50</v>
      </c>
      <c r="AF43" s="349">
        <v>30</v>
      </c>
      <c r="AG43" s="349">
        <v>80</v>
      </c>
    </row>
    <row r="44" spans="1:33" x14ac:dyDescent="0.2">
      <c r="A44" s="344" t="s">
        <v>146</v>
      </c>
      <c r="B44" s="350" t="s">
        <v>147</v>
      </c>
      <c r="C44" s="346">
        <v>759</v>
      </c>
      <c r="D44" s="346">
        <v>7</v>
      </c>
      <c r="E44" s="346">
        <v>114</v>
      </c>
      <c r="F44" s="346">
        <v>169</v>
      </c>
      <c r="G44" s="346">
        <v>175</v>
      </c>
      <c r="H44" s="346">
        <v>1224</v>
      </c>
      <c r="I44" s="345">
        <v>1049</v>
      </c>
      <c r="J44" s="345">
        <v>1</v>
      </c>
      <c r="K44" s="347">
        <v>118.3</v>
      </c>
      <c r="L44" s="347">
        <v>117.34</v>
      </c>
      <c r="M44" s="347">
        <v>7.91</v>
      </c>
      <c r="N44" s="347">
        <v>124.28</v>
      </c>
      <c r="O44" s="348">
        <v>513</v>
      </c>
      <c r="P44" s="345">
        <v>94.9</v>
      </c>
      <c r="Q44" s="345">
        <v>93.22</v>
      </c>
      <c r="R44" s="345">
        <v>49.47</v>
      </c>
      <c r="S44" s="345">
        <v>137.04</v>
      </c>
      <c r="T44" s="345">
        <v>277</v>
      </c>
      <c r="U44" s="345">
        <v>143.12</v>
      </c>
      <c r="V44" s="345">
        <v>98</v>
      </c>
      <c r="W44" s="345">
        <v>0</v>
      </c>
      <c r="X44" s="345">
        <v>0</v>
      </c>
      <c r="Y44" s="345">
        <v>0</v>
      </c>
      <c r="Z44" s="345">
        <v>0</v>
      </c>
      <c r="AA44" s="345">
        <v>0</v>
      </c>
      <c r="AB44" s="345">
        <v>11</v>
      </c>
      <c r="AC44" s="345">
        <v>4</v>
      </c>
      <c r="AD44" s="349">
        <v>614</v>
      </c>
      <c r="AE44" s="349">
        <v>3</v>
      </c>
      <c r="AF44" s="349">
        <v>0</v>
      </c>
      <c r="AG44" s="349">
        <v>3</v>
      </c>
    </row>
    <row r="45" spans="1:33" x14ac:dyDescent="0.2">
      <c r="A45" s="344" t="s">
        <v>148</v>
      </c>
      <c r="B45" s="350" t="s">
        <v>149</v>
      </c>
      <c r="C45" s="346">
        <v>5040</v>
      </c>
      <c r="D45" s="346">
        <v>68</v>
      </c>
      <c r="E45" s="346">
        <v>1071</v>
      </c>
      <c r="F45" s="346">
        <v>818</v>
      </c>
      <c r="G45" s="346">
        <v>813</v>
      </c>
      <c r="H45" s="346">
        <v>7810</v>
      </c>
      <c r="I45" s="345">
        <v>6997</v>
      </c>
      <c r="J45" s="345">
        <v>11</v>
      </c>
      <c r="K45" s="347">
        <v>100.11</v>
      </c>
      <c r="L45" s="347">
        <v>94.18</v>
      </c>
      <c r="M45" s="347">
        <v>10.5</v>
      </c>
      <c r="N45" s="347">
        <v>108.3</v>
      </c>
      <c r="O45" s="348">
        <v>4310</v>
      </c>
      <c r="P45" s="345">
        <v>95.06</v>
      </c>
      <c r="Q45" s="345">
        <v>85.4</v>
      </c>
      <c r="R45" s="345">
        <v>57.21</v>
      </c>
      <c r="S45" s="345">
        <v>151.11000000000001</v>
      </c>
      <c r="T45" s="345">
        <v>1087</v>
      </c>
      <c r="U45" s="345">
        <v>160.26</v>
      </c>
      <c r="V45" s="345">
        <v>429</v>
      </c>
      <c r="W45" s="345">
        <v>0</v>
      </c>
      <c r="X45" s="345">
        <v>0</v>
      </c>
      <c r="Y45" s="345">
        <v>0</v>
      </c>
      <c r="Z45" s="345">
        <v>18</v>
      </c>
      <c r="AA45" s="345">
        <v>1</v>
      </c>
      <c r="AB45" s="345">
        <v>3</v>
      </c>
      <c r="AC45" s="345">
        <v>30</v>
      </c>
      <c r="AD45" s="349">
        <v>4781</v>
      </c>
      <c r="AE45" s="349">
        <v>17</v>
      </c>
      <c r="AF45" s="349">
        <v>12</v>
      </c>
      <c r="AG45" s="349">
        <v>29</v>
      </c>
    </row>
    <row r="46" spans="1:33" x14ac:dyDescent="0.2">
      <c r="A46" s="344" t="s">
        <v>150</v>
      </c>
      <c r="B46" s="350" t="s">
        <v>151</v>
      </c>
      <c r="C46" s="346">
        <v>8516</v>
      </c>
      <c r="D46" s="346">
        <v>24</v>
      </c>
      <c r="E46" s="346">
        <v>1569</v>
      </c>
      <c r="F46" s="346">
        <v>2028</v>
      </c>
      <c r="G46" s="346">
        <v>1050</v>
      </c>
      <c r="H46" s="346">
        <v>13187</v>
      </c>
      <c r="I46" s="345">
        <v>12137</v>
      </c>
      <c r="J46" s="345">
        <v>94</v>
      </c>
      <c r="K46" s="347">
        <v>97.96</v>
      </c>
      <c r="L46" s="347">
        <v>96.32</v>
      </c>
      <c r="M46" s="347">
        <v>8.66</v>
      </c>
      <c r="N46" s="347">
        <v>104.15</v>
      </c>
      <c r="O46" s="348">
        <v>6958</v>
      </c>
      <c r="P46" s="345">
        <v>89.88</v>
      </c>
      <c r="Q46" s="345">
        <v>87.73</v>
      </c>
      <c r="R46" s="345">
        <v>38.130000000000003</v>
      </c>
      <c r="S46" s="345">
        <v>127.47</v>
      </c>
      <c r="T46" s="345">
        <v>2986</v>
      </c>
      <c r="U46" s="345">
        <v>129.32</v>
      </c>
      <c r="V46" s="345">
        <v>952</v>
      </c>
      <c r="W46" s="345">
        <v>121.08</v>
      </c>
      <c r="X46" s="345">
        <v>11</v>
      </c>
      <c r="Y46" s="345">
        <v>0</v>
      </c>
      <c r="Z46" s="345">
        <v>5</v>
      </c>
      <c r="AA46" s="345">
        <v>12</v>
      </c>
      <c r="AB46" s="345">
        <v>54</v>
      </c>
      <c r="AC46" s="345">
        <v>45</v>
      </c>
      <c r="AD46" s="349">
        <v>8177</v>
      </c>
      <c r="AE46" s="349">
        <v>17</v>
      </c>
      <c r="AF46" s="349">
        <v>24</v>
      </c>
      <c r="AG46" s="349">
        <v>41</v>
      </c>
    </row>
    <row r="47" spans="1:33" x14ac:dyDescent="0.2">
      <c r="A47" s="344" t="s">
        <v>152</v>
      </c>
      <c r="B47" s="350" t="s">
        <v>153</v>
      </c>
      <c r="C47" s="346">
        <v>4625</v>
      </c>
      <c r="D47" s="346">
        <v>2</v>
      </c>
      <c r="E47" s="346">
        <v>168</v>
      </c>
      <c r="F47" s="346">
        <v>554</v>
      </c>
      <c r="G47" s="346">
        <v>323</v>
      </c>
      <c r="H47" s="346">
        <v>5672</v>
      </c>
      <c r="I47" s="345">
        <v>5349</v>
      </c>
      <c r="J47" s="345">
        <v>1</v>
      </c>
      <c r="K47" s="347">
        <v>93.64</v>
      </c>
      <c r="L47" s="347">
        <v>92.01</v>
      </c>
      <c r="M47" s="347">
        <v>2.68</v>
      </c>
      <c r="N47" s="347">
        <v>93.99</v>
      </c>
      <c r="O47" s="348">
        <v>3696</v>
      </c>
      <c r="P47" s="345">
        <v>90.57</v>
      </c>
      <c r="Q47" s="345">
        <v>84.12</v>
      </c>
      <c r="R47" s="345">
        <v>65.22</v>
      </c>
      <c r="S47" s="345">
        <v>99.81</v>
      </c>
      <c r="T47" s="345">
        <v>720</v>
      </c>
      <c r="U47" s="345">
        <v>108.37</v>
      </c>
      <c r="V47" s="345">
        <v>883</v>
      </c>
      <c r="W47" s="345">
        <v>0</v>
      </c>
      <c r="X47" s="345">
        <v>0</v>
      </c>
      <c r="Y47" s="345">
        <v>0</v>
      </c>
      <c r="Z47" s="345">
        <v>2</v>
      </c>
      <c r="AA47" s="345">
        <v>9</v>
      </c>
      <c r="AB47" s="345">
        <v>19</v>
      </c>
      <c r="AC47" s="345">
        <v>7</v>
      </c>
      <c r="AD47" s="349">
        <v>4625</v>
      </c>
      <c r="AE47" s="349">
        <v>3</v>
      </c>
      <c r="AF47" s="349">
        <v>2</v>
      </c>
      <c r="AG47" s="349">
        <v>5</v>
      </c>
    </row>
    <row r="48" spans="1:33" x14ac:dyDescent="0.2">
      <c r="A48" s="344" t="s">
        <v>154</v>
      </c>
      <c r="B48" s="350" t="s">
        <v>155</v>
      </c>
      <c r="C48" s="346">
        <v>16139</v>
      </c>
      <c r="D48" s="346">
        <v>116</v>
      </c>
      <c r="E48" s="346">
        <v>622</v>
      </c>
      <c r="F48" s="346">
        <v>2082</v>
      </c>
      <c r="G48" s="346">
        <v>959</v>
      </c>
      <c r="H48" s="346">
        <v>19918</v>
      </c>
      <c r="I48" s="345">
        <v>18959</v>
      </c>
      <c r="J48" s="345">
        <v>38</v>
      </c>
      <c r="K48" s="347">
        <v>116.96</v>
      </c>
      <c r="L48" s="347">
        <v>115.17</v>
      </c>
      <c r="M48" s="347">
        <v>12.34</v>
      </c>
      <c r="N48" s="347">
        <v>123.96</v>
      </c>
      <c r="O48" s="348">
        <v>13586</v>
      </c>
      <c r="P48" s="345">
        <v>108.66</v>
      </c>
      <c r="Q48" s="345">
        <v>104.59</v>
      </c>
      <c r="R48" s="345">
        <v>42.31</v>
      </c>
      <c r="S48" s="345">
        <v>148.82</v>
      </c>
      <c r="T48" s="345">
        <v>2191</v>
      </c>
      <c r="U48" s="345">
        <v>170.25</v>
      </c>
      <c r="V48" s="345">
        <v>1714</v>
      </c>
      <c r="W48" s="345">
        <v>0</v>
      </c>
      <c r="X48" s="345">
        <v>0</v>
      </c>
      <c r="Y48" s="345">
        <v>0</v>
      </c>
      <c r="Z48" s="345">
        <v>2</v>
      </c>
      <c r="AA48" s="345">
        <v>29</v>
      </c>
      <c r="AB48" s="345">
        <v>12</v>
      </c>
      <c r="AC48" s="345">
        <v>11</v>
      </c>
      <c r="AD48" s="349">
        <v>15346</v>
      </c>
      <c r="AE48" s="349">
        <v>13</v>
      </c>
      <c r="AF48" s="349">
        <v>63</v>
      </c>
      <c r="AG48" s="349">
        <v>76</v>
      </c>
    </row>
    <row r="49" spans="1:33" x14ac:dyDescent="0.2">
      <c r="A49" s="344" t="s">
        <v>156</v>
      </c>
      <c r="B49" s="350" t="s">
        <v>157</v>
      </c>
      <c r="C49" s="346">
        <v>3324</v>
      </c>
      <c r="D49" s="346">
        <v>0</v>
      </c>
      <c r="E49" s="346">
        <v>71</v>
      </c>
      <c r="F49" s="346">
        <v>997</v>
      </c>
      <c r="G49" s="346">
        <v>376</v>
      </c>
      <c r="H49" s="346">
        <v>4768</v>
      </c>
      <c r="I49" s="345">
        <v>4392</v>
      </c>
      <c r="J49" s="345">
        <v>0</v>
      </c>
      <c r="K49" s="347">
        <v>91.75</v>
      </c>
      <c r="L49" s="347">
        <v>88.16</v>
      </c>
      <c r="M49" s="347">
        <v>4</v>
      </c>
      <c r="N49" s="347">
        <v>93.96</v>
      </c>
      <c r="O49" s="348">
        <v>2950</v>
      </c>
      <c r="P49" s="345">
        <v>83.98</v>
      </c>
      <c r="Q49" s="345">
        <v>85.31</v>
      </c>
      <c r="R49" s="345">
        <v>23.84</v>
      </c>
      <c r="S49" s="345">
        <v>107.57</v>
      </c>
      <c r="T49" s="345">
        <v>1026</v>
      </c>
      <c r="U49" s="345">
        <v>114.87</v>
      </c>
      <c r="V49" s="345">
        <v>326</v>
      </c>
      <c r="W49" s="345">
        <v>0</v>
      </c>
      <c r="X49" s="345">
        <v>0</v>
      </c>
      <c r="Y49" s="345">
        <v>0</v>
      </c>
      <c r="Z49" s="345">
        <v>12</v>
      </c>
      <c r="AA49" s="345">
        <v>3</v>
      </c>
      <c r="AB49" s="345">
        <v>25</v>
      </c>
      <c r="AC49" s="345">
        <v>11</v>
      </c>
      <c r="AD49" s="349">
        <v>3324</v>
      </c>
      <c r="AE49" s="349">
        <v>16</v>
      </c>
      <c r="AF49" s="349">
        <v>1</v>
      </c>
      <c r="AG49" s="349">
        <v>17</v>
      </c>
    </row>
    <row r="50" spans="1:33" x14ac:dyDescent="0.2">
      <c r="A50" s="344" t="s">
        <v>158</v>
      </c>
      <c r="B50" s="350" t="s">
        <v>159</v>
      </c>
      <c r="C50" s="346">
        <v>4756</v>
      </c>
      <c r="D50" s="346">
        <v>0</v>
      </c>
      <c r="E50" s="346">
        <v>125</v>
      </c>
      <c r="F50" s="346">
        <v>405</v>
      </c>
      <c r="G50" s="346">
        <v>374</v>
      </c>
      <c r="H50" s="346">
        <v>5660</v>
      </c>
      <c r="I50" s="345">
        <v>5286</v>
      </c>
      <c r="J50" s="345">
        <v>3</v>
      </c>
      <c r="K50" s="347">
        <v>114.14</v>
      </c>
      <c r="L50" s="347">
        <v>110.97</v>
      </c>
      <c r="M50" s="347">
        <v>6.26</v>
      </c>
      <c r="N50" s="347">
        <v>117.77</v>
      </c>
      <c r="O50" s="348">
        <v>4043</v>
      </c>
      <c r="P50" s="345">
        <v>100.46</v>
      </c>
      <c r="Q50" s="345">
        <v>93.7</v>
      </c>
      <c r="R50" s="345">
        <v>32.85</v>
      </c>
      <c r="S50" s="345">
        <v>133.31</v>
      </c>
      <c r="T50" s="345">
        <v>520</v>
      </c>
      <c r="U50" s="345">
        <v>163.01</v>
      </c>
      <c r="V50" s="345">
        <v>695</v>
      </c>
      <c r="W50" s="345">
        <v>0</v>
      </c>
      <c r="X50" s="345">
        <v>0</v>
      </c>
      <c r="Y50" s="345">
        <v>0</v>
      </c>
      <c r="Z50" s="345">
        <v>10</v>
      </c>
      <c r="AA50" s="345">
        <v>1</v>
      </c>
      <c r="AB50" s="345">
        <v>11</v>
      </c>
      <c r="AC50" s="345">
        <v>5</v>
      </c>
      <c r="AD50" s="349">
        <v>4756</v>
      </c>
      <c r="AE50" s="349">
        <v>9</v>
      </c>
      <c r="AF50" s="349">
        <v>31</v>
      </c>
      <c r="AG50" s="349">
        <v>40</v>
      </c>
    </row>
    <row r="51" spans="1:33" x14ac:dyDescent="0.2">
      <c r="A51" s="344" t="s">
        <v>160</v>
      </c>
      <c r="B51" s="350" t="s">
        <v>161</v>
      </c>
      <c r="C51" s="346">
        <v>1086</v>
      </c>
      <c r="D51" s="346">
        <v>0</v>
      </c>
      <c r="E51" s="346">
        <v>94</v>
      </c>
      <c r="F51" s="346">
        <v>108</v>
      </c>
      <c r="G51" s="346">
        <v>82</v>
      </c>
      <c r="H51" s="346">
        <v>1370</v>
      </c>
      <c r="I51" s="345">
        <v>1288</v>
      </c>
      <c r="J51" s="345">
        <v>1</v>
      </c>
      <c r="K51" s="347">
        <v>80.83</v>
      </c>
      <c r="L51" s="347">
        <v>78.569999999999993</v>
      </c>
      <c r="M51" s="347">
        <v>7.23</v>
      </c>
      <c r="N51" s="347">
        <v>86.74</v>
      </c>
      <c r="O51" s="348">
        <v>924</v>
      </c>
      <c r="P51" s="345">
        <v>88.53</v>
      </c>
      <c r="Q51" s="345">
        <v>72.33</v>
      </c>
      <c r="R51" s="345">
        <v>54.47</v>
      </c>
      <c r="S51" s="345">
        <v>139.88999999999999</v>
      </c>
      <c r="T51" s="345">
        <v>175</v>
      </c>
      <c r="U51" s="345">
        <v>95.31</v>
      </c>
      <c r="V51" s="345">
        <v>148</v>
      </c>
      <c r="W51" s="345">
        <v>172.13</v>
      </c>
      <c r="X51" s="345">
        <v>27</v>
      </c>
      <c r="Y51" s="345">
        <v>0</v>
      </c>
      <c r="Z51" s="345">
        <v>0</v>
      </c>
      <c r="AA51" s="345">
        <v>13</v>
      </c>
      <c r="AB51" s="345">
        <v>2</v>
      </c>
      <c r="AC51" s="345">
        <v>4</v>
      </c>
      <c r="AD51" s="349">
        <v>1086</v>
      </c>
      <c r="AE51" s="349">
        <v>10</v>
      </c>
      <c r="AF51" s="349">
        <v>4</v>
      </c>
      <c r="AG51" s="349">
        <v>14</v>
      </c>
    </row>
    <row r="52" spans="1:33" ht="15" x14ac:dyDescent="0.25">
      <c r="A52" s="351" t="s">
        <v>775</v>
      </c>
      <c r="B52" s="351" t="s">
        <v>770</v>
      </c>
      <c r="C52" s="345">
        <v>24514</v>
      </c>
      <c r="D52" s="345">
        <v>23</v>
      </c>
      <c r="E52" s="345">
        <v>917</v>
      </c>
      <c r="F52" s="345">
        <v>3294</v>
      </c>
      <c r="G52" s="345">
        <v>2194</v>
      </c>
      <c r="H52" s="345">
        <v>30942</v>
      </c>
      <c r="I52" s="345">
        <v>28748</v>
      </c>
      <c r="J52" s="345">
        <v>42</v>
      </c>
      <c r="K52" s="352">
        <v>110.84</v>
      </c>
      <c r="L52" s="352">
        <v>110.79</v>
      </c>
      <c r="M52" s="352">
        <v>4.84</v>
      </c>
      <c r="N52" s="352">
        <v>113.97</v>
      </c>
      <c r="O52" s="345">
        <v>21311</v>
      </c>
      <c r="P52" s="352">
        <v>102.33</v>
      </c>
      <c r="Q52" s="352">
        <v>99.06</v>
      </c>
      <c r="R52" s="352">
        <v>30.18</v>
      </c>
      <c r="S52" s="352">
        <v>129.82</v>
      </c>
      <c r="T52" s="345">
        <v>3918</v>
      </c>
      <c r="U52" s="352">
        <v>157.52000000000001</v>
      </c>
      <c r="V52" s="345">
        <v>2806</v>
      </c>
      <c r="W52" s="352">
        <v>154.83000000000001</v>
      </c>
      <c r="X52" s="345">
        <v>9</v>
      </c>
      <c r="Y52" s="345">
        <v>0</v>
      </c>
      <c r="Z52" s="345">
        <v>52</v>
      </c>
      <c r="AA52" s="345">
        <v>16</v>
      </c>
      <c r="AB52" s="345">
        <v>100</v>
      </c>
      <c r="AC52" s="345">
        <v>35</v>
      </c>
      <c r="AD52" s="345">
        <v>24172</v>
      </c>
      <c r="AE52" s="345">
        <v>91</v>
      </c>
      <c r="AF52" s="345">
        <v>154</v>
      </c>
      <c r="AG52" s="345">
        <v>245</v>
      </c>
    </row>
    <row r="53" spans="1:33" x14ac:dyDescent="0.2">
      <c r="A53" s="344" t="s">
        <v>162</v>
      </c>
      <c r="B53" s="350" t="s">
        <v>163</v>
      </c>
      <c r="C53" s="346">
        <v>4292</v>
      </c>
      <c r="D53" s="346">
        <v>0</v>
      </c>
      <c r="E53" s="346">
        <v>265</v>
      </c>
      <c r="F53" s="346">
        <v>1435</v>
      </c>
      <c r="G53" s="346">
        <v>12</v>
      </c>
      <c r="H53" s="346">
        <v>6004</v>
      </c>
      <c r="I53" s="345">
        <v>5992</v>
      </c>
      <c r="J53" s="345">
        <v>10</v>
      </c>
      <c r="K53" s="347">
        <v>80.849999999999994</v>
      </c>
      <c r="L53" s="347">
        <v>77.58</v>
      </c>
      <c r="M53" s="347">
        <v>2.4900000000000002</v>
      </c>
      <c r="N53" s="347">
        <v>83.12</v>
      </c>
      <c r="O53" s="348">
        <v>3917</v>
      </c>
      <c r="P53" s="345">
        <v>81.069999999999993</v>
      </c>
      <c r="Q53" s="345">
        <v>70.38</v>
      </c>
      <c r="R53" s="345">
        <v>19.36</v>
      </c>
      <c r="S53" s="345">
        <v>100.02</v>
      </c>
      <c r="T53" s="345">
        <v>1552</v>
      </c>
      <c r="U53" s="345">
        <v>96.77</v>
      </c>
      <c r="V53" s="345">
        <v>347</v>
      </c>
      <c r="W53" s="345">
        <v>244.69</v>
      </c>
      <c r="X53" s="345">
        <v>29</v>
      </c>
      <c r="Y53" s="345">
        <v>0</v>
      </c>
      <c r="Z53" s="345">
        <v>29</v>
      </c>
      <c r="AA53" s="345">
        <v>5</v>
      </c>
      <c r="AB53" s="345">
        <v>0</v>
      </c>
      <c r="AC53" s="345">
        <v>0</v>
      </c>
      <c r="AD53" s="349">
        <v>4270</v>
      </c>
      <c r="AE53" s="349">
        <v>68</v>
      </c>
      <c r="AF53" s="349">
        <v>23</v>
      </c>
      <c r="AG53" s="349">
        <v>91</v>
      </c>
    </row>
    <row r="54" spans="1:33" x14ac:dyDescent="0.2">
      <c r="A54" s="344" t="s">
        <v>164</v>
      </c>
      <c r="B54" s="350" t="s">
        <v>165</v>
      </c>
      <c r="C54" s="346">
        <v>3831</v>
      </c>
      <c r="D54" s="346">
        <v>0</v>
      </c>
      <c r="E54" s="346">
        <v>374</v>
      </c>
      <c r="F54" s="346">
        <v>568</v>
      </c>
      <c r="G54" s="346">
        <v>176</v>
      </c>
      <c r="H54" s="346">
        <v>4949</v>
      </c>
      <c r="I54" s="345">
        <v>4773</v>
      </c>
      <c r="J54" s="345">
        <v>12</v>
      </c>
      <c r="K54" s="347">
        <v>82.34</v>
      </c>
      <c r="L54" s="347">
        <v>81.83</v>
      </c>
      <c r="M54" s="347">
        <v>6.35</v>
      </c>
      <c r="N54" s="347">
        <v>86.11</v>
      </c>
      <c r="O54" s="348">
        <v>3135</v>
      </c>
      <c r="P54" s="345">
        <v>88.08</v>
      </c>
      <c r="Q54" s="345">
        <v>79.34</v>
      </c>
      <c r="R54" s="345">
        <v>32.71</v>
      </c>
      <c r="S54" s="345">
        <v>118.02</v>
      </c>
      <c r="T54" s="345">
        <v>730</v>
      </c>
      <c r="U54" s="345">
        <v>103.65</v>
      </c>
      <c r="V54" s="345">
        <v>409</v>
      </c>
      <c r="W54" s="345">
        <v>125.6</v>
      </c>
      <c r="X54" s="345">
        <v>17</v>
      </c>
      <c r="Y54" s="345">
        <v>0</v>
      </c>
      <c r="Z54" s="345">
        <v>6</v>
      </c>
      <c r="AA54" s="345">
        <v>7</v>
      </c>
      <c r="AB54" s="345">
        <v>20</v>
      </c>
      <c r="AC54" s="345">
        <v>1</v>
      </c>
      <c r="AD54" s="349">
        <v>3509</v>
      </c>
      <c r="AE54" s="349">
        <v>18</v>
      </c>
      <c r="AF54" s="349">
        <v>10</v>
      </c>
      <c r="AG54" s="349">
        <v>28</v>
      </c>
    </row>
    <row r="55" spans="1:33" x14ac:dyDescent="0.2">
      <c r="A55" s="344" t="s">
        <v>166</v>
      </c>
      <c r="B55" s="350" t="s">
        <v>167</v>
      </c>
      <c r="C55" s="346">
        <v>12916</v>
      </c>
      <c r="D55" s="346">
        <v>0</v>
      </c>
      <c r="E55" s="346">
        <v>230</v>
      </c>
      <c r="F55" s="346">
        <v>925</v>
      </c>
      <c r="G55" s="346">
        <v>238</v>
      </c>
      <c r="H55" s="346">
        <v>14309</v>
      </c>
      <c r="I55" s="345">
        <v>14071</v>
      </c>
      <c r="J55" s="345">
        <v>13</v>
      </c>
      <c r="K55" s="347">
        <v>77.92</v>
      </c>
      <c r="L55" s="347">
        <v>76.62</v>
      </c>
      <c r="M55" s="347">
        <v>7.46</v>
      </c>
      <c r="N55" s="347">
        <v>85.05</v>
      </c>
      <c r="O55" s="348">
        <v>12334</v>
      </c>
      <c r="P55" s="345">
        <v>82.59</v>
      </c>
      <c r="Q55" s="345">
        <v>76.790000000000006</v>
      </c>
      <c r="R55" s="345">
        <v>34.15</v>
      </c>
      <c r="S55" s="345">
        <v>115.98</v>
      </c>
      <c r="T55" s="345">
        <v>1067</v>
      </c>
      <c r="U55" s="345">
        <v>97.5</v>
      </c>
      <c r="V55" s="345">
        <v>492</v>
      </c>
      <c r="W55" s="345">
        <v>0</v>
      </c>
      <c r="X55" s="345">
        <v>0</v>
      </c>
      <c r="Y55" s="345">
        <v>0</v>
      </c>
      <c r="Z55" s="345">
        <v>41</v>
      </c>
      <c r="AA55" s="345">
        <v>5</v>
      </c>
      <c r="AB55" s="345">
        <v>3</v>
      </c>
      <c r="AC55" s="345">
        <v>14</v>
      </c>
      <c r="AD55" s="349">
        <v>12886</v>
      </c>
      <c r="AE55" s="349">
        <v>265</v>
      </c>
      <c r="AF55" s="349">
        <v>240</v>
      </c>
      <c r="AG55" s="349">
        <v>505</v>
      </c>
    </row>
    <row r="56" spans="1:33" x14ac:dyDescent="0.2">
      <c r="A56" s="344" t="s">
        <v>168</v>
      </c>
      <c r="B56" s="350" t="s">
        <v>169</v>
      </c>
      <c r="C56" s="346">
        <v>3650</v>
      </c>
      <c r="D56" s="346">
        <v>610</v>
      </c>
      <c r="E56" s="346">
        <v>482</v>
      </c>
      <c r="F56" s="346">
        <v>478</v>
      </c>
      <c r="G56" s="346">
        <v>554</v>
      </c>
      <c r="H56" s="346">
        <v>5774</v>
      </c>
      <c r="I56" s="345">
        <v>5220</v>
      </c>
      <c r="J56" s="345">
        <v>0</v>
      </c>
      <c r="K56" s="347">
        <v>109.08</v>
      </c>
      <c r="L56" s="347">
        <v>110.12</v>
      </c>
      <c r="M56" s="347">
        <v>7.43</v>
      </c>
      <c r="N56" s="347">
        <v>113.55</v>
      </c>
      <c r="O56" s="348">
        <v>2459</v>
      </c>
      <c r="P56" s="345">
        <v>95.72</v>
      </c>
      <c r="Q56" s="345">
        <v>95.17</v>
      </c>
      <c r="R56" s="345">
        <v>61.08</v>
      </c>
      <c r="S56" s="345">
        <v>155.66</v>
      </c>
      <c r="T56" s="345">
        <v>801</v>
      </c>
      <c r="U56" s="345">
        <v>148.13999999999999</v>
      </c>
      <c r="V56" s="345">
        <v>745</v>
      </c>
      <c r="W56" s="345">
        <v>146.88</v>
      </c>
      <c r="X56" s="345">
        <v>2</v>
      </c>
      <c r="Y56" s="345">
        <v>0</v>
      </c>
      <c r="Z56" s="345">
        <v>1</v>
      </c>
      <c r="AA56" s="345">
        <v>1</v>
      </c>
      <c r="AB56" s="345">
        <v>119</v>
      </c>
      <c r="AC56" s="345">
        <v>19</v>
      </c>
      <c r="AD56" s="349">
        <v>3374</v>
      </c>
      <c r="AE56" s="349">
        <v>59</v>
      </c>
      <c r="AF56" s="349">
        <v>23</v>
      </c>
      <c r="AG56" s="349">
        <v>82</v>
      </c>
    </row>
    <row r="57" spans="1:33" x14ac:dyDescent="0.2">
      <c r="A57" s="344" t="s">
        <v>170</v>
      </c>
      <c r="B57" s="350" t="s">
        <v>171</v>
      </c>
      <c r="C57" s="346">
        <v>7969</v>
      </c>
      <c r="D57" s="346">
        <v>1134</v>
      </c>
      <c r="E57" s="346">
        <v>1536</v>
      </c>
      <c r="F57" s="346">
        <v>965</v>
      </c>
      <c r="G57" s="346">
        <v>558</v>
      </c>
      <c r="H57" s="346">
        <v>12162</v>
      </c>
      <c r="I57" s="345">
        <v>11604</v>
      </c>
      <c r="J57" s="345">
        <v>87</v>
      </c>
      <c r="K57" s="347">
        <v>134.26</v>
      </c>
      <c r="L57" s="347">
        <v>135.57</v>
      </c>
      <c r="M57" s="347">
        <v>13.43</v>
      </c>
      <c r="N57" s="347">
        <v>145.04</v>
      </c>
      <c r="O57" s="348">
        <v>6169</v>
      </c>
      <c r="P57" s="345">
        <v>110.73</v>
      </c>
      <c r="Q57" s="345">
        <v>109.33</v>
      </c>
      <c r="R57" s="345">
        <v>68.28</v>
      </c>
      <c r="S57" s="345">
        <v>165.7</v>
      </c>
      <c r="T57" s="345">
        <v>2346</v>
      </c>
      <c r="U57" s="345">
        <v>215.32</v>
      </c>
      <c r="V57" s="345">
        <v>361</v>
      </c>
      <c r="W57" s="345">
        <v>0</v>
      </c>
      <c r="X57" s="345">
        <v>0</v>
      </c>
      <c r="Y57" s="345">
        <v>0</v>
      </c>
      <c r="Z57" s="345">
        <v>0</v>
      </c>
      <c r="AA57" s="345">
        <v>3</v>
      </c>
      <c r="AB57" s="345">
        <v>55</v>
      </c>
      <c r="AC57" s="345">
        <v>50</v>
      </c>
      <c r="AD57" s="349">
        <v>6591</v>
      </c>
      <c r="AE57" s="349">
        <v>40</v>
      </c>
      <c r="AF57" s="349">
        <v>57</v>
      </c>
      <c r="AG57" s="349">
        <v>97</v>
      </c>
    </row>
    <row r="58" spans="1:33" x14ac:dyDescent="0.2">
      <c r="A58" s="344" t="s">
        <v>172</v>
      </c>
      <c r="B58" s="350" t="s">
        <v>173</v>
      </c>
      <c r="C58" s="346">
        <v>1490</v>
      </c>
      <c r="D58" s="346">
        <v>3</v>
      </c>
      <c r="E58" s="346">
        <v>221</v>
      </c>
      <c r="F58" s="346">
        <v>270</v>
      </c>
      <c r="G58" s="346">
        <v>276</v>
      </c>
      <c r="H58" s="346">
        <v>2260</v>
      </c>
      <c r="I58" s="345">
        <v>1984</v>
      </c>
      <c r="J58" s="345">
        <v>0</v>
      </c>
      <c r="K58" s="347">
        <v>91.61</v>
      </c>
      <c r="L58" s="347">
        <v>82.99</v>
      </c>
      <c r="M58" s="347">
        <v>5.74</v>
      </c>
      <c r="N58" s="347">
        <v>95.19</v>
      </c>
      <c r="O58" s="348">
        <v>1255</v>
      </c>
      <c r="P58" s="345">
        <v>87.29</v>
      </c>
      <c r="Q58" s="345">
        <v>86.32</v>
      </c>
      <c r="R58" s="345">
        <v>54.02</v>
      </c>
      <c r="S58" s="345">
        <v>140.99</v>
      </c>
      <c r="T58" s="345">
        <v>343</v>
      </c>
      <c r="U58" s="345">
        <v>108.91</v>
      </c>
      <c r="V58" s="345">
        <v>191</v>
      </c>
      <c r="W58" s="345">
        <v>161.47999999999999</v>
      </c>
      <c r="X58" s="345">
        <v>63</v>
      </c>
      <c r="Y58" s="345">
        <v>0</v>
      </c>
      <c r="Z58" s="345">
        <v>2</v>
      </c>
      <c r="AA58" s="345">
        <v>2</v>
      </c>
      <c r="AB58" s="345">
        <v>17</v>
      </c>
      <c r="AC58" s="345">
        <v>6</v>
      </c>
      <c r="AD58" s="349">
        <v>1468</v>
      </c>
      <c r="AE58" s="349">
        <v>8</v>
      </c>
      <c r="AF58" s="349">
        <v>1</v>
      </c>
      <c r="AG58" s="349">
        <v>9</v>
      </c>
    </row>
    <row r="59" spans="1:33" x14ac:dyDescent="0.2">
      <c r="A59" s="344" t="s">
        <v>174</v>
      </c>
      <c r="B59" s="350" t="s">
        <v>175</v>
      </c>
      <c r="C59" s="346">
        <v>1958</v>
      </c>
      <c r="D59" s="346">
        <v>0</v>
      </c>
      <c r="E59" s="346">
        <v>175</v>
      </c>
      <c r="F59" s="346">
        <v>386</v>
      </c>
      <c r="G59" s="346">
        <v>477</v>
      </c>
      <c r="H59" s="346">
        <v>2996</v>
      </c>
      <c r="I59" s="345">
        <v>2519</v>
      </c>
      <c r="J59" s="345">
        <v>19</v>
      </c>
      <c r="K59" s="347">
        <v>103.62</v>
      </c>
      <c r="L59" s="347">
        <v>102.15</v>
      </c>
      <c r="M59" s="347">
        <v>7.54</v>
      </c>
      <c r="N59" s="347">
        <v>109.9</v>
      </c>
      <c r="O59" s="348">
        <v>1370</v>
      </c>
      <c r="P59" s="345">
        <v>87.83</v>
      </c>
      <c r="Q59" s="345">
        <v>83.28</v>
      </c>
      <c r="R59" s="345">
        <v>47.23</v>
      </c>
      <c r="S59" s="345">
        <v>134.63</v>
      </c>
      <c r="T59" s="345">
        <v>545</v>
      </c>
      <c r="U59" s="345">
        <v>146.36000000000001</v>
      </c>
      <c r="V59" s="345">
        <v>306</v>
      </c>
      <c r="W59" s="345">
        <v>119.45</v>
      </c>
      <c r="X59" s="345">
        <v>6</v>
      </c>
      <c r="Y59" s="345">
        <v>0</v>
      </c>
      <c r="Z59" s="345">
        <v>3</v>
      </c>
      <c r="AA59" s="345">
        <v>2</v>
      </c>
      <c r="AB59" s="345">
        <v>27</v>
      </c>
      <c r="AC59" s="345">
        <v>7</v>
      </c>
      <c r="AD59" s="349">
        <v>1773</v>
      </c>
      <c r="AE59" s="349">
        <v>2</v>
      </c>
      <c r="AF59" s="349">
        <v>1</v>
      </c>
      <c r="AG59" s="349">
        <v>3</v>
      </c>
    </row>
    <row r="60" spans="1:33" x14ac:dyDescent="0.2">
      <c r="A60" s="344" t="s">
        <v>176</v>
      </c>
      <c r="B60" s="350" t="s">
        <v>177</v>
      </c>
      <c r="C60" s="346">
        <v>7005</v>
      </c>
      <c r="D60" s="346">
        <v>11</v>
      </c>
      <c r="E60" s="346">
        <v>253</v>
      </c>
      <c r="F60" s="346">
        <v>375</v>
      </c>
      <c r="G60" s="346">
        <v>351</v>
      </c>
      <c r="H60" s="346">
        <v>7995</v>
      </c>
      <c r="I60" s="345">
        <v>7644</v>
      </c>
      <c r="J60" s="345">
        <v>48</v>
      </c>
      <c r="K60" s="347">
        <v>81.87</v>
      </c>
      <c r="L60" s="347">
        <v>78.44</v>
      </c>
      <c r="M60" s="347">
        <v>4.2</v>
      </c>
      <c r="N60" s="347">
        <v>84.93</v>
      </c>
      <c r="O60" s="348">
        <v>5680</v>
      </c>
      <c r="P60" s="345">
        <v>90.07</v>
      </c>
      <c r="Q60" s="345">
        <v>77.48</v>
      </c>
      <c r="R60" s="345">
        <v>33.71</v>
      </c>
      <c r="S60" s="345">
        <v>118.44</v>
      </c>
      <c r="T60" s="345">
        <v>568</v>
      </c>
      <c r="U60" s="345">
        <v>89.76</v>
      </c>
      <c r="V60" s="345">
        <v>1304</v>
      </c>
      <c r="W60" s="345">
        <v>0</v>
      </c>
      <c r="X60" s="345">
        <v>0</v>
      </c>
      <c r="Y60" s="345">
        <v>0</v>
      </c>
      <c r="Z60" s="345">
        <v>29</v>
      </c>
      <c r="AA60" s="345">
        <v>15</v>
      </c>
      <c r="AB60" s="345">
        <v>0</v>
      </c>
      <c r="AC60" s="345">
        <v>0</v>
      </c>
      <c r="AD60" s="349">
        <v>6989</v>
      </c>
      <c r="AE60" s="349">
        <v>97</v>
      </c>
      <c r="AF60" s="349">
        <v>19</v>
      </c>
      <c r="AG60" s="349">
        <v>116</v>
      </c>
    </row>
    <row r="61" spans="1:33" x14ac:dyDescent="0.2">
      <c r="A61" s="344" t="s">
        <v>178</v>
      </c>
      <c r="B61" s="350" t="s">
        <v>179</v>
      </c>
      <c r="C61" s="346">
        <v>460</v>
      </c>
      <c r="D61" s="346">
        <v>0</v>
      </c>
      <c r="E61" s="346">
        <v>64</v>
      </c>
      <c r="F61" s="346">
        <v>73</v>
      </c>
      <c r="G61" s="346">
        <v>97</v>
      </c>
      <c r="H61" s="346">
        <v>694</v>
      </c>
      <c r="I61" s="345">
        <v>597</v>
      </c>
      <c r="J61" s="345">
        <v>0</v>
      </c>
      <c r="K61" s="347">
        <v>108.9</v>
      </c>
      <c r="L61" s="347">
        <v>106.92</v>
      </c>
      <c r="M61" s="347">
        <v>6.4</v>
      </c>
      <c r="N61" s="347">
        <v>112.6</v>
      </c>
      <c r="O61" s="348">
        <v>375</v>
      </c>
      <c r="P61" s="345">
        <v>89.3</v>
      </c>
      <c r="Q61" s="345">
        <v>85.55</v>
      </c>
      <c r="R61" s="345">
        <v>60.14</v>
      </c>
      <c r="S61" s="345">
        <v>149.44</v>
      </c>
      <c r="T61" s="345">
        <v>116</v>
      </c>
      <c r="U61" s="345">
        <v>146.93</v>
      </c>
      <c r="V61" s="345">
        <v>73</v>
      </c>
      <c r="W61" s="345">
        <v>0</v>
      </c>
      <c r="X61" s="345">
        <v>0</v>
      </c>
      <c r="Y61" s="345">
        <v>0</v>
      </c>
      <c r="Z61" s="345">
        <v>0</v>
      </c>
      <c r="AA61" s="345">
        <v>1</v>
      </c>
      <c r="AB61" s="345">
        <v>16</v>
      </c>
      <c r="AC61" s="345">
        <v>2</v>
      </c>
      <c r="AD61" s="349">
        <v>460</v>
      </c>
      <c r="AE61" s="349">
        <v>3</v>
      </c>
      <c r="AF61" s="349">
        <v>1</v>
      </c>
      <c r="AG61" s="349">
        <v>4</v>
      </c>
    </row>
    <row r="62" spans="1:33" x14ac:dyDescent="0.2">
      <c r="A62" s="344" t="s">
        <v>180</v>
      </c>
      <c r="B62" s="350" t="s">
        <v>181</v>
      </c>
      <c r="C62" s="346">
        <v>8488</v>
      </c>
      <c r="D62" s="346">
        <v>0</v>
      </c>
      <c r="E62" s="346">
        <v>275</v>
      </c>
      <c r="F62" s="346">
        <v>1639</v>
      </c>
      <c r="G62" s="346">
        <v>1380</v>
      </c>
      <c r="H62" s="346">
        <v>11782</v>
      </c>
      <c r="I62" s="345">
        <v>10402</v>
      </c>
      <c r="J62" s="345">
        <v>13</v>
      </c>
      <c r="K62" s="347">
        <v>103.27</v>
      </c>
      <c r="L62" s="347">
        <v>104.16</v>
      </c>
      <c r="M62" s="347">
        <v>4.6100000000000003</v>
      </c>
      <c r="N62" s="347">
        <v>104.71</v>
      </c>
      <c r="O62" s="348">
        <v>7488</v>
      </c>
      <c r="P62" s="345">
        <v>105.36</v>
      </c>
      <c r="Q62" s="345">
        <v>103.84</v>
      </c>
      <c r="R62" s="345">
        <v>27.31</v>
      </c>
      <c r="S62" s="345">
        <v>119</v>
      </c>
      <c r="T62" s="345">
        <v>1822</v>
      </c>
      <c r="U62" s="345">
        <v>136.47999999999999</v>
      </c>
      <c r="V62" s="345">
        <v>842</v>
      </c>
      <c r="W62" s="345">
        <v>120.58</v>
      </c>
      <c r="X62" s="345">
        <v>50</v>
      </c>
      <c r="Y62" s="345">
        <v>0</v>
      </c>
      <c r="Z62" s="345">
        <v>9</v>
      </c>
      <c r="AA62" s="345">
        <v>4</v>
      </c>
      <c r="AB62" s="345">
        <v>59</v>
      </c>
      <c r="AC62" s="345">
        <v>34</v>
      </c>
      <c r="AD62" s="349">
        <v>8406</v>
      </c>
      <c r="AE62" s="349">
        <v>39</v>
      </c>
      <c r="AF62" s="349">
        <v>16</v>
      </c>
      <c r="AG62" s="349">
        <v>55</v>
      </c>
    </row>
    <row r="63" spans="1:33" x14ac:dyDescent="0.2">
      <c r="A63" s="344" t="s">
        <v>182</v>
      </c>
      <c r="B63" s="350" t="s">
        <v>183</v>
      </c>
      <c r="C63" s="346">
        <v>2848</v>
      </c>
      <c r="D63" s="346">
        <v>0</v>
      </c>
      <c r="E63" s="346">
        <v>324</v>
      </c>
      <c r="F63" s="346">
        <v>271</v>
      </c>
      <c r="G63" s="346">
        <v>585</v>
      </c>
      <c r="H63" s="346">
        <v>4028</v>
      </c>
      <c r="I63" s="345">
        <v>3443</v>
      </c>
      <c r="J63" s="345">
        <v>4</v>
      </c>
      <c r="K63" s="347">
        <v>92.09</v>
      </c>
      <c r="L63" s="347">
        <v>90.14</v>
      </c>
      <c r="M63" s="347">
        <v>6.54</v>
      </c>
      <c r="N63" s="347">
        <v>97.12</v>
      </c>
      <c r="O63" s="348">
        <v>2215</v>
      </c>
      <c r="P63" s="345">
        <v>96.25</v>
      </c>
      <c r="Q63" s="345">
        <v>82.27</v>
      </c>
      <c r="R63" s="345">
        <v>50.81</v>
      </c>
      <c r="S63" s="345">
        <v>140.82</v>
      </c>
      <c r="T63" s="345">
        <v>521</v>
      </c>
      <c r="U63" s="345">
        <v>105.64</v>
      </c>
      <c r="V63" s="345">
        <v>554</v>
      </c>
      <c r="W63" s="345">
        <v>0</v>
      </c>
      <c r="X63" s="345">
        <v>0</v>
      </c>
      <c r="Y63" s="345">
        <v>0</v>
      </c>
      <c r="Z63" s="345">
        <v>3</v>
      </c>
      <c r="AA63" s="345">
        <v>5</v>
      </c>
      <c r="AB63" s="345">
        <v>53</v>
      </c>
      <c r="AC63" s="345">
        <v>19</v>
      </c>
      <c r="AD63" s="349">
        <v>2840</v>
      </c>
      <c r="AE63" s="349">
        <v>26</v>
      </c>
      <c r="AF63" s="349">
        <v>4</v>
      </c>
      <c r="AG63" s="349">
        <v>30</v>
      </c>
    </row>
    <row r="64" spans="1:33" x14ac:dyDescent="0.2">
      <c r="A64" s="344" t="s">
        <v>184</v>
      </c>
      <c r="B64" s="350" t="s">
        <v>185</v>
      </c>
      <c r="C64" s="346">
        <v>9458</v>
      </c>
      <c r="D64" s="346">
        <v>285</v>
      </c>
      <c r="E64" s="346">
        <v>312</v>
      </c>
      <c r="F64" s="346">
        <v>286</v>
      </c>
      <c r="G64" s="346">
        <v>511</v>
      </c>
      <c r="H64" s="346">
        <v>10852</v>
      </c>
      <c r="I64" s="345">
        <v>10341</v>
      </c>
      <c r="J64" s="345">
        <v>2</v>
      </c>
      <c r="K64" s="347">
        <v>101.83</v>
      </c>
      <c r="L64" s="347">
        <v>101.54</v>
      </c>
      <c r="M64" s="347">
        <v>7.38</v>
      </c>
      <c r="N64" s="347">
        <v>105.44</v>
      </c>
      <c r="O64" s="348">
        <v>8635</v>
      </c>
      <c r="P64" s="345">
        <v>97.18</v>
      </c>
      <c r="Q64" s="345">
        <v>95.64</v>
      </c>
      <c r="R64" s="345">
        <v>73.06</v>
      </c>
      <c r="S64" s="345">
        <v>167.68</v>
      </c>
      <c r="T64" s="345">
        <v>485</v>
      </c>
      <c r="U64" s="345">
        <v>136.78</v>
      </c>
      <c r="V64" s="345">
        <v>663</v>
      </c>
      <c r="W64" s="345">
        <v>0</v>
      </c>
      <c r="X64" s="345">
        <v>0</v>
      </c>
      <c r="Y64" s="345">
        <v>0</v>
      </c>
      <c r="Z64" s="345">
        <v>13</v>
      </c>
      <c r="AA64" s="345">
        <v>2</v>
      </c>
      <c r="AB64" s="345">
        <v>45</v>
      </c>
      <c r="AC64" s="345">
        <v>5</v>
      </c>
      <c r="AD64" s="349">
        <v>9450</v>
      </c>
      <c r="AE64" s="349">
        <v>45</v>
      </c>
      <c r="AF64" s="349">
        <v>28</v>
      </c>
      <c r="AG64" s="349">
        <v>73</v>
      </c>
    </row>
    <row r="65" spans="1:33" x14ac:dyDescent="0.2">
      <c r="A65" s="344" t="s">
        <v>186</v>
      </c>
      <c r="B65" s="350" t="s">
        <v>187</v>
      </c>
      <c r="C65" s="346">
        <v>1827</v>
      </c>
      <c r="D65" s="346">
        <v>1</v>
      </c>
      <c r="E65" s="346">
        <v>409</v>
      </c>
      <c r="F65" s="346">
        <v>214</v>
      </c>
      <c r="G65" s="346">
        <v>272</v>
      </c>
      <c r="H65" s="346">
        <v>2723</v>
      </c>
      <c r="I65" s="345">
        <v>2451</v>
      </c>
      <c r="J65" s="345">
        <v>2</v>
      </c>
      <c r="K65" s="347">
        <v>95.73</v>
      </c>
      <c r="L65" s="347">
        <v>77.56</v>
      </c>
      <c r="M65" s="347">
        <v>5.46</v>
      </c>
      <c r="N65" s="347">
        <v>100.28</v>
      </c>
      <c r="O65" s="348">
        <v>1484</v>
      </c>
      <c r="P65" s="345">
        <v>91.96</v>
      </c>
      <c r="Q65" s="345">
        <v>76.069999999999993</v>
      </c>
      <c r="R65" s="345">
        <v>55.54</v>
      </c>
      <c r="S65" s="345">
        <v>142.24</v>
      </c>
      <c r="T65" s="345">
        <v>486</v>
      </c>
      <c r="U65" s="345">
        <v>129.61000000000001</v>
      </c>
      <c r="V65" s="345">
        <v>250</v>
      </c>
      <c r="W65" s="345">
        <v>193.58</v>
      </c>
      <c r="X65" s="345">
        <v>147</v>
      </c>
      <c r="Y65" s="345">
        <v>0</v>
      </c>
      <c r="Z65" s="345">
        <v>0</v>
      </c>
      <c r="AA65" s="345">
        <v>1</v>
      </c>
      <c r="AB65" s="345">
        <v>17</v>
      </c>
      <c r="AC65" s="345">
        <v>7</v>
      </c>
      <c r="AD65" s="349">
        <v>1673</v>
      </c>
      <c r="AE65" s="349">
        <v>11</v>
      </c>
      <c r="AF65" s="349">
        <v>32</v>
      </c>
      <c r="AG65" s="349">
        <v>43</v>
      </c>
    </row>
    <row r="66" spans="1:33" x14ac:dyDescent="0.2">
      <c r="A66" s="344" t="s">
        <v>188</v>
      </c>
      <c r="B66" s="350" t="s">
        <v>189</v>
      </c>
      <c r="C66" s="346">
        <v>6290</v>
      </c>
      <c r="D66" s="346">
        <v>10</v>
      </c>
      <c r="E66" s="346">
        <v>199</v>
      </c>
      <c r="F66" s="346">
        <v>1487</v>
      </c>
      <c r="G66" s="346">
        <v>632</v>
      </c>
      <c r="H66" s="346">
        <v>8618</v>
      </c>
      <c r="I66" s="345">
        <v>7986</v>
      </c>
      <c r="J66" s="345">
        <v>0</v>
      </c>
      <c r="K66" s="347">
        <v>105.67</v>
      </c>
      <c r="L66" s="347">
        <v>102</v>
      </c>
      <c r="M66" s="347">
        <v>6.18</v>
      </c>
      <c r="N66" s="347">
        <v>107.59</v>
      </c>
      <c r="O66" s="348">
        <v>5070</v>
      </c>
      <c r="P66" s="345">
        <v>95.09</v>
      </c>
      <c r="Q66" s="345">
        <v>95.8</v>
      </c>
      <c r="R66" s="345">
        <v>21.45</v>
      </c>
      <c r="S66" s="345">
        <v>115.77</v>
      </c>
      <c r="T66" s="345">
        <v>1562</v>
      </c>
      <c r="U66" s="345">
        <v>155.13999999999999</v>
      </c>
      <c r="V66" s="345">
        <v>1151</v>
      </c>
      <c r="W66" s="345">
        <v>212.79</v>
      </c>
      <c r="X66" s="345">
        <v>95</v>
      </c>
      <c r="Y66" s="345">
        <v>0</v>
      </c>
      <c r="Z66" s="345">
        <v>11</v>
      </c>
      <c r="AA66" s="345">
        <v>7</v>
      </c>
      <c r="AB66" s="345">
        <v>120</v>
      </c>
      <c r="AC66" s="345">
        <v>17</v>
      </c>
      <c r="AD66" s="349">
        <v>6212</v>
      </c>
      <c r="AE66" s="349">
        <v>16</v>
      </c>
      <c r="AF66" s="349">
        <v>37</v>
      </c>
      <c r="AG66" s="349">
        <v>53</v>
      </c>
    </row>
    <row r="67" spans="1:33" x14ac:dyDescent="0.2">
      <c r="A67" s="344" t="s">
        <v>190</v>
      </c>
      <c r="B67" s="350" t="s">
        <v>191</v>
      </c>
      <c r="C67" s="346">
        <v>15591</v>
      </c>
      <c r="D67" s="346">
        <v>0</v>
      </c>
      <c r="E67" s="346">
        <v>852</v>
      </c>
      <c r="F67" s="346">
        <v>4045</v>
      </c>
      <c r="G67" s="346">
        <v>890</v>
      </c>
      <c r="H67" s="346">
        <v>21378</v>
      </c>
      <c r="I67" s="345">
        <v>20488</v>
      </c>
      <c r="J67" s="345">
        <v>162</v>
      </c>
      <c r="K67" s="347">
        <v>89.54</v>
      </c>
      <c r="L67" s="347">
        <v>89.49</v>
      </c>
      <c r="M67" s="347">
        <v>6.21</v>
      </c>
      <c r="N67" s="347">
        <v>91.72</v>
      </c>
      <c r="O67" s="348">
        <v>12194</v>
      </c>
      <c r="P67" s="345">
        <v>87.98</v>
      </c>
      <c r="Q67" s="345">
        <v>85.23</v>
      </c>
      <c r="R67" s="345">
        <v>21.62</v>
      </c>
      <c r="S67" s="345">
        <v>106.43</v>
      </c>
      <c r="T67" s="345">
        <v>4510</v>
      </c>
      <c r="U67" s="345">
        <v>110</v>
      </c>
      <c r="V67" s="345">
        <v>3318</v>
      </c>
      <c r="W67" s="345">
        <v>107.14</v>
      </c>
      <c r="X67" s="345">
        <v>159</v>
      </c>
      <c r="Y67" s="345">
        <v>0</v>
      </c>
      <c r="Z67" s="345">
        <v>63</v>
      </c>
      <c r="AA67" s="345">
        <v>3</v>
      </c>
      <c r="AB67" s="345">
        <v>98</v>
      </c>
      <c r="AC67" s="345">
        <v>17</v>
      </c>
      <c r="AD67" s="349">
        <v>15563</v>
      </c>
      <c r="AE67" s="349">
        <v>112</v>
      </c>
      <c r="AF67" s="349">
        <v>74</v>
      </c>
      <c r="AG67" s="349">
        <v>186</v>
      </c>
    </row>
    <row r="68" spans="1:33" x14ac:dyDescent="0.2">
      <c r="A68" s="344" t="s">
        <v>192</v>
      </c>
      <c r="B68" s="350" t="s">
        <v>193</v>
      </c>
      <c r="C68" s="346">
        <v>14131</v>
      </c>
      <c r="D68" s="346">
        <v>12</v>
      </c>
      <c r="E68" s="346">
        <v>741</v>
      </c>
      <c r="F68" s="346">
        <v>3334</v>
      </c>
      <c r="G68" s="346">
        <v>1429</v>
      </c>
      <c r="H68" s="346">
        <v>19647</v>
      </c>
      <c r="I68" s="345">
        <v>18218</v>
      </c>
      <c r="J68" s="345">
        <v>0</v>
      </c>
      <c r="K68" s="347">
        <v>92.59</v>
      </c>
      <c r="L68" s="347">
        <v>94.08</v>
      </c>
      <c r="M68" s="347">
        <v>4.57</v>
      </c>
      <c r="N68" s="347">
        <v>94.14</v>
      </c>
      <c r="O68" s="348">
        <v>11940</v>
      </c>
      <c r="P68" s="345">
        <v>89.07</v>
      </c>
      <c r="Q68" s="345">
        <v>88.84</v>
      </c>
      <c r="R68" s="345">
        <v>28.43</v>
      </c>
      <c r="S68" s="345">
        <v>109.48</v>
      </c>
      <c r="T68" s="345">
        <v>3279</v>
      </c>
      <c r="U68" s="345">
        <v>111.48</v>
      </c>
      <c r="V68" s="345">
        <v>1905</v>
      </c>
      <c r="W68" s="345">
        <v>149.08000000000001</v>
      </c>
      <c r="X68" s="345">
        <v>369</v>
      </c>
      <c r="Y68" s="345">
        <v>0</v>
      </c>
      <c r="Z68" s="345">
        <v>52</v>
      </c>
      <c r="AA68" s="345">
        <v>0</v>
      </c>
      <c r="AB68" s="345">
        <v>108</v>
      </c>
      <c r="AC68" s="345">
        <v>20</v>
      </c>
      <c r="AD68" s="349">
        <v>13991</v>
      </c>
      <c r="AE68" s="349">
        <v>85</v>
      </c>
      <c r="AF68" s="349">
        <v>34</v>
      </c>
      <c r="AG68" s="349">
        <v>119</v>
      </c>
    </row>
    <row r="69" spans="1:33" x14ac:dyDescent="0.2">
      <c r="A69" s="344" t="s">
        <v>194</v>
      </c>
      <c r="B69" s="350" t="s">
        <v>195</v>
      </c>
      <c r="C69" s="346">
        <v>825</v>
      </c>
      <c r="D69" s="346">
        <v>0</v>
      </c>
      <c r="E69" s="346">
        <v>130</v>
      </c>
      <c r="F69" s="346">
        <v>494</v>
      </c>
      <c r="G69" s="346">
        <v>93</v>
      </c>
      <c r="H69" s="346">
        <v>1542</v>
      </c>
      <c r="I69" s="345">
        <v>1449</v>
      </c>
      <c r="J69" s="345">
        <v>0</v>
      </c>
      <c r="K69" s="347">
        <v>87.17</v>
      </c>
      <c r="L69" s="347">
        <v>85.61</v>
      </c>
      <c r="M69" s="347">
        <v>6.22</v>
      </c>
      <c r="N69" s="347">
        <v>89.82</v>
      </c>
      <c r="O69" s="348">
        <v>653</v>
      </c>
      <c r="P69" s="345">
        <v>88.93</v>
      </c>
      <c r="Q69" s="345">
        <v>83.86</v>
      </c>
      <c r="R69" s="345">
        <v>23.09</v>
      </c>
      <c r="S69" s="345">
        <v>110.49</v>
      </c>
      <c r="T69" s="345">
        <v>588</v>
      </c>
      <c r="U69" s="345">
        <v>96.24</v>
      </c>
      <c r="V69" s="345">
        <v>77</v>
      </c>
      <c r="W69" s="345">
        <v>0</v>
      </c>
      <c r="X69" s="345">
        <v>0</v>
      </c>
      <c r="Y69" s="345">
        <v>0</v>
      </c>
      <c r="Z69" s="345">
        <v>0</v>
      </c>
      <c r="AA69" s="345">
        <v>1</v>
      </c>
      <c r="AB69" s="345">
        <v>4</v>
      </c>
      <c r="AC69" s="345">
        <v>3</v>
      </c>
      <c r="AD69" s="349">
        <v>719</v>
      </c>
      <c r="AE69" s="349">
        <v>14</v>
      </c>
      <c r="AF69" s="349">
        <v>4</v>
      </c>
      <c r="AG69" s="349">
        <v>18</v>
      </c>
    </row>
    <row r="70" spans="1:33" x14ac:dyDescent="0.2">
      <c r="A70" s="344" t="s">
        <v>196</v>
      </c>
      <c r="B70" s="350" t="s">
        <v>197</v>
      </c>
      <c r="C70" s="346">
        <v>7167</v>
      </c>
      <c r="D70" s="346">
        <v>0</v>
      </c>
      <c r="E70" s="346">
        <v>149</v>
      </c>
      <c r="F70" s="346">
        <v>736</v>
      </c>
      <c r="G70" s="346">
        <v>536</v>
      </c>
      <c r="H70" s="346">
        <v>8588</v>
      </c>
      <c r="I70" s="345">
        <v>8052</v>
      </c>
      <c r="J70" s="345">
        <v>224</v>
      </c>
      <c r="K70" s="347">
        <v>105.64</v>
      </c>
      <c r="L70" s="347">
        <v>113.24</v>
      </c>
      <c r="M70" s="347">
        <v>6.41</v>
      </c>
      <c r="N70" s="347">
        <v>108.67</v>
      </c>
      <c r="O70" s="348">
        <v>6270</v>
      </c>
      <c r="P70" s="345">
        <v>95.48</v>
      </c>
      <c r="Q70" s="345">
        <v>100.99</v>
      </c>
      <c r="R70" s="345">
        <v>29.01</v>
      </c>
      <c r="S70" s="345">
        <v>123.9</v>
      </c>
      <c r="T70" s="345">
        <v>676</v>
      </c>
      <c r="U70" s="345">
        <v>153.35</v>
      </c>
      <c r="V70" s="345">
        <v>849</v>
      </c>
      <c r="W70" s="345">
        <v>142.52000000000001</v>
      </c>
      <c r="X70" s="345">
        <v>4</v>
      </c>
      <c r="Y70" s="345">
        <v>0</v>
      </c>
      <c r="Z70" s="345">
        <v>11</v>
      </c>
      <c r="AA70" s="345">
        <v>2</v>
      </c>
      <c r="AB70" s="345">
        <v>59</v>
      </c>
      <c r="AC70" s="345">
        <v>10</v>
      </c>
      <c r="AD70" s="349">
        <v>7102</v>
      </c>
      <c r="AE70" s="349">
        <v>38</v>
      </c>
      <c r="AF70" s="349">
        <v>8</v>
      </c>
      <c r="AG70" s="349">
        <v>46</v>
      </c>
    </row>
    <row r="71" spans="1:33" x14ac:dyDescent="0.2">
      <c r="A71" s="344" t="s">
        <v>198</v>
      </c>
      <c r="B71" s="350" t="s">
        <v>199</v>
      </c>
      <c r="C71" s="346">
        <v>5957</v>
      </c>
      <c r="D71" s="346">
        <v>0</v>
      </c>
      <c r="E71" s="346">
        <v>381</v>
      </c>
      <c r="F71" s="346">
        <v>527</v>
      </c>
      <c r="G71" s="346">
        <v>203</v>
      </c>
      <c r="H71" s="346">
        <v>7068</v>
      </c>
      <c r="I71" s="345">
        <v>6865</v>
      </c>
      <c r="J71" s="345">
        <v>19</v>
      </c>
      <c r="K71" s="347">
        <v>80.87</v>
      </c>
      <c r="L71" s="347">
        <v>78.05</v>
      </c>
      <c r="M71" s="347">
        <v>5.76</v>
      </c>
      <c r="N71" s="347">
        <v>84.96</v>
      </c>
      <c r="O71" s="348">
        <v>5292</v>
      </c>
      <c r="P71" s="345">
        <v>90.05</v>
      </c>
      <c r="Q71" s="345">
        <v>70.56</v>
      </c>
      <c r="R71" s="345">
        <v>23.93</v>
      </c>
      <c r="S71" s="345">
        <v>112.73</v>
      </c>
      <c r="T71" s="345">
        <v>801</v>
      </c>
      <c r="U71" s="345">
        <v>101.12</v>
      </c>
      <c r="V71" s="345">
        <v>611</v>
      </c>
      <c r="W71" s="345">
        <v>0</v>
      </c>
      <c r="X71" s="345">
        <v>0</v>
      </c>
      <c r="Y71" s="345">
        <v>36</v>
      </c>
      <c r="Z71" s="345">
        <v>20</v>
      </c>
      <c r="AA71" s="345">
        <v>8</v>
      </c>
      <c r="AB71" s="345">
        <v>5</v>
      </c>
      <c r="AC71" s="345">
        <v>3</v>
      </c>
      <c r="AD71" s="349">
        <v>5925</v>
      </c>
      <c r="AE71" s="349">
        <v>37</v>
      </c>
      <c r="AF71" s="349">
        <v>5</v>
      </c>
      <c r="AG71" s="349">
        <v>42</v>
      </c>
    </row>
    <row r="72" spans="1:33" x14ac:dyDescent="0.2">
      <c r="A72" s="344" t="s">
        <v>200</v>
      </c>
      <c r="B72" s="350" t="s">
        <v>201</v>
      </c>
      <c r="C72" s="346">
        <v>194</v>
      </c>
      <c r="D72" s="346">
        <v>0</v>
      </c>
      <c r="E72" s="346">
        <v>17</v>
      </c>
      <c r="F72" s="346">
        <v>19</v>
      </c>
      <c r="G72" s="346">
        <v>0</v>
      </c>
      <c r="H72" s="346">
        <v>230</v>
      </c>
      <c r="I72" s="345">
        <v>230</v>
      </c>
      <c r="J72" s="345">
        <v>0</v>
      </c>
      <c r="K72" s="347">
        <v>126.83</v>
      </c>
      <c r="L72" s="347">
        <v>129.80000000000001</v>
      </c>
      <c r="M72" s="347">
        <v>11.99</v>
      </c>
      <c r="N72" s="347">
        <v>138.82</v>
      </c>
      <c r="O72" s="348">
        <v>160</v>
      </c>
      <c r="P72" s="345">
        <v>113.56</v>
      </c>
      <c r="Q72" s="345">
        <v>112.8</v>
      </c>
      <c r="R72" s="345">
        <v>107.59</v>
      </c>
      <c r="S72" s="345">
        <v>221.15</v>
      </c>
      <c r="T72" s="345">
        <v>36</v>
      </c>
      <c r="U72" s="345">
        <v>212.19</v>
      </c>
      <c r="V72" s="345">
        <v>34</v>
      </c>
      <c r="W72" s="345">
        <v>0</v>
      </c>
      <c r="X72" s="345">
        <v>0</v>
      </c>
      <c r="Y72" s="345">
        <v>0</v>
      </c>
      <c r="Z72" s="345">
        <v>0</v>
      </c>
      <c r="AA72" s="345">
        <v>0</v>
      </c>
      <c r="AB72" s="345">
        <v>0</v>
      </c>
      <c r="AC72" s="345">
        <v>0</v>
      </c>
      <c r="AD72" s="349">
        <v>194</v>
      </c>
      <c r="AE72" s="349">
        <v>0</v>
      </c>
      <c r="AF72" s="349">
        <v>0</v>
      </c>
      <c r="AG72" s="349">
        <v>0</v>
      </c>
    </row>
    <row r="73" spans="1:33" x14ac:dyDescent="0.2">
      <c r="A73" s="344" t="s">
        <v>202</v>
      </c>
      <c r="B73" s="350" t="s">
        <v>203</v>
      </c>
      <c r="C73" s="346">
        <v>3988</v>
      </c>
      <c r="D73" s="346">
        <v>178</v>
      </c>
      <c r="E73" s="346">
        <v>632</v>
      </c>
      <c r="F73" s="346">
        <v>355</v>
      </c>
      <c r="G73" s="346">
        <v>294</v>
      </c>
      <c r="H73" s="346">
        <v>5447</v>
      </c>
      <c r="I73" s="345">
        <v>5153</v>
      </c>
      <c r="J73" s="345">
        <v>7</v>
      </c>
      <c r="K73" s="347">
        <v>103.65</v>
      </c>
      <c r="L73" s="347">
        <v>102.79</v>
      </c>
      <c r="M73" s="347">
        <v>6.03</v>
      </c>
      <c r="N73" s="347">
        <v>108.53</v>
      </c>
      <c r="O73" s="348">
        <v>2823</v>
      </c>
      <c r="P73" s="345">
        <v>106.22</v>
      </c>
      <c r="Q73" s="345">
        <v>82.95</v>
      </c>
      <c r="R73" s="345">
        <v>48.31</v>
      </c>
      <c r="S73" s="345">
        <v>149.86000000000001</v>
      </c>
      <c r="T73" s="345">
        <v>674</v>
      </c>
      <c r="U73" s="345">
        <v>131.46</v>
      </c>
      <c r="V73" s="345">
        <v>891</v>
      </c>
      <c r="W73" s="345">
        <v>114.9</v>
      </c>
      <c r="X73" s="345">
        <v>34</v>
      </c>
      <c r="Y73" s="345">
        <v>0</v>
      </c>
      <c r="Z73" s="345">
        <v>0</v>
      </c>
      <c r="AA73" s="345">
        <v>2</v>
      </c>
      <c r="AB73" s="345">
        <v>31</v>
      </c>
      <c r="AC73" s="345">
        <v>7</v>
      </c>
      <c r="AD73" s="349">
        <v>3921</v>
      </c>
      <c r="AE73" s="349">
        <v>18</v>
      </c>
      <c r="AF73" s="349">
        <v>42</v>
      </c>
      <c r="AG73" s="349">
        <v>60</v>
      </c>
    </row>
    <row r="74" spans="1:33" x14ac:dyDescent="0.2">
      <c r="A74" s="344" t="s">
        <v>204</v>
      </c>
      <c r="B74" s="350" t="s">
        <v>205</v>
      </c>
      <c r="C74" s="346">
        <v>5646</v>
      </c>
      <c r="D74" s="346">
        <v>29</v>
      </c>
      <c r="E74" s="346">
        <v>77</v>
      </c>
      <c r="F74" s="346">
        <v>307</v>
      </c>
      <c r="G74" s="346">
        <v>46</v>
      </c>
      <c r="H74" s="346">
        <v>6105</v>
      </c>
      <c r="I74" s="345">
        <v>6059</v>
      </c>
      <c r="J74" s="345">
        <v>27</v>
      </c>
      <c r="K74" s="347">
        <v>85.9</v>
      </c>
      <c r="L74" s="347">
        <v>82.96</v>
      </c>
      <c r="M74" s="347">
        <v>1.18</v>
      </c>
      <c r="N74" s="347">
        <v>86.96</v>
      </c>
      <c r="O74" s="348">
        <v>5371</v>
      </c>
      <c r="P74" s="345">
        <v>78.42</v>
      </c>
      <c r="Q74" s="345">
        <v>77.099999999999994</v>
      </c>
      <c r="R74" s="345">
        <v>36.130000000000003</v>
      </c>
      <c r="S74" s="345">
        <v>114.06</v>
      </c>
      <c r="T74" s="345">
        <v>366</v>
      </c>
      <c r="U74" s="345">
        <v>92.88</v>
      </c>
      <c r="V74" s="345">
        <v>277</v>
      </c>
      <c r="W74" s="345">
        <v>0</v>
      </c>
      <c r="X74" s="345">
        <v>0</v>
      </c>
      <c r="Y74" s="345">
        <v>0</v>
      </c>
      <c r="Z74" s="345">
        <v>0</v>
      </c>
      <c r="AA74" s="345">
        <v>2</v>
      </c>
      <c r="AB74" s="345">
        <v>0</v>
      </c>
      <c r="AC74" s="345">
        <v>0</v>
      </c>
      <c r="AD74" s="349">
        <v>5613</v>
      </c>
      <c r="AE74" s="349">
        <v>136</v>
      </c>
      <c r="AF74" s="349">
        <v>48</v>
      </c>
      <c r="AG74" s="349">
        <v>184</v>
      </c>
    </row>
    <row r="75" spans="1:33" x14ac:dyDescent="0.2">
      <c r="A75" s="344" t="s">
        <v>206</v>
      </c>
      <c r="B75" s="350" t="s">
        <v>207</v>
      </c>
      <c r="C75" s="346">
        <v>18717</v>
      </c>
      <c r="D75" s="346">
        <v>30</v>
      </c>
      <c r="E75" s="346">
        <v>924</v>
      </c>
      <c r="F75" s="346">
        <v>2007</v>
      </c>
      <c r="G75" s="346">
        <v>2074</v>
      </c>
      <c r="H75" s="346">
        <v>23752</v>
      </c>
      <c r="I75" s="345">
        <v>21678</v>
      </c>
      <c r="J75" s="345">
        <v>8</v>
      </c>
      <c r="K75" s="347">
        <v>84.44</v>
      </c>
      <c r="L75" s="347">
        <v>79.02</v>
      </c>
      <c r="M75" s="347">
        <v>3.69</v>
      </c>
      <c r="N75" s="347">
        <v>87.51</v>
      </c>
      <c r="O75" s="348">
        <v>14936</v>
      </c>
      <c r="P75" s="345">
        <v>81.739999999999995</v>
      </c>
      <c r="Q75" s="345">
        <v>72.02</v>
      </c>
      <c r="R75" s="345">
        <v>42.31</v>
      </c>
      <c r="S75" s="345">
        <v>122.2</v>
      </c>
      <c r="T75" s="345">
        <v>2682</v>
      </c>
      <c r="U75" s="345">
        <v>130.37</v>
      </c>
      <c r="V75" s="345">
        <v>2650</v>
      </c>
      <c r="W75" s="345">
        <v>129.32</v>
      </c>
      <c r="X75" s="345">
        <v>62</v>
      </c>
      <c r="Y75" s="345">
        <v>0</v>
      </c>
      <c r="Z75" s="345">
        <v>17</v>
      </c>
      <c r="AA75" s="345">
        <v>77</v>
      </c>
      <c r="AB75" s="345">
        <v>233</v>
      </c>
      <c r="AC75" s="345">
        <v>31</v>
      </c>
      <c r="AD75" s="349">
        <v>18304</v>
      </c>
      <c r="AE75" s="349">
        <v>48</v>
      </c>
      <c r="AF75" s="349">
        <v>181</v>
      </c>
      <c r="AG75" s="349">
        <v>229</v>
      </c>
    </row>
    <row r="76" spans="1:33" x14ac:dyDescent="0.2">
      <c r="A76" s="344" t="s">
        <v>208</v>
      </c>
      <c r="B76" s="350" t="s">
        <v>209</v>
      </c>
      <c r="C76" s="346">
        <v>5336</v>
      </c>
      <c r="D76" s="346">
        <v>2</v>
      </c>
      <c r="E76" s="346">
        <v>59</v>
      </c>
      <c r="F76" s="346">
        <v>554</v>
      </c>
      <c r="G76" s="346">
        <v>639</v>
      </c>
      <c r="H76" s="346">
        <v>6590</v>
      </c>
      <c r="I76" s="345">
        <v>5951</v>
      </c>
      <c r="J76" s="345">
        <v>0</v>
      </c>
      <c r="K76" s="347">
        <v>104.15</v>
      </c>
      <c r="L76" s="347">
        <v>64.53</v>
      </c>
      <c r="M76" s="347">
        <v>4.2699999999999996</v>
      </c>
      <c r="N76" s="347">
        <v>105.71</v>
      </c>
      <c r="O76" s="348">
        <v>4420</v>
      </c>
      <c r="P76" s="345">
        <v>96.45</v>
      </c>
      <c r="Q76" s="345">
        <v>60.99</v>
      </c>
      <c r="R76" s="345">
        <v>22.88</v>
      </c>
      <c r="S76" s="345">
        <v>118.38</v>
      </c>
      <c r="T76" s="345">
        <v>556</v>
      </c>
      <c r="U76" s="345">
        <v>136.07</v>
      </c>
      <c r="V76" s="345">
        <v>680</v>
      </c>
      <c r="W76" s="345">
        <v>176</v>
      </c>
      <c r="X76" s="345">
        <v>50</v>
      </c>
      <c r="Y76" s="345">
        <v>0</v>
      </c>
      <c r="Z76" s="345">
        <v>2</v>
      </c>
      <c r="AA76" s="345">
        <v>0</v>
      </c>
      <c r="AB76" s="345">
        <v>52</v>
      </c>
      <c r="AC76" s="345">
        <v>9</v>
      </c>
      <c r="AD76" s="349">
        <v>5091</v>
      </c>
      <c r="AE76" s="349">
        <v>30</v>
      </c>
      <c r="AF76" s="349">
        <v>78</v>
      </c>
      <c r="AG76" s="349">
        <v>108</v>
      </c>
    </row>
    <row r="77" spans="1:33" x14ac:dyDescent="0.2">
      <c r="A77" s="344" t="s">
        <v>210</v>
      </c>
      <c r="B77" s="350" t="s">
        <v>211</v>
      </c>
      <c r="C77" s="346">
        <v>45417</v>
      </c>
      <c r="D77" s="346">
        <v>94</v>
      </c>
      <c r="E77" s="346">
        <v>802</v>
      </c>
      <c r="F77" s="346">
        <v>1464</v>
      </c>
      <c r="G77" s="346">
        <v>228</v>
      </c>
      <c r="H77" s="346">
        <v>48005</v>
      </c>
      <c r="I77" s="345">
        <v>47777</v>
      </c>
      <c r="J77" s="345">
        <v>58</v>
      </c>
      <c r="K77" s="347">
        <v>72.69</v>
      </c>
      <c r="L77" s="347">
        <v>73.040000000000006</v>
      </c>
      <c r="M77" s="347">
        <v>7.43</v>
      </c>
      <c r="N77" s="347">
        <v>73.819999999999993</v>
      </c>
      <c r="O77" s="348">
        <v>41484</v>
      </c>
      <c r="P77" s="345">
        <v>95.97</v>
      </c>
      <c r="Q77" s="345">
        <v>78.27</v>
      </c>
      <c r="R77" s="345">
        <v>53.16</v>
      </c>
      <c r="S77" s="345">
        <v>145.82</v>
      </c>
      <c r="T77" s="345">
        <v>1909</v>
      </c>
      <c r="U77" s="345">
        <v>89.34</v>
      </c>
      <c r="V77" s="345">
        <v>3289</v>
      </c>
      <c r="W77" s="345">
        <v>134.76</v>
      </c>
      <c r="X77" s="345">
        <v>152</v>
      </c>
      <c r="Y77" s="345">
        <v>0</v>
      </c>
      <c r="Z77" s="345">
        <v>225</v>
      </c>
      <c r="AA77" s="345">
        <v>84</v>
      </c>
      <c r="AB77" s="345">
        <v>17</v>
      </c>
      <c r="AC77" s="345">
        <v>5</v>
      </c>
      <c r="AD77" s="349">
        <v>44509</v>
      </c>
      <c r="AE77" s="349">
        <v>413</v>
      </c>
      <c r="AF77" s="349">
        <v>279</v>
      </c>
      <c r="AG77" s="349">
        <v>692</v>
      </c>
    </row>
    <row r="78" spans="1:33" x14ac:dyDescent="0.2">
      <c r="A78" s="344" t="s">
        <v>212</v>
      </c>
      <c r="B78" s="350" t="s">
        <v>213</v>
      </c>
      <c r="C78" s="346">
        <v>22241</v>
      </c>
      <c r="D78" s="346">
        <v>1</v>
      </c>
      <c r="E78" s="346">
        <v>707</v>
      </c>
      <c r="F78" s="346">
        <v>1797</v>
      </c>
      <c r="G78" s="346">
        <v>623</v>
      </c>
      <c r="H78" s="346">
        <v>25369</v>
      </c>
      <c r="I78" s="345">
        <v>24746</v>
      </c>
      <c r="J78" s="345">
        <v>5</v>
      </c>
      <c r="K78" s="347">
        <v>85.65</v>
      </c>
      <c r="L78" s="347">
        <v>85.79</v>
      </c>
      <c r="M78" s="347">
        <v>5.3</v>
      </c>
      <c r="N78" s="347">
        <v>90.49</v>
      </c>
      <c r="O78" s="348">
        <v>20061</v>
      </c>
      <c r="P78" s="345">
        <v>87.89</v>
      </c>
      <c r="Q78" s="345">
        <v>85.5</v>
      </c>
      <c r="R78" s="345">
        <v>48.95</v>
      </c>
      <c r="S78" s="345">
        <v>135.85</v>
      </c>
      <c r="T78" s="345">
        <v>2298</v>
      </c>
      <c r="U78" s="345">
        <v>108.37</v>
      </c>
      <c r="V78" s="345">
        <v>1833</v>
      </c>
      <c r="W78" s="345">
        <v>0</v>
      </c>
      <c r="X78" s="345">
        <v>0</v>
      </c>
      <c r="Y78" s="345">
        <v>0</v>
      </c>
      <c r="Z78" s="345">
        <v>78</v>
      </c>
      <c r="AA78" s="345">
        <v>27</v>
      </c>
      <c r="AB78" s="345">
        <v>23</v>
      </c>
      <c r="AC78" s="345">
        <v>36</v>
      </c>
      <c r="AD78" s="349">
        <v>22116</v>
      </c>
      <c r="AE78" s="349">
        <v>159</v>
      </c>
      <c r="AF78" s="349">
        <v>95</v>
      </c>
      <c r="AG78" s="349">
        <v>254</v>
      </c>
    </row>
    <row r="79" spans="1:33" x14ac:dyDescent="0.2">
      <c r="A79" s="344" t="s">
        <v>214</v>
      </c>
      <c r="B79" s="350" t="s">
        <v>215</v>
      </c>
      <c r="C79" s="346">
        <v>2233</v>
      </c>
      <c r="D79" s="346">
        <v>19</v>
      </c>
      <c r="E79" s="346">
        <v>43</v>
      </c>
      <c r="F79" s="346">
        <v>203</v>
      </c>
      <c r="G79" s="346">
        <v>45</v>
      </c>
      <c r="H79" s="346">
        <v>2543</v>
      </c>
      <c r="I79" s="345">
        <v>2498</v>
      </c>
      <c r="J79" s="345">
        <v>6</v>
      </c>
      <c r="K79" s="347">
        <v>85.83</v>
      </c>
      <c r="L79" s="347">
        <v>82.25</v>
      </c>
      <c r="M79" s="347">
        <v>7.83</v>
      </c>
      <c r="N79" s="347">
        <v>90.77</v>
      </c>
      <c r="O79" s="348">
        <v>1608</v>
      </c>
      <c r="P79" s="345">
        <v>81.63</v>
      </c>
      <c r="Q79" s="345">
        <v>74.36</v>
      </c>
      <c r="R79" s="345">
        <v>51.7</v>
      </c>
      <c r="S79" s="345">
        <v>131.22</v>
      </c>
      <c r="T79" s="345">
        <v>196</v>
      </c>
      <c r="U79" s="345">
        <v>96.23</v>
      </c>
      <c r="V79" s="345">
        <v>591</v>
      </c>
      <c r="W79" s="345">
        <v>139.35</v>
      </c>
      <c r="X79" s="345">
        <v>34</v>
      </c>
      <c r="Y79" s="345">
        <v>0</v>
      </c>
      <c r="Z79" s="345">
        <v>3</v>
      </c>
      <c r="AA79" s="345">
        <v>3</v>
      </c>
      <c r="AB79" s="345">
        <v>0</v>
      </c>
      <c r="AC79" s="345">
        <v>0</v>
      </c>
      <c r="AD79" s="349">
        <v>2217</v>
      </c>
      <c r="AE79" s="349">
        <v>5</v>
      </c>
      <c r="AF79" s="349">
        <v>5</v>
      </c>
      <c r="AG79" s="349">
        <v>10</v>
      </c>
    </row>
    <row r="80" spans="1:33" x14ac:dyDescent="0.2">
      <c r="A80" s="344" t="s">
        <v>216</v>
      </c>
      <c r="B80" s="350" t="s">
        <v>217</v>
      </c>
      <c r="C80" s="346">
        <v>2039</v>
      </c>
      <c r="D80" s="346">
        <v>0</v>
      </c>
      <c r="E80" s="346">
        <v>169</v>
      </c>
      <c r="F80" s="346">
        <v>285</v>
      </c>
      <c r="G80" s="346">
        <v>408</v>
      </c>
      <c r="H80" s="346">
        <v>2901</v>
      </c>
      <c r="I80" s="345">
        <v>2493</v>
      </c>
      <c r="J80" s="345">
        <v>2</v>
      </c>
      <c r="K80" s="347">
        <v>109.22</v>
      </c>
      <c r="L80" s="347">
        <v>105.53</v>
      </c>
      <c r="M80" s="347">
        <v>8.83</v>
      </c>
      <c r="N80" s="347">
        <v>117.11</v>
      </c>
      <c r="O80" s="348">
        <v>1617</v>
      </c>
      <c r="P80" s="345">
        <v>102.13</v>
      </c>
      <c r="Q80" s="345">
        <v>102.04</v>
      </c>
      <c r="R80" s="345">
        <v>36.07</v>
      </c>
      <c r="S80" s="345">
        <v>131.77000000000001</v>
      </c>
      <c r="T80" s="345">
        <v>202</v>
      </c>
      <c r="U80" s="345">
        <v>154.46</v>
      </c>
      <c r="V80" s="345">
        <v>380</v>
      </c>
      <c r="W80" s="345">
        <v>224.75</v>
      </c>
      <c r="X80" s="345">
        <v>52</v>
      </c>
      <c r="Y80" s="345">
        <v>0</v>
      </c>
      <c r="Z80" s="345">
        <v>8</v>
      </c>
      <c r="AA80" s="345">
        <v>0</v>
      </c>
      <c r="AB80" s="345">
        <v>42</v>
      </c>
      <c r="AC80" s="345">
        <v>7</v>
      </c>
      <c r="AD80" s="349">
        <v>2010</v>
      </c>
      <c r="AE80" s="349">
        <v>10</v>
      </c>
      <c r="AF80" s="349">
        <v>1</v>
      </c>
      <c r="AG80" s="349">
        <v>11</v>
      </c>
    </row>
    <row r="81" spans="1:33" x14ac:dyDescent="0.2">
      <c r="A81" s="344" t="s">
        <v>218</v>
      </c>
      <c r="B81" s="350" t="s">
        <v>219</v>
      </c>
      <c r="C81" s="346">
        <v>11042</v>
      </c>
      <c r="D81" s="346">
        <v>97</v>
      </c>
      <c r="E81" s="346">
        <v>1071</v>
      </c>
      <c r="F81" s="346">
        <v>799</v>
      </c>
      <c r="G81" s="346">
        <v>1802</v>
      </c>
      <c r="H81" s="346">
        <v>14811</v>
      </c>
      <c r="I81" s="345">
        <v>13009</v>
      </c>
      <c r="J81" s="345">
        <v>69</v>
      </c>
      <c r="K81" s="347">
        <v>123.9</v>
      </c>
      <c r="L81" s="347">
        <v>122.4</v>
      </c>
      <c r="M81" s="347">
        <v>8.92</v>
      </c>
      <c r="N81" s="347">
        <v>129.34</v>
      </c>
      <c r="O81" s="348">
        <v>8916</v>
      </c>
      <c r="P81" s="345">
        <v>120.52</v>
      </c>
      <c r="Q81" s="345">
        <v>96.54</v>
      </c>
      <c r="R81" s="345">
        <v>55.05</v>
      </c>
      <c r="S81" s="345">
        <v>170.69</v>
      </c>
      <c r="T81" s="345">
        <v>1230</v>
      </c>
      <c r="U81" s="345">
        <v>182.75</v>
      </c>
      <c r="V81" s="345">
        <v>1682</v>
      </c>
      <c r="W81" s="345">
        <v>117.57</v>
      </c>
      <c r="X81" s="345">
        <v>14</v>
      </c>
      <c r="Y81" s="345">
        <v>0</v>
      </c>
      <c r="Z81" s="345">
        <v>4</v>
      </c>
      <c r="AA81" s="345">
        <v>34</v>
      </c>
      <c r="AB81" s="345">
        <v>51</v>
      </c>
      <c r="AC81" s="345">
        <v>50</v>
      </c>
      <c r="AD81" s="349">
        <v>10781</v>
      </c>
      <c r="AE81" s="349">
        <v>22</v>
      </c>
      <c r="AF81" s="349">
        <v>32</v>
      </c>
      <c r="AG81" s="349">
        <v>54</v>
      </c>
    </row>
    <row r="82" spans="1:33" x14ac:dyDescent="0.2">
      <c r="A82" s="344" t="s">
        <v>220</v>
      </c>
      <c r="B82" s="350" t="s">
        <v>221</v>
      </c>
      <c r="C82" s="346">
        <v>2820</v>
      </c>
      <c r="D82" s="346">
        <v>0</v>
      </c>
      <c r="E82" s="346">
        <v>287</v>
      </c>
      <c r="F82" s="346">
        <v>241</v>
      </c>
      <c r="G82" s="346">
        <v>329</v>
      </c>
      <c r="H82" s="346">
        <v>3677</v>
      </c>
      <c r="I82" s="345">
        <v>3348</v>
      </c>
      <c r="J82" s="345">
        <v>5</v>
      </c>
      <c r="K82" s="347">
        <v>120.97</v>
      </c>
      <c r="L82" s="347">
        <v>116</v>
      </c>
      <c r="M82" s="347">
        <v>6.58</v>
      </c>
      <c r="N82" s="347">
        <v>125.96</v>
      </c>
      <c r="O82" s="348">
        <v>2006</v>
      </c>
      <c r="P82" s="345">
        <v>117.26</v>
      </c>
      <c r="Q82" s="345">
        <v>99.33</v>
      </c>
      <c r="R82" s="345">
        <v>35.25</v>
      </c>
      <c r="S82" s="345">
        <v>151.43</v>
      </c>
      <c r="T82" s="345">
        <v>424</v>
      </c>
      <c r="U82" s="345">
        <v>165.52</v>
      </c>
      <c r="V82" s="345">
        <v>617</v>
      </c>
      <c r="W82" s="345">
        <v>155.55000000000001</v>
      </c>
      <c r="X82" s="345">
        <v>8</v>
      </c>
      <c r="Y82" s="345">
        <v>0</v>
      </c>
      <c r="Z82" s="345">
        <v>1</v>
      </c>
      <c r="AA82" s="345">
        <v>2</v>
      </c>
      <c r="AB82" s="345">
        <v>11</v>
      </c>
      <c r="AC82" s="345">
        <v>8</v>
      </c>
      <c r="AD82" s="349">
        <v>2783</v>
      </c>
      <c r="AE82" s="349">
        <v>28</v>
      </c>
      <c r="AF82" s="349">
        <v>9</v>
      </c>
      <c r="AG82" s="349">
        <v>37</v>
      </c>
    </row>
    <row r="83" spans="1:33" x14ac:dyDescent="0.2">
      <c r="A83" s="344" t="s">
        <v>222</v>
      </c>
      <c r="B83" s="350" t="s">
        <v>223</v>
      </c>
      <c r="C83" s="346">
        <v>1851</v>
      </c>
      <c r="D83" s="346">
        <v>34</v>
      </c>
      <c r="E83" s="346">
        <v>267</v>
      </c>
      <c r="F83" s="346">
        <v>506</v>
      </c>
      <c r="G83" s="346">
        <v>117</v>
      </c>
      <c r="H83" s="346">
        <v>2775</v>
      </c>
      <c r="I83" s="345">
        <v>2658</v>
      </c>
      <c r="J83" s="345">
        <v>0</v>
      </c>
      <c r="K83" s="347">
        <v>80.27</v>
      </c>
      <c r="L83" s="347">
        <v>78.010000000000005</v>
      </c>
      <c r="M83" s="347">
        <v>5.39</v>
      </c>
      <c r="N83" s="347">
        <v>83.68</v>
      </c>
      <c r="O83" s="348">
        <v>1168</v>
      </c>
      <c r="P83" s="345">
        <v>87.06</v>
      </c>
      <c r="Q83" s="345">
        <v>80.67</v>
      </c>
      <c r="R83" s="345">
        <v>36.369999999999997</v>
      </c>
      <c r="S83" s="345">
        <v>120.15</v>
      </c>
      <c r="T83" s="345">
        <v>567</v>
      </c>
      <c r="U83" s="345">
        <v>94.79</v>
      </c>
      <c r="V83" s="345">
        <v>385</v>
      </c>
      <c r="W83" s="345">
        <v>90.44</v>
      </c>
      <c r="X83" s="345">
        <v>10</v>
      </c>
      <c r="Y83" s="345">
        <v>0</v>
      </c>
      <c r="Z83" s="345">
        <v>1</v>
      </c>
      <c r="AA83" s="345">
        <v>2</v>
      </c>
      <c r="AB83" s="345">
        <v>1</v>
      </c>
      <c r="AC83" s="345">
        <v>2</v>
      </c>
      <c r="AD83" s="349">
        <v>1631</v>
      </c>
      <c r="AE83" s="349">
        <v>28</v>
      </c>
      <c r="AF83" s="349">
        <v>4</v>
      </c>
      <c r="AG83" s="349">
        <v>32</v>
      </c>
    </row>
    <row r="84" spans="1:33" x14ac:dyDescent="0.2">
      <c r="A84" s="344" t="s">
        <v>224</v>
      </c>
      <c r="B84" s="350" t="s">
        <v>225</v>
      </c>
      <c r="C84" s="346">
        <v>1666</v>
      </c>
      <c r="D84" s="346">
        <v>6</v>
      </c>
      <c r="E84" s="346">
        <v>164</v>
      </c>
      <c r="F84" s="346">
        <v>107</v>
      </c>
      <c r="G84" s="346">
        <v>769</v>
      </c>
      <c r="H84" s="346">
        <v>2712</v>
      </c>
      <c r="I84" s="345">
        <v>1943</v>
      </c>
      <c r="J84" s="345">
        <v>0</v>
      </c>
      <c r="K84" s="347">
        <v>108.91</v>
      </c>
      <c r="L84" s="347">
        <v>104.68</v>
      </c>
      <c r="M84" s="347">
        <v>6.33</v>
      </c>
      <c r="N84" s="347">
        <v>114.37</v>
      </c>
      <c r="O84" s="348">
        <v>859</v>
      </c>
      <c r="P84" s="345">
        <v>118.98</v>
      </c>
      <c r="Q84" s="345">
        <v>86.96</v>
      </c>
      <c r="R84" s="345">
        <v>46.01</v>
      </c>
      <c r="S84" s="345">
        <v>161.72</v>
      </c>
      <c r="T84" s="345">
        <v>155</v>
      </c>
      <c r="U84" s="345">
        <v>155.96</v>
      </c>
      <c r="V84" s="345">
        <v>367</v>
      </c>
      <c r="W84" s="345">
        <v>0</v>
      </c>
      <c r="X84" s="345">
        <v>0</v>
      </c>
      <c r="Y84" s="345">
        <v>0</v>
      </c>
      <c r="Z84" s="345">
        <v>0</v>
      </c>
      <c r="AA84" s="345">
        <v>2</v>
      </c>
      <c r="AB84" s="345">
        <v>121</v>
      </c>
      <c r="AC84" s="345">
        <v>14</v>
      </c>
      <c r="AD84" s="349">
        <v>1287</v>
      </c>
      <c r="AE84" s="349">
        <v>3</v>
      </c>
      <c r="AF84" s="349">
        <v>1</v>
      </c>
      <c r="AG84" s="349">
        <v>4</v>
      </c>
    </row>
    <row r="85" spans="1:33" x14ac:dyDescent="0.2">
      <c r="A85" s="344" t="s">
        <v>226</v>
      </c>
      <c r="B85" s="350" t="s">
        <v>227</v>
      </c>
      <c r="C85" s="346">
        <v>5963</v>
      </c>
      <c r="D85" s="346">
        <v>0</v>
      </c>
      <c r="E85" s="346">
        <v>620</v>
      </c>
      <c r="F85" s="346">
        <v>1316</v>
      </c>
      <c r="G85" s="346">
        <v>522</v>
      </c>
      <c r="H85" s="346">
        <v>8421</v>
      </c>
      <c r="I85" s="345">
        <v>7899</v>
      </c>
      <c r="J85" s="345">
        <v>12</v>
      </c>
      <c r="K85" s="347">
        <v>88.51</v>
      </c>
      <c r="L85" s="347">
        <v>87.97</v>
      </c>
      <c r="M85" s="347">
        <v>6.03</v>
      </c>
      <c r="N85" s="347">
        <v>92.77</v>
      </c>
      <c r="O85" s="348">
        <v>5464</v>
      </c>
      <c r="P85" s="345">
        <v>83.83</v>
      </c>
      <c r="Q85" s="345">
        <v>81</v>
      </c>
      <c r="R85" s="345">
        <v>45.59</v>
      </c>
      <c r="S85" s="345">
        <v>126.02</v>
      </c>
      <c r="T85" s="345">
        <v>1514</v>
      </c>
      <c r="U85" s="345">
        <v>99.78</v>
      </c>
      <c r="V85" s="345">
        <v>333</v>
      </c>
      <c r="W85" s="345">
        <v>148.72</v>
      </c>
      <c r="X85" s="345">
        <v>103</v>
      </c>
      <c r="Y85" s="345">
        <v>0</v>
      </c>
      <c r="Z85" s="345">
        <v>2</v>
      </c>
      <c r="AA85" s="345">
        <v>17</v>
      </c>
      <c r="AB85" s="345">
        <v>28</v>
      </c>
      <c r="AC85" s="345">
        <v>21</v>
      </c>
      <c r="AD85" s="349">
        <v>5822</v>
      </c>
      <c r="AE85" s="349">
        <v>35</v>
      </c>
      <c r="AF85" s="349">
        <v>12</v>
      </c>
      <c r="AG85" s="349">
        <v>47</v>
      </c>
    </row>
    <row r="86" spans="1:33" x14ac:dyDescent="0.2">
      <c r="A86" s="344" t="s">
        <v>228</v>
      </c>
      <c r="B86" s="350" t="s">
        <v>229</v>
      </c>
      <c r="C86" s="346">
        <v>3705</v>
      </c>
      <c r="D86" s="346">
        <v>0</v>
      </c>
      <c r="E86" s="346">
        <v>53</v>
      </c>
      <c r="F86" s="346">
        <v>283</v>
      </c>
      <c r="G86" s="346">
        <v>165</v>
      </c>
      <c r="H86" s="346">
        <v>4206</v>
      </c>
      <c r="I86" s="345">
        <v>4041</v>
      </c>
      <c r="J86" s="345">
        <v>0</v>
      </c>
      <c r="K86" s="347">
        <v>92.19</v>
      </c>
      <c r="L86" s="347">
        <v>94.53</v>
      </c>
      <c r="M86" s="347">
        <v>2.38</v>
      </c>
      <c r="N86" s="347">
        <v>94.3</v>
      </c>
      <c r="O86" s="348">
        <v>3402</v>
      </c>
      <c r="P86" s="345">
        <v>84.88</v>
      </c>
      <c r="Q86" s="345">
        <v>82.86</v>
      </c>
      <c r="R86" s="345">
        <v>23.12</v>
      </c>
      <c r="S86" s="345">
        <v>106.76</v>
      </c>
      <c r="T86" s="345">
        <v>315</v>
      </c>
      <c r="U86" s="345">
        <v>111.94</v>
      </c>
      <c r="V86" s="345">
        <v>195</v>
      </c>
      <c r="W86" s="345">
        <v>146.30000000000001</v>
      </c>
      <c r="X86" s="345">
        <v>2</v>
      </c>
      <c r="Y86" s="345">
        <v>0</v>
      </c>
      <c r="Z86" s="345">
        <v>12</v>
      </c>
      <c r="AA86" s="345">
        <v>12</v>
      </c>
      <c r="AB86" s="345">
        <v>9</v>
      </c>
      <c r="AC86" s="345">
        <v>2</v>
      </c>
      <c r="AD86" s="349">
        <v>3590</v>
      </c>
      <c r="AE86" s="349">
        <v>23</v>
      </c>
      <c r="AF86" s="349">
        <v>13</v>
      </c>
      <c r="AG86" s="349">
        <v>36</v>
      </c>
    </row>
    <row r="87" spans="1:33" x14ac:dyDescent="0.2">
      <c r="A87" s="344" t="s">
        <v>230</v>
      </c>
      <c r="B87" s="350" t="s">
        <v>231</v>
      </c>
      <c r="C87" s="346">
        <v>2333</v>
      </c>
      <c r="D87" s="346">
        <v>0</v>
      </c>
      <c r="E87" s="346">
        <v>620</v>
      </c>
      <c r="F87" s="346">
        <v>888</v>
      </c>
      <c r="G87" s="346">
        <v>235</v>
      </c>
      <c r="H87" s="346">
        <v>4076</v>
      </c>
      <c r="I87" s="345">
        <v>3841</v>
      </c>
      <c r="J87" s="345">
        <v>1</v>
      </c>
      <c r="K87" s="347">
        <v>82</v>
      </c>
      <c r="L87" s="347">
        <v>79.61</v>
      </c>
      <c r="M87" s="347">
        <v>5.73</v>
      </c>
      <c r="N87" s="347">
        <v>85.48</v>
      </c>
      <c r="O87" s="348">
        <v>1727</v>
      </c>
      <c r="P87" s="345">
        <v>97.64</v>
      </c>
      <c r="Q87" s="345">
        <v>79.97</v>
      </c>
      <c r="R87" s="345">
        <v>31.58</v>
      </c>
      <c r="S87" s="345">
        <v>127.6</v>
      </c>
      <c r="T87" s="345">
        <v>1302</v>
      </c>
      <c r="U87" s="345">
        <v>92.5</v>
      </c>
      <c r="V87" s="345">
        <v>491</v>
      </c>
      <c r="W87" s="345">
        <v>138.06</v>
      </c>
      <c r="X87" s="345">
        <v>90</v>
      </c>
      <c r="Y87" s="345">
        <v>0</v>
      </c>
      <c r="Z87" s="345">
        <v>1</v>
      </c>
      <c r="AA87" s="345">
        <v>10</v>
      </c>
      <c r="AB87" s="345">
        <v>8</v>
      </c>
      <c r="AC87" s="345">
        <v>5</v>
      </c>
      <c r="AD87" s="349">
        <v>2265</v>
      </c>
      <c r="AE87" s="349">
        <v>20</v>
      </c>
      <c r="AF87" s="349">
        <v>23</v>
      </c>
      <c r="AG87" s="349">
        <v>43</v>
      </c>
    </row>
    <row r="88" spans="1:33" x14ac:dyDescent="0.2">
      <c r="A88" s="344" t="s">
        <v>232</v>
      </c>
      <c r="B88" s="350" t="s">
        <v>233</v>
      </c>
      <c r="C88" s="345">
        <v>15915</v>
      </c>
      <c r="D88" s="345">
        <v>39</v>
      </c>
      <c r="E88" s="345">
        <v>758</v>
      </c>
      <c r="F88" s="345">
        <v>4215</v>
      </c>
      <c r="G88" s="345">
        <v>1010</v>
      </c>
      <c r="H88" s="345">
        <v>21937</v>
      </c>
      <c r="I88" s="345">
        <v>20927</v>
      </c>
      <c r="J88" s="345">
        <v>14</v>
      </c>
      <c r="K88" s="345">
        <v>99.67</v>
      </c>
      <c r="L88" s="347">
        <v>99.32</v>
      </c>
      <c r="M88" s="347">
        <v>3.34</v>
      </c>
      <c r="N88" s="347">
        <v>101.86</v>
      </c>
      <c r="O88" s="348">
        <v>14518</v>
      </c>
      <c r="P88" s="345">
        <v>90.97</v>
      </c>
      <c r="Q88" s="345">
        <v>85.99</v>
      </c>
      <c r="R88" s="345">
        <v>23.39</v>
      </c>
      <c r="S88" s="345">
        <v>113.79</v>
      </c>
      <c r="T88" s="345">
        <v>4430</v>
      </c>
      <c r="U88" s="345">
        <v>135.53</v>
      </c>
      <c r="V88" s="345">
        <v>1345</v>
      </c>
      <c r="W88" s="345">
        <v>162.91999999999999</v>
      </c>
      <c r="X88" s="345">
        <v>88</v>
      </c>
      <c r="Y88" s="345">
        <v>94</v>
      </c>
      <c r="Z88" s="345">
        <v>23</v>
      </c>
      <c r="AA88" s="345">
        <v>54</v>
      </c>
      <c r="AB88" s="345">
        <v>50</v>
      </c>
      <c r="AC88" s="345">
        <v>22</v>
      </c>
      <c r="AD88" s="345">
        <v>15845</v>
      </c>
      <c r="AE88" s="345">
        <v>39</v>
      </c>
      <c r="AF88" s="345">
        <v>37</v>
      </c>
      <c r="AG88" s="345">
        <v>76</v>
      </c>
    </row>
    <row r="89" spans="1:33" x14ac:dyDescent="0.2">
      <c r="A89" s="344" t="s">
        <v>234</v>
      </c>
      <c r="B89" s="350" t="s">
        <v>235</v>
      </c>
      <c r="C89" s="346">
        <v>2083</v>
      </c>
      <c r="D89" s="346">
        <v>0</v>
      </c>
      <c r="E89" s="346">
        <v>122</v>
      </c>
      <c r="F89" s="346">
        <v>458</v>
      </c>
      <c r="G89" s="346">
        <v>224</v>
      </c>
      <c r="H89" s="346">
        <v>2887</v>
      </c>
      <c r="I89" s="345">
        <v>2663</v>
      </c>
      <c r="J89" s="345">
        <v>0</v>
      </c>
      <c r="K89" s="347">
        <v>90.32</v>
      </c>
      <c r="L89" s="347">
        <v>88.81</v>
      </c>
      <c r="M89" s="347">
        <v>6.65</v>
      </c>
      <c r="N89" s="347">
        <v>95.58</v>
      </c>
      <c r="O89" s="348">
        <v>1785</v>
      </c>
      <c r="P89" s="345">
        <v>104.71</v>
      </c>
      <c r="Q89" s="345">
        <v>90.25</v>
      </c>
      <c r="R89" s="345">
        <v>40.43</v>
      </c>
      <c r="S89" s="345">
        <v>144.12</v>
      </c>
      <c r="T89" s="345">
        <v>556</v>
      </c>
      <c r="U89" s="345">
        <v>119.22</v>
      </c>
      <c r="V89" s="345">
        <v>215</v>
      </c>
      <c r="W89" s="345">
        <v>0</v>
      </c>
      <c r="X89" s="345">
        <v>0</v>
      </c>
      <c r="Y89" s="345">
        <v>6</v>
      </c>
      <c r="Z89" s="345">
        <v>3</v>
      </c>
      <c r="AA89" s="345">
        <v>1</v>
      </c>
      <c r="AB89" s="345">
        <v>29</v>
      </c>
      <c r="AC89" s="345">
        <v>5</v>
      </c>
      <c r="AD89" s="349">
        <v>2031</v>
      </c>
      <c r="AE89" s="349">
        <v>9</v>
      </c>
      <c r="AF89" s="349">
        <v>8</v>
      </c>
      <c r="AG89" s="349">
        <v>17</v>
      </c>
    </row>
    <row r="90" spans="1:33" x14ac:dyDescent="0.2">
      <c r="A90" s="344" t="s">
        <v>236</v>
      </c>
      <c r="B90" s="350" t="s">
        <v>237</v>
      </c>
      <c r="C90" s="346">
        <v>3593</v>
      </c>
      <c r="D90" s="346">
        <v>0</v>
      </c>
      <c r="E90" s="346">
        <v>436</v>
      </c>
      <c r="F90" s="346">
        <v>820</v>
      </c>
      <c r="G90" s="346">
        <v>697</v>
      </c>
      <c r="H90" s="346">
        <v>5546</v>
      </c>
      <c r="I90" s="345">
        <v>4849</v>
      </c>
      <c r="J90" s="345">
        <v>1</v>
      </c>
      <c r="K90" s="347">
        <v>94.05</v>
      </c>
      <c r="L90" s="347">
        <v>88.36</v>
      </c>
      <c r="M90" s="347">
        <v>6.48</v>
      </c>
      <c r="N90" s="347">
        <v>99.38</v>
      </c>
      <c r="O90" s="348">
        <v>3244</v>
      </c>
      <c r="P90" s="345">
        <v>96.75</v>
      </c>
      <c r="Q90" s="345">
        <v>91.24</v>
      </c>
      <c r="R90" s="345">
        <v>47.44</v>
      </c>
      <c r="S90" s="345">
        <v>142.41999999999999</v>
      </c>
      <c r="T90" s="345">
        <v>857</v>
      </c>
      <c r="U90" s="345">
        <v>110.3</v>
      </c>
      <c r="V90" s="345">
        <v>275</v>
      </c>
      <c r="W90" s="345">
        <v>191.23</v>
      </c>
      <c r="X90" s="345">
        <v>158</v>
      </c>
      <c r="Y90" s="345">
        <v>0</v>
      </c>
      <c r="Z90" s="345">
        <v>4</v>
      </c>
      <c r="AA90" s="345">
        <v>18</v>
      </c>
      <c r="AB90" s="345">
        <v>0</v>
      </c>
      <c r="AC90" s="345">
        <v>15</v>
      </c>
      <c r="AD90" s="349">
        <v>3593</v>
      </c>
      <c r="AE90" s="349">
        <v>14</v>
      </c>
      <c r="AF90" s="349">
        <v>21</v>
      </c>
      <c r="AG90" s="349">
        <v>35</v>
      </c>
    </row>
    <row r="91" spans="1:33" x14ac:dyDescent="0.2">
      <c r="A91" s="344" t="s">
        <v>238</v>
      </c>
      <c r="B91" s="350" t="s">
        <v>239</v>
      </c>
      <c r="C91" s="346">
        <v>9625</v>
      </c>
      <c r="D91" s="346">
        <v>334</v>
      </c>
      <c r="E91" s="346">
        <v>905</v>
      </c>
      <c r="F91" s="346">
        <v>787</v>
      </c>
      <c r="G91" s="346">
        <v>2119</v>
      </c>
      <c r="H91" s="346">
        <v>13770</v>
      </c>
      <c r="I91" s="345">
        <v>11651</v>
      </c>
      <c r="J91" s="345">
        <v>139</v>
      </c>
      <c r="K91" s="347">
        <v>135.72999999999999</v>
      </c>
      <c r="L91" s="347">
        <v>128.13999999999999</v>
      </c>
      <c r="M91" s="347">
        <v>10.27</v>
      </c>
      <c r="N91" s="347">
        <v>142.81</v>
      </c>
      <c r="O91" s="348">
        <v>8586</v>
      </c>
      <c r="P91" s="345">
        <v>121.4</v>
      </c>
      <c r="Q91" s="345">
        <v>115.93</v>
      </c>
      <c r="R91" s="345">
        <v>44.33</v>
      </c>
      <c r="S91" s="345">
        <v>160.6</v>
      </c>
      <c r="T91" s="345">
        <v>1107</v>
      </c>
      <c r="U91" s="345">
        <v>191.56</v>
      </c>
      <c r="V91" s="345">
        <v>841</v>
      </c>
      <c r="W91" s="345">
        <v>190.8</v>
      </c>
      <c r="X91" s="345">
        <v>42</v>
      </c>
      <c r="Y91" s="345">
        <v>3</v>
      </c>
      <c r="Z91" s="345">
        <v>3</v>
      </c>
      <c r="AA91" s="345">
        <v>2</v>
      </c>
      <c r="AB91" s="345">
        <v>109</v>
      </c>
      <c r="AC91" s="345">
        <v>52</v>
      </c>
      <c r="AD91" s="349">
        <v>9257</v>
      </c>
      <c r="AE91" s="349">
        <v>16</v>
      </c>
      <c r="AF91" s="349">
        <v>24</v>
      </c>
      <c r="AG91" s="349">
        <v>40</v>
      </c>
    </row>
    <row r="92" spans="1:33" x14ac:dyDescent="0.2">
      <c r="A92" s="344" t="s">
        <v>240</v>
      </c>
      <c r="B92" s="350" t="s">
        <v>241</v>
      </c>
      <c r="C92" s="346">
        <v>4065</v>
      </c>
      <c r="D92" s="346">
        <v>5</v>
      </c>
      <c r="E92" s="346">
        <v>110</v>
      </c>
      <c r="F92" s="346">
        <v>1029</v>
      </c>
      <c r="G92" s="346">
        <v>395</v>
      </c>
      <c r="H92" s="346">
        <v>5604</v>
      </c>
      <c r="I92" s="345">
        <v>5209</v>
      </c>
      <c r="J92" s="345">
        <v>1</v>
      </c>
      <c r="K92" s="347">
        <v>102.35</v>
      </c>
      <c r="L92" s="347">
        <v>102.29</v>
      </c>
      <c r="M92" s="347">
        <v>2.71</v>
      </c>
      <c r="N92" s="347">
        <v>103.35</v>
      </c>
      <c r="O92" s="348">
        <v>3669</v>
      </c>
      <c r="P92" s="345">
        <v>95.25</v>
      </c>
      <c r="Q92" s="345">
        <v>95.6</v>
      </c>
      <c r="R92" s="345">
        <v>23.14</v>
      </c>
      <c r="S92" s="345">
        <v>118.33</v>
      </c>
      <c r="T92" s="345">
        <v>1128</v>
      </c>
      <c r="U92" s="345">
        <v>126.02</v>
      </c>
      <c r="V92" s="345">
        <v>353</v>
      </c>
      <c r="W92" s="345">
        <v>0</v>
      </c>
      <c r="X92" s="345">
        <v>0</v>
      </c>
      <c r="Y92" s="345">
        <v>0</v>
      </c>
      <c r="Z92" s="345">
        <v>1</v>
      </c>
      <c r="AA92" s="345">
        <v>1</v>
      </c>
      <c r="AB92" s="345">
        <v>7</v>
      </c>
      <c r="AC92" s="345">
        <v>7</v>
      </c>
      <c r="AD92" s="349">
        <v>4057</v>
      </c>
      <c r="AE92" s="349">
        <v>4</v>
      </c>
      <c r="AF92" s="349">
        <v>20</v>
      </c>
      <c r="AG92" s="349">
        <v>24</v>
      </c>
    </row>
    <row r="93" spans="1:33" x14ac:dyDescent="0.2">
      <c r="A93" s="344" t="s">
        <v>242</v>
      </c>
      <c r="B93" s="350" t="s">
        <v>243</v>
      </c>
      <c r="C93" s="346">
        <v>2116</v>
      </c>
      <c r="D93" s="346">
        <v>1</v>
      </c>
      <c r="E93" s="346">
        <v>156</v>
      </c>
      <c r="F93" s="346">
        <v>168</v>
      </c>
      <c r="G93" s="346">
        <v>504</v>
      </c>
      <c r="H93" s="346">
        <v>2945</v>
      </c>
      <c r="I93" s="345">
        <v>2441</v>
      </c>
      <c r="J93" s="345">
        <v>1</v>
      </c>
      <c r="K93" s="347">
        <v>94.45</v>
      </c>
      <c r="L93" s="347">
        <v>91.78</v>
      </c>
      <c r="M93" s="347">
        <v>3.14</v>
      </c>
      <c r="N93" s="347">
        <v>96.83</v>
      </c>
      <c r="O93" s="348">
        <v>1432</v>
      </c>
      <c r="P93" s="345">
        <v>104.82</v>
      </c>
      <c r="Q93" s="345">
        <v>79.03</v>
      </c>
      <c r="R93" s="345">
        <v>60.19</v>
      </c>
      <c r="S93" s="345">
        <v>160.61000000000001</v>
      </c>
      <c r="T93" s="345">
        <v>246</v>
      </c>
      <c r="U93" s="345">
        <v>129.04</v>
      </c>
      <c r="V93" s="345">
        <v>492</v>
      </c>
      <c r="W93" s="345">
        <v>0</v>
      </c>
      <c r="X93" s="345">
        <v>0</v>
      </c>
      <c r="Y93" s="345">
        <v>0</v>
      </c>
      <c r="Z93" s="345">
        <v>1</v>
      </c>
      <c r="AA93" s="345">
        <v>1</v>
      </c>
      <c r="AB93" s="345">
        <v>32</v>
      </c>
      <c r="AC93" s="345">
        <v>8</v>
      </c>
      <c r="AD93" s="349">
        <v>2057</v>
      </c>
      <c r="AE93" s="349">
        <v>3</v>
      </c>
      <c r="AF93" s="349">
        <v>13</v>
      </c>
      <c r="AG93" s="349">
        <v>16</v>
      </c>
    </row>
    <row r="94" spans="1:33" x14ac:dyDescent="0.2">
      <c r="A94" s="344" t="s">
        <v>244</v>
      </c>
      <c r="B94" s="350" t="s">
        <v>245</v>
      </c>
      <c r="C94" s="346">
        <v>5432</v>
      </c>
      <c r="D94" s="346">
        <v>10</v>
      </c>
      <c r="E94" s="346">
        <v>106</v>
      </c>
      <c r="F94" s="346">
        <v>785</v>
      </c>
      <c r="G94" s="346">
        <v>503</v>
      </c>
      <c r="H94" s="346">
        <v>6836</v>
      </c>
      <c r="I94" s="345">
        <v>6333</v>
      </c>
      <c r="J94" s="345">
        <v>0</v>
      </c>
      <c r="K94" s="347">
        <v>115.82</v>
      </c>
      <c r="L94" s="347">
        <v>114.02</v>
      </c>
      <c r="M94" s="347">
        <v>4.51</v>
      </c>
      <c r="N94" s="347">
        <v>117.27</v>
      </c>
      <c r="O94" s="348">
        <v>4228</v>
      </c>
      <c r="P94" s="345">
        <v>96.17</v>
      </c>
      <c r="Q94" s="345">
        <v>94.91</v>
      </c>
      <c r="R94" s="345">
        <v>14.54</v>
      </c>
      <c r="S94" s="345">
        <v>110.28</v>
      </c>
      <c r="T94" s="345">
        <v>887</v>
      </c>
      <c r="U94" s="345">
        <v>148.08000000000001</v>
      </c>
      <c r="V94" s="345">
        <v>795</v>
      </c>
      <c r="W94" s="345">
        <v>0</v>
      </c>
      <c r="X94" s="345">
        <v>0</v>
      </c>
      <c r="Y94" s="345">
        <v>23</v>
      </c>
      <c r="Z94" s="345">
        <v>3</v>
      </c>
      <c r="AA94" s="345">
        <v>0</v>
      </c>
      <c r="AB94" s="345">
        <v>63</v>
      </c>
      <c r="AC94" s="345">
        <v>42</v>
      </c>
      <c r="AD94" s="349">
        <v>5127</v>
      </c>
      <c r="AE94" s="349">
        <v>26</v>
      </c>
      <c r="AF94" s="349">
        <v>8</v>
      </c>
      <c r="AG94" s="349">
        <v>34</v>
      </c>
    </row>
    <row r="95" spans="1:33" x14ac:dyDescent="0.2">
      <c r="A95" s="344" t="s">
        <v>246</v>
      </c>
      <c r="B95" s="350" t="s">
        <v>247</v>
      </c>
      <c r="C95" s="346">
        <v>6745</v>
      </c>
      <c r="D95" s="346">
        <v>6</v>
      </c>
      <c r="E95" s="346">
        <v>196</v>
      </c>
      <c r="F95" s="346">
        <v>1053</v>
      </c>
      <c r="G95" s="346">
        <v>601</v>
      </c>
      <c r="H95" s="346">
        <v>8601</v>
      </c>
      <c r="I95" s="345">
        <v>8000</v>
      </c>
      <c r="J95" s="345">
        <v>1</v>
      </c>
      <c r="K95" s="347">
        <v>117.64</v>
      </c>
      <c r="L95" s="347">
        <v>119.97</v>
      </c>
      <c r="M95" s="347">
        <v>5.73</v>
      </c>
      <c r="N95" s="347">
        <v>119.03</v>
      </c>
      <c r="O95" s="348">
        <v>5120</v>
      </c>
      <c r="P95" s="345">
        <v>105.26</v>
      </c>
      <c r="Q95" s="345">
        <v>106.15</v>
      </c>
      <c r="R95" s="345">
        <v>28.22</v>
      </c>
      <c r="S95" s="345">
        <v>121.04</v>
      </c>
      <c r="T95" s="345">
        <v>1211</v>
      </c>
      <c r="U95" s="345">
        <v>159.01</v>
      </c>
      <c r="V95" s="345">
        <v>1514</v>
      </c>
      <c r="W95" s="345">
        <v>0</v>
      </c>
      <c r="X95" s="345">
        <v>0</v>
      </c>
      <c r="Y95" s="345">
        <v>1</v>
      </c>
      <c r="Z95" s="345">
        <v>3</v>
      </c>
      <c r="AA95" s="345">
        <v>1</v>
      </c>
      <c r="AB95" s="345">
        <v>24</v>
      </c>
      <c r="AC95" s="345">
        <v>12</v>
      </c>
      <c r="AD95" s="349">
        <v>6745</v>
      </c>
      <c r="AE95" s="349">
        <v>18</v>
      </c>
      <c r="AF95" s="349">
        <v>28</v>
      </c>
      <c r="AG95" s="349">
        <v>46</v>
      </c>
    </row>
    <row r="96" spans="1:33" x14ac:dyDescent="0.2">
      <c r="A96" s="344" t="s">
        <v>248</v>
      </c>
      <c r="B96" s="350" t="s">
        <v>249</v>
      </c>
      <c r="C96" s="346">
        <v>6721</v>
      </c>
      <c r="D96" s="346">
        <v>11</v>
      </c>
      <c r="E96" s="346">
        <v>206</v>
      </c>
      <c r="F96" s="346">
        <v>596</v>
      </c>
      <c r="G96" s="346">
        <v>521</v>
      </c>
      <c r="H96" s="346">
        <v>8055</v>
      </c>
      <c r="I96" s="345">
        <v>7534</v>
      </c>
      <c r="J96" s="345">
        <v>0</v>
      </c>
      <c r="K96" s="347">
        <v>83.31</v>
      </c>
      <c r="L96" s="347">
        <v>83.42</v>
      </c>
      <c r="M96" s="347">
        <v>2.84</v>
      </c>
      <c r="N96" s="347">
        <v>85.63</v>
      </c>
      <c r="O96" s="348">
        <v>5208</v>
      </c>
      <c r="P96" s="345">
        <v>80.86</v>
      </c>
      <c r="Q96" s="345">
        <v>78.2</v>
      </c>
      <c r="R96" s="345">
        <v>30.08</v>
      </c>
      <c r="S96" s="345">
        <v>109.55</v>
      </c>
      <c r="T96" s="345">
        <v>737</v>
      </c>
      <c r="U96" s="345">
        <v>92.82</v>
      </c>
      <c r="V96" s="345">
        <v>1325</v>
      </c>
      <c r="W96" s="345">
        <v>127.14</v>
      </c>
      <c r="X96" s="345">
        <v>59</v>
      </c>
      <c r="Y96" s="345">
        <v>0</v>
      </c>
      <c r="Z96" s="345">
        <v>13</v>
      </c>
      <c r="AA96" s="345">
        <v>7</v>
      </c>
      <c r="AB96" s="345">
        <v>38</v>
      </c>
      <c r="AC96" s="345">
        <v>8</v>
      </c>
      <c r="AD96" s="349">
        <v>6586</v>
      </c>
      <c r="AE96" s="349">
        <v>24</v>
      </c>
      <c r="AF96" s="349">
        <v>8</v>
      </c>
      <c r="AG96" s="349">
        <v>32</v>
      </c>
    </row>
    <row r="97" spans="1:33" x14ac:dyDescent="0.2">
      <c r="A97" s="344" t="s">
        <v>250</v>
      </c>
      <c r="B97" s="350" t="s">
        <v>251</v>
      </c>
      <c r="C97" s="346">
        <v>1962</v>
      </c>
      <c r="D97" s="346">
        <v>0</v>
      </c>
      <c r="E97" s="346">
        <v>250</v>
      </c>
      <c r="F97" s="346">
        <v>634</v>
      </c>
      <c r="G97" s="346">
        <v>158</v>
      </c>
      <c r="H97" s="346">
        <v>3004</v>
      </c>
      <c r="I97" s="345">
        <v>2846</v>
      </c>
      <c r="J97" s="345">
        <v>0</v>
      </c>
      <c r="K97" s="347">
        <v>90.71</v>
      </c>
      <c r="L97" s="347">
        <v>87.32</v>
      </c>
      <c r="M97" s="347">
        <v>4.83</v>
      </c>
      <c r="N97" s="347">
        <v>93.55</v>
      </c>
      <c r="O97" s="348">
        <v>1414</v>
      </c>
      <c r="P97" s="345">
        <v>88.32</v>
      </c>
      <c r="Q97" s="345">
        <v>81.56</v>
      </c>
      <c r="R97" s="345">
        <v>41.65</v>
      </c>
      <c r="S97" s="345">
        <v>129.63999999999999</v>
      </c>
      <c r="T97" s="345">
        <v>758</v>
      </c>
      <c r="U97" s="345">
        <v>101.49</v>
      </c>
      <c r="V97" s="345">
        <v>243</v>
      </c>
      <c r="W97" s="345">
        <v>113.68</v>
      </c>
      <c r="X97" s="345">
        <v>33</v>
      </c>
      <c r="Y97" s="345">
        <v>0</v>
      </c>
      <c r="Z97" s="345">
        <v>0</v>
      </c>
      <c r="AA97" s="345">
        <v>2</v>
      </c>
      <c r="AB97" s="345">
        <v>1</v>
      </c>
      <c r="AC97" s="345">
        <v>3</v>
      </c>
      <c r="AD97" s="349">
        <v>1801</v>
      </c>
      <c r="AE97" s="349">
        <v>10</v>
      </c>
      <c r="AF97" s="349">
        <v>4</v>
      </c>
      <c r="AG97" s="349">
        <v>14</v>
      </c>
    </row>
    <row r="98" spans="1:33" x14ac:dyDescent="0.2">
      <c r="A98" s="344" t="s">
        <v>252</v>
      </c>
      <c r="B98" s="350" t="s">
        <v>253</v>
      </c>
      <c r="C98" s="346">
        <v>6066</v>
      </c>
      <c r="D98" s="346">
        <v>4</v>
      </c>
      <c r="E98" s="346">
        <v>140</v>
      </c>
      <c r="F98" s="346">
        <v>465</v>
      </c>
      <c r="G98" s="346">
        <v>192</v>
      </c>
      <c r="H98" s="346">
        <v>6867</v>
      </c>
      <c r="I98" s="345">
        <v>6675</v>
      </c>
      <c r="J98" s="345">
        <v>4</v>
      </c>
      <c r="K98" s="347">
        <v>82.07</v>
      </c>
      <c r="L98" s="347">
        <v>78.900000000000006</v>
      </c>
      <c r="M98" s="347">
        <v>7.2</v>
      </c>
      <c r="N98" s="347">
        <v>84.91</v>
      </c>
      <c r="O98" s="348">
        <v>4968</v>
      </c>
      <c r="P98" s="345">
        <v>79.739999999999995</v>
      </c>
      <c r="Q98" s="345">
        <v>75.7</v>
      </c>
      <c r="R98" s="345">
        <v>42.77</v>
      </c>
      <c r="S98" s="345">
        <v>121.38</v>
      </c>
      <c r="T98" s="345">
        <v>605</v>
      </c>
      <c r="U98" s="345">
        <v>93.72</v>
      </c>
      <c r="V98" s="345">
        <v>1072</v>
      </c>
      <c r="W98" s="345">
        <v>0</v>
      </c>
      <c r="X98" s="345">
        <v>0</v>
      </c>
      <c r="Y98" s="345">
        <v>0</v>
      </c>
      <c r="Z98" s="345">
        <v>22</v>
      </c>
      <c r="AA98" s="345">
        <v>11</v>
      </c>
      <c r="AB98" s="345">
        <v>8</v>
      </c>
      <c r="AC98" s="345">
        <v>2</v>
      </c>
      <c r="AD98" s="349">
        <v>6066</v>
      </c>
      <c r="AE98" s="349">
        <v>49</v>
      </c>
      <c r="AF98" s="349">
        <v>13</v>
      </c>
      <c r="AG98" s="349">
        <v>62</v>
      </c>
    </row>
    <row r="99" spans="1:33" x14ac:dyDescent="0.2">
      <c r="A99" s="344" t="s">
        <v>254</v>
      </c>
      <c r="B99" s="350" t="s">
        <v>255</v>
      </c>
      <c r="C99" s="345">
        <v>7989</v>
      </c>
      <c r="D99" s="345">
        <v>0</v>
      </c>
      <c r="E99" s="345">
        <v>443</v>
      </c>
      <c r="F99" s="345">
        <v>1431</v>
      </c>
      <c r="G99" s="345">
        <v>259</v>
      </c>
      <c r="H99" s="345">
        <v>10122</v>
      </c>
      <c r="I99" s="345">
        <v>9863</v>
      </c>
      <c r="J99" s="345">
        <v>0</v>
      </c>
      <c r="K99" s="345">
        <v>92.33</v>
      </c>
      <c r="L99" s="347">
        <v>92.42</v>
      </c>
      <c r="M99" s="347">
        <v>3.58</v>
      </c>
      <c r="N99" s="347">
        <v>93.78</v>
      </c>
      <c r="O99" s="348">
        <v>7051</v>
      </c>
      <c r="P99" s="345">
        <v>81.180000000000007</v>
      </c>
      <c r="Q99" s="345">
        <v>78.52</v>
      </c>
      <c r="R99" s="345">
        <v>33.58</v>
      </c>
      <c r="S99" s="345">
        <v>113.47</v>
      </c>
      <c r="T99" s="345">
        <v>1733</v>
      </c>
      <c r="U99" s="345">
        <v>102.89</v>
      </c>
      <c r="V99" s="345">
        <v>790</v>
      </c>
      <c r="W99" s="345">
        <v>159.4</v>
      </c>
      <c r="X99" s="345">
        <v>28</v>
      </c>
      <c r="Y99" s="345">
        <v>0</v>
      </c>
      <c r="Z99" s="345">
        <v>5</v>
      </c>
      <c r="AA99" s="345">
        <v>2</v>
      </c>
      <c r="AB99" s="345">
        <v>11</v>
      </c>
      <c r="AC99" s="345">
        <v>10</v>
      </c>
      <c r="AD99" s="345">
        <v>7972</v>
      </c>
      <c r="AE99" s="345">
        <v>46</v>
      </c>
      <c r="AF99" s="345">
        <v>10</v>
      </c>
      <c r="AG99" s="345">
        <v>56</v>
      </c>
    </row>
    <row r="100" spans="1:33" x14ac:dyDescent="0.2">
      <c r="A100" s="344" t="s">
        <v>256</v>
      </c>
      <c r="B100" s="350" t="s">
        <v>257</v>
      </c>
      <c r="C100" s="346">
        <v>1784</v>
      </c>
      <c r="D100" s="346">
        <v>12</v>
      </c>
      <c r="E100" s="346">
        <v>357</v>
      </c>
      <c r="F100" s="346">
        <v>489</v>
      </c>
      <c r="G100" s="346">
        <v>154</v>
      </c>
      <c r="H100" s="346">
        <v>2796</v>
      </c>
      <c r="I100" s="345">
        <v>2642</v>
      </c>
      <c r="J100" s="345">
        <v>19</v>
      </c>
      <c r="K100" s="347">
        <v>95</v>
      </c>
      <c r="L100" s="347">
        <v>91.13</v>
      </c>
      <c r="M100" s="347">
        <v>8.08</v>
      </c>
      <c r="N100" s="347">
        <v>101.9</v>
      </c>
      <c r="O100" s="348">
        <v>1553</v>
      </c>
      <c r="P100" s="345">
        <v>84.45</v>
      </c>
      <c r="Q100" s="345">
        <v>76.319999999999993</v>
      </c>
      <c r="R100" s="345">
        <v>43.83</v>
      </c>
      <c r="S100" s="345">
        <v>124.47</v>
      </c>
      <c r="T100" s="345">
        <v>680</v>
      </c>
      <c r="U100" s="345">
        <v>134.22999999999999</v>
      </c>
      <c r="V100" s="345">
        <v>221</v>
      </c>
      <c r="W100" s="345">
        <v>130.07</v>
      </c>
      <c r="X100" s="345">
        <v>18</v>
      </c>
      <c r="Y100" s="345">
        <v>0</v>
      </c>
      <c r="Z100" s="345">
        <v>1</v>
      </c>
      <c r="AA100" s="345">
        <v>0</v>
      </c>
      <c r="AB100" s="345">
        <v>11</v>
      </c>
      <c r="AC100" s="345">
        <v>4</v>
      </c>
      <c r="AD100" s="349">
        <v>1782</v>
      </c>
      <c r="AE100" s="349">
        <v>31</v>
      </c>
      <c r="AF100" s="349">
        <v>1</v>
      </c>
      <c r="AG100" s="349">
        <v>32</v>
      </c>
    </row>
    <row r="101" spans="1:33" x14ac:dyDescent="0.2">
      <c r="A101" s="344" t="s">
        <v>258</v>
      </c>
      <c r="B101" s="350" t="s">
        <v>259</v>
      </c>
      <c r="C101" s="346">
        <v>5569</v>
      </c>
      <c r="D101" s="346">
        <v>0</v>
      </c>
      <c r="E101" s="346">
        <v>166</v>
      </c>
      <c r="F101" s="346">
        <v>1166</v>
      </c>
      <c r="G101" s="346">
        <v>647</v>
      </c>
      <c r="H101" s="346">
        <v>7548</v>
      </c>
      <c r="I101" s="345">
        <v>6901</v>
      </c>
      <c r="J101" s="345">
        <v>0</v>
      </c>
      <c r="K101" s="347">
        <v>108.75</v>
      </c>
      <c r="L101" s="347">
        <v>107.91</v>
      </c>
      <c r="M101" s="347">
        <v>5.01</v>
      </c>
      <c r="N101" s="347">
        <v>111.35</v>
      </c>
      <c r="O101" s="348">
        <v>4376</v>
      </c>
      <c r="P101" s="345">
        <v>98.4</v>
      </c>
      <c r="Q101" s="345">
        <v>95.28</v>
      </c>
      <c r="R101" s="345">
        <v>25.5</v>
      </c>
      <c r="S101" s="345">
        <v>120.79</v>
      </c>
      <c r="T101" s="345">
        <v>1074</v>
      </c>
      <c r="U101" s="345">
        <v>148.01</v>
      </c>
      <c r="V101" s="345">
        <v>1055</v>
      </c>
      <c r="W101" s="345">
        <v>149.68</v>
      </c>
      <c r="X101" s="345">
        <v>195</v>
      </c>
      <c r="Y101" s="345">
        <v>7</v>
      </c>
      <c r="Z101" s="345">
        <v>3</v>
      </c>
      <c r="AA101" s="345">
        <v>1</v>
      </c>
      <c r="AB101" s="345">
        <v>54</v>
      </c>
      <c r="AC101" s="345">
        <v>34</v>
      </c>
      <c r="AD101" s="349">
        <v>5569</v>
      </c>
      <c r="AE101" s="349">
        <v>35</v>
      </c>
      <c r="AF101" s="349">
        <v>5</v>
      </c>
      <c r="AG101" s="349">
        <v>40</v>
      </c>
    </row>
    <row r="102" spans="1:33" x14ac:dyDescent="0.2">
      <c r="A102" s="344" t="s">
        <v>260</v>
      </c>
      <c r="B102" s="350" t="s">
        <v>261</v>
      </c>
      <c r="C102" s="346">
        <v>2166</v>
      </c>
      <c r="D102" s="346">
        <v>9</v>
      </c>
      <c r="E102" s="346">
        <v>163</v>
      </c>
      <c r="F102" s="346">
        <v>185</v>
      </c>
      <c r="G102" s="346">
        <v>187</v>
      </c>
      <c r="H102" s="346">
        <v>2710</v>
      </c>
      <c r="I102" s="345">
        <v>2523</v>
      </c>
      <c r="J102" s="345">
        <v>48</v>
      </c>
      <c r="K102" s="347">
        <v>96.09</v>
      </c>
      <c r="L102" s="347">
        <v>95.06</v>
      </c>
      <c r="M102" s="347">
        <v>4.79</v>
      </c>
      <c r="N102" s="347">
        <v>97.93</v>
      </c>
      <c r="O102" s="348">
        <v>1971</v>
      </c>
      <c r="P102" s="345">
        <v>84.91</v>
      </c>
      <c r="Q102" s="345">
        <v>80.61</v>
      </c>
      <c r="R102" s="345">
        <v>26.11</v>
      </c>
      <c r="S102" s="345">
        <v>108.95</v>
      </c>
      <c r="T102" s="345">
        <v>341</v>
      </c>
      <c r="U102" s="345">
        <v>109.48</v>
      </c>
      <c r="V102" s="345">
        <v>170</v>
      </c>
      <c r="W102" s="345">
        <v>0</v>
      </c>
      <c r="X102" s="345">
        <v>0</v>
      </c>
      <c r="Y102" s="345">
        <v>0</v>
      </c>
      <c r="Z102" s="345">
        <v>9</v>
      </c>
      <c r="AA102" s="345">
        <v>3</v>
      </c>
      <c r="AB102" s="345">
        <v>2</v>
      </c>
      <c r="AC102" s="345">
        <v>0</v>
      </c>
      <c r="AD102" s="349">
        <v>2128</v>
      </c>
      <c r="AE102" s="349">
        <v>24</v>
      </c>
      <c r="AF102" s="349">
        <v>6</v>
      </c>
      <c r="AG102" s="349">
        <v>30</v>
      </c>
    </row>
    <row r="103" spans="1:33" x14ac:dyDescent="0.2">
      <c r="A103" s="344" t="s">
        <v>262</v>
      </c>
      <c r="B103" s="350" t="s">
        <v>263</v>
      </c>
      <c r="C103" s="346">
        <v>4444</v>
      </c>
      <c r="D103" s="346">
        <v>5</v>
      </c>
      <c r="E103" s="346">
        <v>99</v>
      </c>
      <c r="F103" s="346">
        <v>951</v>
      </c>
      <c r="G103" s="346">
        <v>469</v>
      </c>
      <c r="H103" s="346">
        <v>5968</v>
      </c>
      <c r="I103" s="345">
        <v>5499</v>
      </c>
      <c r="J103" s="345">
        <v>0</v>
      </c>
      <c r="K103" s="347">
        <v>126.5</v>
      </c>
      <c r="L103" s="347">
        <v>129.62</v>
      </c>
      <c r="M103" s="347">
        <v>7.67</v>
      </c>
      <c r="N103" s="347">
        <v>130.32</v>
      </c>
      <c r="O103" s="348">
        <v>3723</v>
      </c>
      <c r="P103" s="345">
        <v>114.75</v>
      </c>
      <c r="Q103" s="345">
        <v>107.63</v>
      </c>
      <c r="R103" s="345">
        <v>19.7</v>
      </c>
      <c r="S103" s="345">
        <v>134.43</v>
      </c>
      <c r="T103" s="345">
        <v>800</v>
      </c>
      <c r="U103" s="345">
        <v>195.72</v>
      </c>
      <c r="V103" s="345">
        <v>489</v>
      </c>
      <c r="W103" s="345">
        <v>149.1</v>
      </c>
      <c r="X103" s="345">
        <v>19</v>
      </c>
      <c r="Y103" s="345">
        <v>0</v>
      </c>
      <c r="Z103" s="345">
        <v>2</v>
      </c>
      <c r="AA103" s="345">
        <v>2</v>
      </c>
      <c r="AB103" s="345">
        <v>31</v>
      </c>
      <c r="AC103" s="345">
        <v>16</v>
      </c>
      <c r="AD103" s="349">
        <v>4324</v>
      </c>
      <c r="AE103" s="349">
        <v>15</v>
      </c>
      <c r="AF103" s="349">
        <v>9</v>
      </c>
      <c r="AG103" s="349">
        <v>24</v>
      </c>
    </row>
    <row r="104" spans="1:33" x14ac:dyDescent="0.2">
      <c r="A104" s="344" t="s">
        <v>264</v>
      </c>
      <c r="B104" s="350" t="s">
        <v>265</v>
      </c>
      <c r="C104" s="346">
        <v>6896</v>
      </c>
      <c r="D104" s="346">
        <v>317</v>
      </c>
      <c r="E104" s="346">
        <v>658</v>
      </c>
      <c r="F104" s="346">
        <v>690</v>
      </c>
      <c r="G104" s="346">
        <v>1240</v>
      </c>
      <c r="H104" s="346">
        <v>9801</v>
      </c>
      <c r="I104" s="345">
        <v>8561</v>
      </c>
      <c r="J104" s="345">
        <v>85</v>
      </c>
      <c r="K104" s="347">
        <v>123.81</v>
      </c>
      <c r="L104" s="347">
        <v>120.96</v>
      </c>
      <c r="M104" s="347">
        <v>12.48</v>
      </c>
      <c r="N104" s="347">
        <v>132.26</v>
      </c>
      <c r="O104" s="348">
        <v>5852</v>
      </c>
      <c r="P104" s="345">
        <v>119.58</v>
      </c>
      <c r="Q104" s="345">
        <v>106.1</v>
      </c>
      <c r="R104" s="345">
        <v>63.84</v>
      </c>
      <c r="S104" s="345">
        <v>174.55</v>
      </c>
      <c r="T104" s="345">
        <v>1231</v>
      </c>
      <c r="U104" s="345">
        <v>192.15</v>
      </c>
      <c r="V104" s="345">
        <v>654</v>
      </c>
      <c r="W104" s="345">
        <v>0</v>
      </c>
      <c r="X104" s="345">
        <v>0</v>
      </c>
      <c r="Y104" s="345">
        <v>0</v>
      </c>
      <c r="Z104" s="345">
        <v>7</v>
      </c>
      <c r="AA104" s="345">
        <v>4</v>
      </c>
      <c r="AB104" s="345">
        <v>82</v>
      </c>
      <c r="AC104" s="345">
        <v>35</v>
      </c>
      <c r="AD104" s="349">
        <v>6505</v>
      </c>
      <c r="AE104" s="349">
        <v>19</v>
      </c>
      <c r="AF104" s="349">
        <v>9</v>
      </c>
      <c r="AG104" s="349">
        <v>28</v>
      </c>
    </row>
    <row r="105" spans="1:33" x14ac:dyDescent="0.2">
      <c r="A105" s="344" t="s">
        <v>266</v>
      </c>
      <c r="B105" s="350" t="s">
        <v>267</v>
      </c>
      <c r="C105" s="346">
        <v>1403</v>
      </c>
      <c r="D105" s="346">
        <v>0</v>
      </c>
      <c r="E105" s="346">
        <v>156</v>
      </c>
      <c r="F105" s="346">
        <v>228</v>
      </c>
      <c r="G105" s="346">
        <v>248</v>
      </c>
      <c r="H105" s="346">
        <v>2035</v>
      </c>
      <c r="I105" s="345">
        <v>1787</v>
      </c>
      <c r="J105" s="345">
        <v>0</v>
      </c>
      <c r="K105" s="347">
        <v>120.61</v>
      </c>
      <c r="L105" s="347">
        <v>118.48</v>
      </c>
      <c r="M105" s="347">
        <v>5.43</v>
      </c>
      <c r="N105" s="347">
        <v>125.36</v>
      </c>
      <c r="O105" s="348">
        <v>1223</v>
      </c>
      <c r="P105" s="345">
        <v>96.19</v>
      </c>
      <c r="Q105" s="345">
        <v>88.35</v>
      </c>
      <c r="R105" s="345">
        <v>51.04</v>
      </c>
      <c r="S105" s="345">
        <v>146.87</v>
      </c>
      <c r="T105" s="345">
        <v>286</v>
      </c>
      <c r="U105" s="345">
        <v>166.5</v>
      </c>
      <c r="V105" s="345">
        <v>163</v>
      </c>
      <c r="W105" s="345">
        <v>0</v>
      </c>
      <c r="X105" s="345">
        <v>0</v>
      </c>
      <c r="Y105" s="345">
        <v>0</v>
      </c>
      <c r="Z105" s="345">
        <v>0</v>
      </c>
      <c r="AA105" s="345">
        <v>0</v>
      </c>
      <c r="AB105" s="345">
        <v>4</v>
      </c>
      <c r="AC105" s="345">
        <v>4</v>
      </c>
      <c r="AD105" s="349">
        <v>1402</v>
      </c>
      <c r="AE105" s="349">
        <v>6</v>
      </c>
      <c r="AF105" s="349">
        <v>0</v>
      </c>
      <c r="AG105" s="349">
        <v>6</v>
      </c>
    </row>
    <row r="106" spans="1:33" x14ac:dyDescent="0.2">
      <c r="A106" s="344" t="s">
        <v>268</v>
      </c>
      <c r="B106" s="350" t="s">
        <v>269</v>
      </c>
      <c r="C106" s="346">
        <v>2093</v>
      </c>
      <c r="D106" s="346">
        <v>8</v>
      </c>
      <c r="E106" s="346">
        <v>144</v>
      </c>
      <c r="F106" s="346">
        <v>383</v>
      </c>
      <c r="G106" s="346">
        <v>341</v>
      </c>
      <c r="H106" s="346">
        <v>2969</v>
      </c>
      <c r="I106" s="345">
        <v>2628</v>
      </c>
      <c r="J106" s="345">
        <v>0</v>
      </c>
      <c r="K106" s="347">
        <v>122.14</v>
      </c>
      <c r="L106" s="347">
        <v>115.65</v>
      </c>
      <c r="M106" s="347">
        <v>8.93</v>
      </c>
      <c r="N106" s="347">
        <v>127.11</v>
      </c>
      <c r="O106" s="348">
        <v>1969</v>
      </c>
      <c r="P106" s="345">
        <v>102.71</v>
      </c>
      <c r="Q106" s="345">
        <v>96.19</v>
      </c>
      <c r="R106" s="345">
        <v>27.61</v>
      </c>
      <c r="S106" s="345">
        <v>129.72999999999999</v>
      </c>
      <c r="T106" s="345">
        <v>329</v>
      </c>
      <c r="U106" s="345">
        <v>187.88</v>
      </c>
      <c r="V106" s="345">
        <v>208</v>
      </c>
      <c r="W106" s="345">
        <v>208.83</v>
      </c>
      <c r="X106" s="345">
        <v>51</v>
      </c>
      <c r="Y106" s="345">
        <v>0</v>
      </c>
      <c r="Z106" s="345">
        <v>2</v>
      </c>
      <c r="AA106" s="345">
        <v>2</v>
      </c>
      <c r="AB106" s="345">
        <v>6</v>
      </c>
      <c r="AC106" s="345">
        <v>5</v>
      </c>
      <c r="AD106" s="349">
        <v>2093</v>
      </c>
      <c r="AE106" s="349">
        <v>4</v>
      </c>
      <c r="AF106" s="349">
        <v>2</v>
      </c>
      <c r="AG106" s="349">
        <v>6</v>
      </c>
    </row>
    <row r="107" spans="1:33" x14ac:dyDescent="0.2">
      <c r="A107" s="344" t="s">
        <v>270</v>
      </c>
      <c r="B107" s="350" t="s">
        <v>271</v>
      </c>
      <c r="C107" s="346">
        <v>4603</v>
      </c>
      <c r="D107" s="346">
        <v>0</v>
      </c>
      <c r="E107" s="346">
        <v>72</v>
      </c>
      <c r="F107" s="346">
        <v>1903</v>
      </c>
      <c r="G107" s="346">
        <v>172</v>
      </c>
      <c r="H107" s="346">
        <v>6750</v>
      </c>
      <c r="I107" s="345">
        <v>6578</v>
      </c>
      <c r="J107" s="345">
        <v>1</v>
      </c>
      <c r="K107" s="347">
        <v>88.69</v>
      </c>
      <c r="L107" s="347">
        <v>88.34</v>
      </c>
      <c r="M107" s="347">
        <v>3.11</v>
      </c>
      <c r="N107" s="347">
        <v>90.48</v>
      </c>
      <c r="O107" s="348">
        <v>4299</v>
      </c>
      <c r="P107" s="345">
        <v>79.7</v>
      </c>
      <c r="Q107" s="345">
        <v>79.150000000000006</v>
      </c>
      <c r="R107" s="345">
        <v>7.47</v>
      </c>
      <c r="S107" s="345">
        <v>86.7</v>
      </c>
      <c r="T107" s="345">
        <v>1972</v>
      </c>
      <c r="U107" s="345">
        <v>97.16</v>
      </c>
      <c r="V107" s="345">
        <v>265</v>
      </c>
      <c r="W107" s="345">
        <v>0</v>
      </c>
      <c r="X107" s="345">
        <v>0</v>
      </c>
      <c r="Y107" s="345">
        <v>4</v>
      </c>
      <c r="Z107" s="345">
        <v>30</v>
      </c>
      <c r="AA107" s="345">
        <v>3</v>
      </c>
      <c r="AB107" s="345">
        <v>0</v>
      </c>
      <c r="AC107" s="345">
        <v>3</v>
      </c>
      <c r="AD107" s="349">
        <v>4602</v>
      </c>
      <c r="AE107" s="349">
        <v>31</v>
      </c>
      <c r="AF107" s="349">
        <v>9</v>
      </c>
      <c r="AG107" s="349">
        <v>40</v>
      </c>
    </row>
    <row r="108" spans="1:33" x14ac:dyDescent="0.2">
      <c r="A108" s="344" t="s">
        <v>272</v>
      </c>
      <c r="B108" s="350" t="s">
        <v>273</v>
      </c>
      <c r="C108" s="346">
        <v>3598</v>
      </c>
      <c r="D108" s="346">
        <v>0</v>
      </c>
      <c r="E108" s="346">
        <v>575</v>
      </c>
      <c r="F108" s="346">
        <v>237</v>
      </c>
      <c r="G108" s="346">
        <v>452</v>
      </c>
      <c r="H108" s="346">
        <v>4862</v>
      </c>
      <c r="I108" s="345">
        <v>4410</v>
      </c>
      <c r="J108" s="345">
        <v>2</v>
      </c>
      <c r="K108" s="347">
        <v>88.56</v>
      </c>
      <c r="L108" s="347">
        <v>86.51</v>
      </c>
      <c r="M108" s="347">
        <v>7.2</v>
      </c>
      <c r="N108" s="347">
        <v>94.04</v>
      </c>
      <c r="O108" s="348">
        <v>3207</v>
      </c>
      <c r="P108" s="345">
        <v>95.15</v>
      </c>
      <c r="Q108" s="345">
        <v>67.83</v>
      </c>
      <c r="R108" s="345">
        <v>75.23</v>
      </c>
      <c r="S108" s="345">
        <v>161.69</v>
      </c>
      <c r="T108" s="345">
        <v>520</v>
      </c>
      <c r="U108" s="345">
        <v>122.87</v>
      </c>
      <c r="V108" s="345">
        <v>241</v>
      </c>
      <c r="W108" s="345">
        <v>0</v>
      </c>
      <c r="X108" s="345">
        <v>0</v>
      </c>
      <c r="Y108" s="345">
        <v>20</v>
      </c>
      <c r="Z108" s="345">
        <v>0</v>
      </c>
      <c r="AA108" s="345">
        <v>0</v>
      </c>
      <c r="AB108" s="345">
        <v>18</v>
      </c>
      <c r="AC108" s="345">
        <v>13</v>
      </c>
      <c r="AD108" s="349">
        <v>3433</v>
      </c>
      <c r="AE108" s="349">
        <v>17</v>
      </c>
      <c r="AF108" s="349">
        <v>50</v>
      </c>
      <c r="AG108" s="349">
        <v>67</v>
      </c>
    </row>
    <row r="109" spans="1:33" x14ac:dyDescent="0.2">
      <c r="A109" s="344" t="s">
        <v>274</v>
      </c>
      <c r="B109" s="350" t="s">
        <v>275</v>
      </c>
      <c r="C109" s="346">
        <v>1441</v>
      </c>
      <c r="D109" s="346">
        <v>0</v>
      </c>
      <c r="E109" s="346">
        <v>179</v>
      </c>
      <c r="F109" s="346">
        <v>182</v>
      </c>
      <c r="G109" s="346">
        <v>281</v>
      </c>
      <c r="H109" s="346">
        <v>2083</v>
      </c>
      <c r="I109" s="345">
        <v>1802</v>
      </c>
      <c r="J109" s="345">
        <v>7</v>
      </c>
      <c r="K109" s="347">
        <v>107.23</v>
      </c>
      <c r="L109" s="347">
        <v>106.34</v>
      </c>
      <c r="M109" s="347">
        <v>7.33</v>
      </c>
      <c r="N109" s="347">
        <v>112.56</v>
      </c>
      <c r="O109" s="348">
        <v>1037</v>
      </c>
      <c r="P109" s="345">
        <v>97.42</v>
      </c>
      <c r="Q109" s="345">
        <v>89.5</v>
      </c>
      <c r="R109" s="345">
        <v>38.31</v>
      </c>
      <c r="S109" s="345">
        <v>132.94</v>
      </c>
      <c r="T109" s="345">
        <v>248</v>
      </c>
      <c r="U109" s="345">
        <v>142.94</v>
      </c>
      <c r="V109" s="345">
        <v>300</v>
      </c>
      <c r="W109" s="345">
        <v>0</v>
      </c>
      <c r="X109" s="345">
        <v>0</v>
      </c>
      <c r="Y109" s="345">
        <v>13</v>
      </c>
      <c r="Z109" s="345">
        <v>1</v>
      </c>
      <c r="AA109" s="345">
        <v>0</v>
      </c>
      <c r="AB109" s="345">
        <v>16</v>
      </c>
      <c r="AC109" s="345">
        <v>3</v>
      </c>
      <c r="AD109" s="349">
        <v>1429</v>
      </c>
      <c r="AE109" s="349">
        <v>5</v>
      </c>
      <c r="AF109" s="349">
        <v>5</v>
      </c>
      <c r="AG109" s="349">
        <v>10</v>
      </c>
    </row>
    <row r="110" spans="1:33" x14ac:dyDescent="0.2">
      <c r="A110" s="344" t="s">
        <v>276</v>
      </c>
      <c r="B110" s="350" t="s">
        <v>277</v>
      </c>
      <c r="C110" s="346">
        <v>4749</v>
      </c>
      <c r="D110" s="346">
        <v>7</v>
      </c>
      <c r="E110" s="346">
        <v>218</v>
      </c>
      <c r="F110" s="346">
        <v>680</v>
      </c>
      <c r="G110" s="346">
        <v>158</v>
      </c>
      <c r="H110" s="346">
        <v>5812</v>
      </c>
      <c r="I110" s="345">
        <v>5654</v>
      </c>
      <c r="J110" s="345">
        <v>10</v>
      </c>
      <c r="K110" s="347">
        <v>92.79</v>
      </c>
      <c r="L110" s="347">
        <v>94.92</v>
      </c>
      <c r="M110" s="347">
        <v>4.33</v>
      </c>
      <c r="N110" s="347">
        <v>93.66</v>
      </c>
      <c r="O110" s="348">
        <v>4406</v>
      </c>
      <c r="P110" s="345">
        <v>88.71</v>
      </c>
      <c r="Q110" s="345">
        <v>88.94</v>
      </c>
      <c r="R110" s="345">
        <v>53.22</v>
      </c>
      <c r="S110" s="345">
        <v>115.35</v>
      </c>
      <c r="T110" s="345">
        <v>853</v>
      </c>
      <c r="U110" s="345">
        <v>108.24</v>
      </c>
      <c r="V110" s="345">
        <v>342</v>
      </c>
      <c r="W110" s="345">
        <v>0</v>
      </c>
      <c r="X110" s="345">
        <v>0</v>
      </c>
      <c r="Y110" s="345">
        <v>0</v>
      </c>
      <c r="Z110" s="345">
        <v>3</v>
      </c>
      <c r="AA110" s="345">
        <v>1</v>
      </c>
      <c r="AB110" s="345">
        <v>20</v>
      </c>
      <c r="AC110" s="345">
        <v>4</v>
      </c>
      <c r="AD110" s="349">
        <v>4746</v>
      </c>
      <c r="AE110" s="349">
        <v>3</v>
      </c>
      <c r="AF110" s="349">
        <v>1</v>
      </c>
      <c r="AG110" s="349">
        <v>4</v>
      </c>
    </row>
    <row r="111" spans="1:33" x14ac:dyDescent="0.2">
      <c r="A111" s="344" t="s">
        <v>278</v>
      </c>
      <c r="B111" s="350" t="s">
        <v>279</v>
      </c>
      <c r="C111" s="346">
        <v>1565</v>
      </c>
      <c r="D111" s="346">
        <v>2</v>
      </c>
      <c r="E111" s="346">
        <v>118</v>
      </c>
      <c r="F111" s="346">
        <v>300</v>
      </c>
      <c r="G111" s="346">
        <v>284</v>
      </c>
      <c r="H111" s="346">
        <v>2269</v>
      </c>
      <c r="I111" s="345">
        <v>1985</v>
      </c>
      <c r="J111" s="345">
        <v>4</v>
      </c>
      <c r="K111" s="347">
        <v>94.79</v>
      </c>
      <c r="L111" s="347">
        <v>92.89</v>
      </c>
      <c r="M111" s="347">
        <v>6.56</v>
      </c>
      <c r="N111" s="347">
        <v>99.75</v>
      </c>
      <c r="O111" s="348">
        <v>1219</v>
      </c>
      <c r="P111" s="345">
        <v>98.25</v>
      </c>
      <c r="Q111" s="345">
        <v>85.53</v>
      </c>
      <c r="R111" s="345">
        <v>42.86</v>
      </c>
      <c r="S111" s="345">
        <v>137.21</v>
      </c>
      <c r="T111" s="345">
        <v>384</v>
      </c>
      <c r="U111" s="345">
        <v>139.27000000000001</v>
      </c>
      <c r="V111" s="345">
        <v>168</v>
      </c>
      <c r="W111" s="345">
        <v>74.06</v>
      </c>
      <c r="X111" s="345">
        <v>7</v>
      </c>
      <c r="Y111" s="345">
        <v>0</v>
      </c>
      <c r="Z111" s="345">
        <v>3</v>
      </c>
      <c r="AA111" s="345">
        <v>19</v>
      </c>
      <c r="AB111" s="345">
        <v>29</v>
      </c>
      <c r="AC111" s="345">
        <v>1</v>
      </c>
      <c r="AD111" s="349">
        <v>1406</v>
      </c>
      <c r="AE111" s="349">
        <v>7</v>
      </c>
      <c r="AF111" s="349">
        <v>48</v>
      </c>
      <c r="AG111" s="349">
        <v>55</v>
      </c>
    </row>
    <row r="112" spans="1:33" x14ac:dyDescent="0.2">
      <c r="A112" s="344" t="s">
        <v>280</v>
      </c>
      <c r="B112" s="350" t="s">
        <v>281</v>
      </c>
      <c r="C112" s="346">
        <v>4186</v>
      </c>
      <c r="D112" s="346">
        <v>12</v>
      </c>
      <c r="E112" s="346">
        <v>81</v>
      </c>
      <c r="F112" s="346">
        <v>786</v>
      </c>
      <c r="G112" s="346">
        <v>205</v>
      </c>
      <c r="H112" s="346">
        <v>5270</v>
      </c>
      <c r="I112" s="345">
        <v>5065</v>
      </c>
      <c r="J112" s="345">
        <v>7</v>
      </c>
      <c r="K112" s="347">
        <v>94.33</v>
      </c>
      <c r="L112" s="347">
        <v>93.71</v>
      </c>
      <c r="M112" s="347">
        <v>1.9</v>
      </c>
      <c r="N112" s="347">
        <v>95.97</v>
      </c>
      <c r="O112" s="348">
        <v>3356</v>
      </c>
      <c r="P112" s="345">
        <v>90.26</v>
      </c>
      <c r="Q112" s="345">
        <v>87.71</v>
      </c>
      <c r="R112" s="345">
        <v>21.86</v>
      </c>
      <c r="S112" s="345">
        <v>111.52</v>
      </c>
      <c r="T112" s="345">
        <v>777</v>
      </c>
      <c r="U112" s="345">
        <v>108.57</v>
      </c>
      <c r="V112" s="345">
        <v>415</v>
      </c>
      <c r="W112" s="345">
        <v>200.24</v>
      </c>
      <c r="X112" s="345">
        <v>68</v>
      </c>
      <c r="Y112" s="345">
        <v>0</v>
      </c>
      <c r="Z112" s="345">
        <v>23</v>
      </c>
      <c r="AA112" s="345">
        <v>7</v>
      </c>
      <c r="AB112" s="345">
        <v>21</v>
      </c>
      <c r="AC112" s="345">
        <v>6</v>
      </c>
      <c r="AD112" s="349">
        <v>3758</v>
      </c>
      <c r="AE112" s="349">
        <v>5</v>
      </c>
      <c r="AF112" s="349">
        <v>17</v>
      </c>
      <c r="AG112" s="349">
        <v>22</v>
      </c>
    </row>
    <row r="113" spans="1:33" x14ac:dyDescent="0.2">
      <c r="A113" s="344" t="s">
        <v>282</v>
      </c>
      <c r="B113" s="350" t="s">
        <v>283</v>
      </c>
      <c r="C113" s="346">
        <v>2101</v>
      </c>
      <c r="D113" s="346">
        <v>0</v>
      </c>
      <c r="E113" s="346">
        <v>147</v>
      </c>
      <c r="F113" s="346">
        <v>541</v>
      </c>
      <c r="G113" s="346">
        <v>97</v>
      </c>
      <c r="H113" s="346">
        <v>2886</v>
      </c>
      <c r="I113" s="345">
        <v>2789</v>
      </c>
      <c r="J113" s="345">
        <v>0</v>
      </c>
      <c r="K113" s="347">
        <v>87.5</v>
      </c>
      <c r="L113" s="347">
        <v>86.91</v>
      </c>
      <c r="M113" s="347">
        <v>3.06</v>
      </c>
      <c r="N113" s="347">
        <v>90.27</v>
      </c>
      <c r="O113" s="348">
        <v>1749</v>
      </c>
      <c r="P113" s="345">
        <v>90.68</v>
      </c>
      <c r="Q113" s="345">
        <v>79.11</v>
      </c>
      <c r="R113" s="345">
        <v>23.08</v>
      </c>
      <c r="S113" s="345">
        <v>113.36</v>
      </c>
      <c r="T113" s="345">
        <v>639</v>
      </c>
      <c r="U113" s="345">
        <v>107.49</v>
      </c>
      <c r="V113" s="345">
        <v>341</v>
      </c>
      <c r="W113" s="345">
        <v>0</v>
      </c>
      <c r="X113" s="345">
        <v>0</v>
      </c>
      <c r="Y113" s="345">
        <v>0</v>
      </c>
      <c r="Z113" s="345">
        <v>7</v>
      </c>
      <c r="AA113" s="345">
        <v>1</v>
      </c>
      <c r="AB113" s="345">
        <v>12</v>
      </c>
      <c r="AC113" s="345">
        <v>8</v>
      </c>
      <c r="AD113" s="349">
        <v>2099</v>
      </c>
      <c r="AE113" s="349">
        <v>38</v>
      </c>
      <c r="AF113" s="349">
        <v>9</v>
      </c>
      <c r="AG113" s="349">
        <v>47</v>
      </c>
    </row>
    <row r="114" spans="1:33" x14ac:dyDescent="0.2">
      <c r="A114" s="344" t="s">
        <v>284</v>
      </c>
      <c r="B114" s="350" t="s">
        <v>285</v>
      </c>
      <c r="C114" s="346">
        <v>3934</v>
      </c>
      <c r="D114" s="346">
        <v>41</v>
      </c>
      <c r="E114" s="346">
        <v>271</v>
      </c>
      <c r="F114" s="346">
        <v>970</v>
      </c>
      <c r="G114" s="346">
        <v>181</v>
      </c>
      <c r="H114" s="346">
        <v>5397</v>
      </c>
      <c r="I114" s="345">
        <v>5216</v>
      </c>
      <c r="J114" s="345">
        <v>3</v>
      </c>
      <c r="K114" s="347">
        <v>79.14</v>
      </c>
      <c r="L114" s="347">
        <v>75.67</v>
      </c>
      <c r="M114" s="347">
        <v>7.21</v>
      </c>
      <c r="N114" s="347">
        <v>83.55</v>
      </c>
      <c r="O114" s="348">
        <v>2973</v>
      </c>
      <c r="P114" s="345">
        <v>88.3</v>
      </c>
      <c r="Q114" s="345">
        <v>79.5</v>
      </c>
      <c r="R114" s="345">
        <v>46.56</v>
      </c>
      <c r="S114" s="345">
        <v>132.26</v>
      </c>
      <c r="T114" s="345">
        <v>1039</v>
      </c>
      <c r="U114" s="345">
        <v>94.34</v>
      </c>
      <c r="V114" s="345">
        <v>987</v>
      </c>
      <c r="W114" s="345">
        <v>149.81</v>
      </c>
      <c r="X114" s="345">
        <v>186</v>
      </c>
      <c r="Y114" s="345">
        <v>0</v>
      </c>
      <c r="Z114" s="345">
        <v>1</v>
      </c>
      <c r="AA114" s="345">
        <v>5</v>
      </c>
      <c r="AB114" s="345">
        <v>12</v>
      </c>
      <c r="AC114" s="345">
        <v>3</v>
      </c>
      <c r="AD114" s="349">
        <v>3712</v>
      </c>
      <c r="AE114" s="349">
        <v>45</v>
      </c>
      <c r="AF114" s="349">
        <v>30</v>
      </c>
      <c r="AG114" s="349">
        <v>75</v>
      </c>
    </row>
    <row r="115" spans="1:33" x14ac:dyDescent="0.2">
      <c r="A115" s="344" t="s">
        <v>286</v>
      </c>
      <c r="B115" s="350" t="s">
        <v>287</v>
      </c>
      <c r="C115" s="346">
        <v>3729</v>
      </c>
      <c r="D115" s="346">
        <v>0</v>
      </c>
      <c r="E115" s="346">
        <v>182</v>
      </c>
      <c r="F115" s="346">
        <v>1175</v>
      </c>
      <c r="G115" s="346">
        <v>214</v>
      </c>
      <c r="H115" s="346">
        <v>5300</v>
      </c>
      <c r="I115" s="345">
        <v>5086</v>
      </c>
      <c r="J115" s="345">
        <v>0</v>
      </c>
      <c r="K115" s="347">
        <v>83.13</v>
      </c>
      <c r="L115" s="347">
        <v>81.72</v>
      </c>
      <c r="M115" s="347">
        <v>4.8499999999999996</v>
      </c>
      <c r="N115" s="347">
        <v>84.96</v>
      </c>
      <c r="O115" s="348">
        <v>3538</v>
      </c>
      <c r="P115" s="345">
        <v>83.97</v>
      </c>
      <c r="Q115" s="345">
        <v>74.02</v>
      </c>
      <c r="R115" s="345">
        <v>27.58</v>
      </c>
      <c r="S115" s="345">
        <v>111.17</v>
      </c>
      <c r="T115" s="345">
        <v>1335</v>
      </c>
      <c r="U115" s="345">
        <v>110.81</v>
      </c>
      <c r="V115" s="345">
        <v>172</v>
      </c>
      <c r="W115" s="345">
        <v>173.87</v>
      </c>
      <c r="X115" s="345">
        <v>15</v>
      </c>
      <c r="Y115" s="345">
        <v>0</v>
      </c>
      <c r="Z115" s="345">
        <v>35</v>
      </c>
      <c r="AA115" s="345">
        <v>3</v>
      </c>
      <c r="AB115" s="345">
        <v>0</v>
      </c>
      <c r="AC115" s="345">
        <v>8</v>
      </c>
      <c r="AD115" s="349">
        <v>3729</v>
      </c>
      <c r="AE115" s="349">
        <v>10</v>
      </c>
      <c r="AF115" s="349">
        <v>27</v>
      </c>
      <c r="AG115" s="349">
        <v>37</v>
      </c>
    </row>
    <row r="116" spans="1:33" x14ac:dyDescent="0.2">
      <c r="A116" s="344" t="s">
        <v>288</v>
      </c>
      <c r="B116" s="350" t="s">
        <v>289</v>
      </c>
      <c r="C116" s="346">
        <v>6532</v>
      </c>
      <c r="D116" s="346">
        <v>6</v>
      </c>
      <c r="E116" s="346">
        <v>586</v>
      </c>
      <c r="F116" s="346">
        <v>947</v>
      </c>
      <c r="G116" s="346">
        <v>491</v>
      </c>
      <c r="H116" s="346">
        <v>8562</v>
      </c>
      <c r="I116" s="345">
        <v>8071</v>
      </c>
      <c r="J116" s="345">
        <v>113</v>
      </c>
      <c r="K116" s="347">
        <v>86.8</v>
      </c>
      <c r="L116" s="347">
        <v>82.95</v>
      </c>
      <c r="M116" s="347">
        <v>6.75</v>
      </c>
      <c r="N116" s="347">
        <v>89.85</v>
      </c>
      <c r="O116" s="348">
        <v>6285</v>
      </c>
      <c r="P116" s="345">
        <v>98.38</v>
      </c>
      <c r="Q116" s="345">
        <v>81.99</v>
      </c>
      <c r="R116" s="345">
        <v>51.88</v>
      </c>
      <c r="S116" s="345">
        <v>149.36000000000001</v>
      </c>
      <c r="T116" s="345">
        <v>1281</v>
      </c>
      <c r="U116" s="345">
        <v>113.38</v>
      </c>
      <c r="V116" s="345">
        <v>172</v>
      </c>
      <c r="W116" s="345">
        <v>181.01</v>
      </c>
      <c r="X116" s="345">
        <v>31</v>
      </c>
      <c r="Y116" s="345">
        <v>8</v>
      </c>
      <c r="Z116" s="345">
        <v>46</v>
      </c>
      <c r="AA116" s="345">
        <v>22</v>
      </c>
      <c r="AB116" s="345">
        <v>17</v>
      </c>
      <c r="AC116" s="345">
        <v>17</v>
      </c>
      <c r="AD116" s="349">
        <v>6473</v>
      </c>
      <c r="AE116" s="349">
        <v>53</v>
      </c>
      <c r="AF116" s="349">
        <v>15</v>
      </c>
      <c r="AG116" s="349">
        <v>68</v>
      </c>
    </row>
    <row r="117" spans="1:33" x14ac:dyDescent="0.2">
      <c r="A117" s="344" t="s">
        <v>290</v>
      </c>
      <c r="B117" s="350" t="s">
        <v>291</v>
      </c>
      <c r="C117" s="346">
        <v>2468</v>
      </c>
      <c r="D117" s="346">
        <v>11</v>
      </c>
      <c r="E117" s="346">
        <v>69</v>
      </c>
      <c r="F117" s="346">
        <v>474</v>
      </c>
      <c r="G117" s="346">
        <v>342</v>
      </c>
      <c r="H117" s="346">
        <v>3364</v>
      </c>
      <c r="I117" s="345">
        <v>3022</v>
      </c>
      <c r="J117" s="345">
        <v>0</v>
      </c>
      <c r="K117" s="347">
        <v>98.69</v>
      </c>
      <c r="L117" s="347">
        <v>96.6</v>
      </c>
      <c r="M117" s="347">
        <v>8.6</v>
      </c>
      <c r="N117" s="347">
        <v>106.1</v>
      </c>
      <c r="O117" s="348">
        <v>2018</v>
      </c>
      <c r="P117" s="345">
        <v>97.4</v>
      </c>
      <c r="Q117" s="345">
        <v>90.44</v>
      </c>
      <c r="R117" s="345">
        <v>42</v>
      </c>
      <c r="S117" s="345">
        <v>136.80000000000001</v>
      </c>
      <c r="T117" s="345">
        <v>274</v>
      </c>
      <c r="U117" s="345">
        <v>127.38</v>
      </c>
      <c r="V117" s="345">
        <v>294</v>
      </c>
      <c r="W117" s="345">
        <v>107.67</v>
      </c>
      <c r="X117" s="345">
        <v>22</v>
      </c>
      <c r="Y117" s="345">
        <v>0</v>
      </c>
      <c r="Z117" s="345">
        <v>0</v>
      </c>
      <c r="AA117" s="345">
        <v>1</v>
      </c>
      <c r="AB117" s="345">
        <v>21</v>
      </c>
      <c r="AC117" s="345">
        <v>10</v>
      </c>
      <c r="AD117" s="349">
        <v>2435</v>
      </c>
      <c r="AE117" s="349">
        <v>18</v>
      </c>
      <c r="AF117" s="349">
        <v>3</v>
      </c>
      <c r="AG117" s="349">
        <v>21</v>
      </c>
    </row>
    <row r="118" spans="1:33" x14ac:dyDescent="0.2">
      <c r="A118" s="344" t="s">
        <v>292</v>
      </c>
      <c r="B118" s="350" t="s">
        <v>293</v>
      </c>
      <c r="C118" s="346">
        <v>1476</v>
      </c>
      <c r="D118" s="346">
        <v>0</v>
      </c>
      <c r="E118" s="346">
        <v>84</v>
      </c>
      <c r="F118" s="346">
        <v>179</v>
      </c>
      <c r="G118" s="346">
        <v>274</v>
      </c>
      <c r="H118" s="346">
        <v>2013</v>
      </c>
      <c r="I118" s="345">
        <v>1739</v>
      </c>
      <c r="J118" s="345">
        <v>3</v>
      </c>
      <c r="K118" s="347">
        <v>107.33</v>
      </c>
      <c r="L118" s="347">
        <v>103.03</v>
      </c>
      <c r="M118" s="347">
        <v>5.52</v>
      </c>
      <c r="N118" s="347">
        <v>111.53</v>
      </c>
      <c r="O118" s="348">
        <v>738</v>
      </c>
      <c r="P118" s="345">
        <v>93.51</v>
      </c>
      <c r="Q118" s="345">
        <v>89.84</v>
      </c>
      <c r="R118" s="345">
        <v>65.400000000000006</v>
      </c>
      <c r="S118" s="345">
        <v>158.05000000000001</v>
      </c>
      <c r="T118" s="345">
        <v>76</v>
      </c>
      <c r="U118" s="345">
        <v>141.29</v>
      </c>
      <c r="V118" s="345">
        <v>339</v>
      </c>
      <c r="W118" s="345">
        <v>169.13</v>
      </c>
      <c r="X118" s="345">
        <v>57</v>
      </c>
      <c r="Y118" s="345">
        <v>0</v>
      </c>
      <c r="Z118" s="345">
        <v>0</v>
      </c>
      <c r="AA118" s="345">
        <v>0</v>
      </c>
      <c r="AB118" s="345">
        <v>25</v>
      </c>
      <c r="AC118" s="345">
        <v>25</v>
      </c>
      <c r="AD118" s="349">
        <v>1077</v>
      </c>
      <c r="AE118" s="349">
        <v>4</v>
      </c>
      <c r="AF118" s="349">
        <v>4</v>
      </c>
      <c r="AG118" s="349">
        <v>8</v>
      </c>
    </row>
    <row r="119" spans="1:33" x14ac:dyDescent="0.2">
      <c r="A119" s="344" t="s">
        <v>294</v>
      </c>
      <c r="B119" s="350" t="s">
        <v>295</v>
      </c>
      <c r="C119" s="346">
        <v>1419</v>
      </c>
      <c r="D119" s="346">
        <v>0</v>
      </c>
      <c r="E119" s="346">
        <v>241</v>
      </c>
      <c r="F119" s="346">
        <v>140</v>
      </c>
      <c r="G119" s="346">
        <v>88</v>
      </c>
      <c r="H119" s="346">
        <v>1888</v>
      </c>
      <c r="I119" s="345">
        <v>1800</v>
      </c>
      <c r="J119" s="345">
        <v>7</v>
      </c>
      <c r="K119" s="347">
        <v>87.63</v>
      </c>
      <c r="L119" s="347">
        <v>87.04</v>
      </c>
      <c r="M119" s="347">
        <v>5.7</v>
      </c>
      <c r="N119" s="347">
        <v>90.99</v>
      </c>
      <c r="O119" s="348">
        <v>1244</v>
      </c>
      <c r="P119" s="345">
        <v>95.92</v>
      </c>
      <c r="Q119" s="345">
        <v>84.04</v>
      </c>
      <c r="R119" s="345">
        <v>53.75</v>
      </c>
      <c r="S119" s="345">
        <v>149.29</v>
      </c>
      <c r="T119" s="345">
        <v>280</v>
      </c>
      <c r="U119" s="345">
        <v>98.81</v>
      </c>
      <c r="V119" s="345">
        <v>159</v>
      </c>
      <c r="W119" s="345">
        <v>0</v>
      </c>
      <c r="X119" s="345">
        <v>0</v>
      </c>
      <c r="Y119" s="345">
        <v>2</v>
      </c>
      <c r="Z119" s="345">
        <v>0</v>
      </c>
      <c r="AA119" s="345">
        <v>2</v>
      </c>
      <c r="AB119" s="345">
        <v>0</v>
      </c>
      <c r="AC119" s="345">
        <v>3</v>
      </c>
      <c r="AD119" s="349">
        <v>1419</v>
      </c>
      <c r="AE119" s="349">
        <v>4</v>
      </c>
      <c r="AF119" s="349">
        <v>10</v>
      </c>
      <c r="AG119" s="349">
        <v>14</v>
      </c>
    </row>
    <row r="120" spans="1:33" x14ac:dyDescent="0.2">
      <c r="A120" s="344" t="s">
        <v>296</v>
      </c>
      <c r="B120" s="350" t="s">
        <v>297</v>
      </c>
      <c r="C120" s="346">
        <v>12823</v>
      </c>
      <c r="D120" s="346">
        <v>156</v>
      </c>
      <c r="E120" s="346">
        <v>457</v>
      </c>
      <c r="F120" s="346">
        <v>990</v>
      </c>
      <c r="G120" s="346">
        <v>2494</v>
      </c>
      <c r="H120" s="346">
        <v>16920</v>
      </c>
      <c r="I120" s="345">
        <v>14426</v>
      </c>
      <c r="J120" s="345">
        <v>166</v>
      </c>
      <c r="K120" s="347">
        <v>120.51</v>
      </c>
      <c r="L120" s="347">
        <v>119.03</v>
      </c>
      <c r="M120" s="347">
        <v>13.98</v>
      </c>
      <c r="N120" s="347">
        <v>131.12</v>
      </c>
      <c r="O120" s="348">
        <v>10105</v>
      </c>
      <c r="P120" s="345">
        <v>112.57</v>
      </c>
      <c r="Q120" s="345">
        <v>109.24</v>
      </c>
      <c r="R120" s="345">
        <v>54.18</v>
      </c>
      <c r="S120" s="345">
        <v>155.85</v>
      </c>
      <c r="T120" s="345">
        <v>1227</v>
      </c>
      <c r="U120" s="345">
        <v>171.14</v>
      </c>
      <c r="V120" s="345">
        <v>1088</v>
      </c>
      <c r="W120" s="345">
        <v>0</v>
      </c>
      <c r="X120" s="345">
        <v>0</v>
      </c>
      <c r="Y120" s="345">
        <v>0</v>
      </c>
      <c r="Z120" s="345">
        <v>27</v>
      </c>
      <c r="AA120" s="345">
        <v>32</v>
      </c>
      <c r="AB120" s="345">
        <v>179</v>
      </c>
      <c r="AC120" s="345">
        <v>18</v>
      </c>
      <c r="AD120" s="349">
        <v>11531</v>
      </c>
      <c r="AE120" s="349">
        <v>35</v>
      </c>
      <c r="AF120" s="349">
        <v>48</v>
      </c>
      <c r="AG120" s="349">
        <v>83</v>
      </c>
    </row>
    <row r="121" spans="1:33" x14ac:dyDescent="0.2">
      <c r="A121" s="344" t="s">
        <v>298</v>
      </c>
      <c r="B121" s="350" t="s">
        <v>299</v>
      </c>
      <c r="C121" s="346">
        <v>1739</v>
      </c>
      <c r="D121" s="346">
        <v>11</v>
      </c>
      <c r="E121" s="346">
        <v>295</v>
      </c>
      <c r="F121" s="346">
        <v>217</v>
      </c>
      <c r="G121" s="346">
        <v>399</v>
      </c>
      <c r="H121" s="346">
        <v>2661</v>
      </c>
      <c r="I121" s="345">
        <v>2262</v>
      </c>
      <c r="J121" s="345">
        <v>14</v>
      </c>
      <c r="K121" s="347">
        <v>125.36</v>
      </c>
      <c r="L121" s="347">
        <v>123.07</v>
      </c>
      <c r="M121" s="347">
        <v>7.89</v>
      </c>
      <c r="N121" s="347">
        <v>131.80000000000001</v>
      </c>
      <c r="O121" s="348">
        <v>1359</v>
      </c>
      <c r="P121" s="345">
        <v>113.51</v>
      </c>
      <c r="Q121" s="345">
        <v>88.58</v>
      </c>
      <c r="R121" s="345">
        <v>77.05</v>
      </c>
      <c r="S121" s="345">
        <v>184.96</v>
      </c>
      <c r="T121" s="345">
        <v>234</v>
      </c>
      <c r="U121" s="345">
        <v>163.96</v>
      </c>
      <c r="V121" s="345">
        <v>248</v>
      </c>
      <c r="W121" s="345">
        <v>137.69</v>
      </c>
      <c r="X121" s="345">
        <v>6</v>
      </c>
      <c r="Y121" s="345">
        <v>6</v>
      </c>
      <c r="Z121" s="345">
        <v>0</v>
      </c>
      <c r="AA121" s="345">
        <v>0</v>
      </c>
      <c r="AB121" s="345">
        <v>25</v>
      </c>
      <c r="AC121" s="345">
        <v>7</v>
      </c>
      <c r="AD121" s="349">
        <v>1589</v>
      </c>
      <c r="AE121" s="349">
        <v>2</v>
      </c>
      <c r="AF121" s="349">
        <v>0</v>
      </c>
      <c r="AG121" s="349">
        <v>2</v>
      </c>
    </row>
    <row r="122" spans="1:33" x14ac:dyDescent="0.2">
      <c r="A122" s="344" t="s">
        <v>300</v>
      </c>
      <c r="B122" s="350" t="s">
        <v>301</v>
      </c>
      <c r="C122" s="346">
        <v>20022</v>
      </c>
      <c r="D122" s="346">
        <v>511</v>
      </c>
      <c r="E122" s="346">
        <v>1589</v>
      </c>
      <c r="F122" s="346">
        <v>1632</v>
      </c>
      <c r="G122" s="346">
        <v>2549</v>
      </c>
      <c r="H122" s="346">
        <v>26303</v>
      </c>
      <c r="I122" s="345">
        <v>23754</v>
      </c>
      <c r="J122" s="345">
        <v>29</v>
      </c>
      <c r="K122" s="347">
        <v>123.22</v>
      </c>
      <c r="L122" s="347">
        <v>124.52</v>
      </c>
      <c r="M122" s="347">
        <v>13.24</v>
      </c>
      <c r="N122" s="347">
        <v>132.72</v>
      </c>
      <c r="O122" s="348">
        <v>17230</v>
      </c>
      <c r="P122" s="345">
        <v>114.12</v>
      </c>
      <c r="Q122" s="345">
        <v>111.2</v>
      </c>
      <c r="R122" s="345">
        <v>54.76</v>
      </c>
      <c r="S122" s="345">
        <v>163.59</v>
      </c>
      <c r="T122" s="345">
        <v>2887</v>
      </c>
      <c r="U122" s="345">
        <v>206.09</v>
      </c>
      <c r="V122" s="345">
        <v>1092</v>
      </c>
      <c r="W122" s="345">
        <v>243.08</v>
      </c>
      <c r="X122" s="345">
        <v>22</v>
      </c>
      <c r="Y122" s="345">
        <v>4</v>
      </c>
      <c r="Z122" s="345">
        <v>41</v>
      </c>
      <c r="AA122" s="345">
        <v>12</v>
      </c>
      <c r="AB122" s="345">
        <v>32</v>
      </c>
      <c r="AC122" s="345">
        <v>52</v>
      </c>
      <c r="AD122" s="349">
        <v>18424</v>
      </c>
      <c r="AE122" s="349">
        <v>44</v>
      </c>
      <c r="AF122" s="349">
        <v>54</v>
      </c>
      <c r="AG122" s="349">
        <v>98</v>
      </c>
    </row>
    <row r="123" spans="1:33" x14ac:dyDescent="0.2">
      <c r="A123" s="344" t="s">
        <v>302</v>
      </c>
      <c r="B123" s="350" t="s">
        <v>303</v>
      </c>
      <c r="C123" s="346">
        <v>13402</v>
      </c>
      <c r="D123" s="346">
        <v>2</v>
      </c>
      <c r="E123" s="346">
        <v>496</v>
      </c>
      <c r="F123" s="346">
        <v>510</v>
      </c>
      <c r="G123" s="346">
        <v>315</v>
      </c>
      <c r="H123" s="346">
        <v>14725</v>
      </c>
      <c r="I123" s="345">
        <v>14410</v>
      </c>
      <c r="J123" s="345">
        <v>2</v>
      </c>
      <c r="K123" s="347">
        <v>83.7</v>
      </c>
      <c r="L123" s="347">
        <v>83.3</v>
      </c>
      <c r="M123" s="347">
        <v>3.91</v>
      </c>
      <c r="N123" s="347">
        <v>87.44</v>
      </c>
      <c r="O123" s="348">
        <v>11419</v>
      </c>
      <c r="P123" s="345">
        <v>87.23</v>
      </c>
      <c r="Q123" s="345">
        <v>77.55</v>
      </c>
      <c r="R123" s="345">
        <v>32.08</v>
      </c>
      <c r="S123" s="345">
        <v>118.47</v>
      </c>
      <c r="T123" s="345">
        <v>874</v>
      </c>
      <c r="U123" s="345">
        <v>99.3</v>
      </c>
      <c r="V123" s="345">
        <v>1961</v>
      </c>
      <c r="W123" s="345">
        <v>145.04</v>
      </c>
      <c r="X123" s="345">
        <v>82</v>
      </c>
      <c r="Y123" s="345">
        <v>0</v>
      </c>
      <c r="Z123" s="345">
        <v>70</v>
      </c>
      <c r="AA123" s="345">
        <v>5</v>
      </c>
      <c r="AB123" s="345">
        <v>10</v>
      </c>
      <c r="AC123" s="345">
        <v>10</v>
      </c>
      <c r="AD123" s="349">
        <v>13402</v>
      </c>
      <c r="AE123" s="349">
        <v>96</v>
      </c>
      <c r="AF123" s="349">
        <v>60</v>
      </c>
      <c r="AG123" s="349">
        <v>156</v>
      </c>
    </row>
    <row r="124" spans="1:33" x14ac:dyDescent="0.2">
      <c r="A124" s="344" t="s">
        <v>304</v>
      </c>
      <c r="B124" s="350" t="s">
        <v>305</v>
      </c>
      <c r="C124" s="346">
        <v>5021</v>
      </c>
      <c r="D124" s="346">
        <v>5</v>
      </c>
      <c r="E124" s="346">
        <v>348</v>
      </c>
      <c r="F124" s="346">
        <v>123</v>
      </c>
      <c r="G124" s="346">
        <v>130</v>
      </c>
      <c r="H124" s="346">
        <v>5627</v>
      </c>
      <c r="I124" s="345">
        <v>5497</v>
      </c>
      <c r="J124" s="345">
        <v>143</v>
      </c>
      <c r="K124" s="347">
        <v>91.61</v>
      </c>
      <c r="L124" s="347">
        <v>92.78</v>
      </c>
      <c r="M124" s="347">
        <v>3.05</v>
      </c>
      <c r="N124" s="347">
        <v>94.28</v>
      </c>
      <c r="O124" s="348">
        <v>4740</v>
      </c>
      <c r="P124" s="345">
        <v>107.49</v>
      </c>
      <c r="Q124" s="345">
        <v>85.96</v>
      </c>
      <c r="R124" s="345">
        <v>118.18</v>
      </c>
      <c r="S124" s="345">
        <v>224.64</v>
      </c>
      <c r="T124" s="345">
        <v>341</v>
      </c>
      <c r="U124" s="345">
        <v>111.38</v>
      </c>
      <c r="V124" s="345">
        <v>137</v>
      </c>
      <c r="W124" s="345">
        <v>165.91</v>
      </c>
      <c r="X124" s="345">
        <v>102</v>
      </c>
      <c r="Y124" s="345">
        <v>0</v>
      </c>
      <c r="Z124" s="345">
        <v>24</v>
      </c>
      <c r="AA124" s="345">
        <v>0</v>
      </c>
      <c r="AB124" s="345">
        <v>16</v>
      </c>
      <c r="AC124" s="345">
        <v>1</v>
      </c>
      <c r="AD124" s="349">
        <v>5009</v>
      </c>
      <c r="AE124" s="349">
        <v>31</v>
      </c>
      <c r="AF124" s="349">
        <v>34</v>
      </c>
      <c r="AG124" s="349">
        <v>65</v>
      </c>
    </row>
    <row r="125" spans="1:33" x14ac:dyDescent="0.2">
      <c r="A125" s="344" t="s">
        <v>306</v>
      </c>
      <c r="B125" s="350" t="s">
        <v>307</v>
      </c>
      <c r="C125" s="346">
        <v>11705</v>
      </c>
      <c r="D125" s="346">
        <v>40</v>
      </c>
      <c r="E125" s="346">
        <v>978</v>
      </c>
      <c r="F125" s="346">
        <v>550</v>
      </c>
      <c r="G125" s="346">
        <v>1122</v>
      </c>
      <c r="H125" s="346">
        <v>14395</v>
      </c>
      <c r="I125" s="345">
        <v>13273</v>
      </c>
      <c r="J125" s="345">
        <v>156</v>
      </c>
      <c r="K125" s="347">
        <v>131.68</v>
      </c>
      <c r="L125" s="347">
        <v>134.63</v>
      </c>
      <c r="M125" s="347">
        <v>11.94</v>
      </c>
      <c r="N125" s="347">
        <v>137.61000000000001</v>
      </c>
      <c r="O125" s="348">
        <v>10136</v>
      </c>
      <c r="P125" s="345">
        <v>126.6</v>
      </c>
      <c r="Q125" s="345">
        <v>122.47</v>
      </c>
      <c r="R125" s="345">
        <v>59.79</v>
      </c>
      <c r="S125" s="345">
        <v>174</v>
      </c>
      <c r="T125" s="345">
        <v>1047</v>
      </c>
      <c r="U125" s="345">
        <v>203.41</v>
      </c>
      <c r="V125" s="345">
        <v>993</v>
      </c>
      <c r="W125" s="345">
        <v>192.69</v>
      </c>
      <c r="X125" s="345">
        <v>81</v>
      </c>
      <c r="Y125" s="345">
        <v>0</v>
      </c>
      <c r="Z125" s="345">
        <v>0</v>
      </c>
      <c r="AA125" s="345">
        <v>19</v>
      </c>
      <c r="AB125" s="345">
        <v>4</v>
      </c>
      <c r="AC125" s="345">
        <v>18</v>
      </c>
      <c r="AD125" s="349">
        <v>11173</v>
      </c>
      <c r="AE125" s="349">
        <v>28</v>
      </c>
      <c r="AF125" s="349">
        <v>213</v>
      </c>
      <c r="AG125" s="349">
        <v>241</v>
      </c>
    </row>
    <row r="126" spans="1:33" x14ac:dyDescent="0.2">
      <c r="A126" s="344" t="s">
        <v>308</v>
      </c>
      <c r="B126" s="350" t="s">
        <v>309</v>
      </c>
      <c r="C126" s="346">
        <v>2844</v>
      </c>
      <c r="D126" s="346">
        <v>0</v>
      </c>
      <c r="E126" s="346">
        <v>96</v>
      </c>
      <c r="F126" s="346">
        <v>321</v>
      </c>
      <c r="G126" s="346">
        <v>516</v>
      </c>
      <c r="H126" s="346">
        <v>3777</v>
      </c>
      <c r="I126" s="345">
        <v>3261</v>
      </c>
      <c r="J126" s="345">
        <v>1</v>
      </c>
      <c r="K126" s="347">
        <v>90.08</v>
      </c>
      <c r="L126" s="347">
        <v>89.9</v>
      </c>
      <c r="M126" s="347">
        <v>3.37</v>
      </c>
      <c r="N126" s="347">
        <v>92.44</v>
      </c>
      <c r="O126" s="348">
        <v>2427</v>
      </c>
      <c r="P126" s="345">
        <v>80.69</v>
      </c>
      <c r="Q126" s="345">
        <v>76.28</v>
      </c>
      <c r="R126" s="345">
        <v>38.54</v>
      </c>
      <c r="S126" s="345">
        <v>117.05</v>
      </c>
      <c r="T126" s="345">
        <v>389</v>
      </c>
      <c r="U126" s="345">
        <v>110.38</v>
      </c>
      <c r="V126" s="345">
        <v>322</v>
      </c>
      <c r="W126" s="345">
        <v>114.98</v>
      </c>
      <c r="X126" s="345">
        <v>12</v>
      </c>
      <c r="Y126" s="345">
        <v>0</v>
      </c>
      <c r="Z126" s="345">
        <v>6</v>
      </c>
      <c r="AA126" s="345">
        <v>4</v>
      </c>
      <c r="AB126" s="345">
        <v>73</v>
      </c>
      <c r="AC126" s="345">
        <v>3</v>
      </c>
      <c r="AD126" s="349">
        <v>2844</v>
      </c>
      <c r="AE126" s="349">
        <v>9</v>
      </c>
      <c r="AF126" s="349">
        <v>5</v>
      </c>
      <c r="AG126" s="349">
        <v>14</v>
      </c>
    </row>
    <row r="127" spans="1:33" x14ac:dyDescent="0.2">
      <c r="A127" s="344" t="s">
        <v>310</v>
      </c>
      <c r="B127" s="350" t="s">
        <v>311</v>
      </c>
      <c r="C127" s="346">
        <v>10053</v>
      </c>
      <c r="D127" s="346">
        <v>56</v>
      </c>
      <c r="E127" s="346">
        <v>874</v>
      </c>
      <c r="F127" s="346">
        <v>945</v>
      </c>
      <c r="G127" s="346">
        <v>1611</v>
      </c>
      <c r="H127" s="346">
        <v>13539</v>
      </c>
      <c r="I127" s="345">
        <v>11928</v>
      </c>
      <c r="J127" s="345">
        <v>35</v>
      </c>
      <c r="K127" s="347">
        <v>120.1</v>
      </c>
      <c r="L127" s="347">
        <v>120.62</v>
      </c>
      <c r="M127" s="347">
        <v>11.27</v>
      </c>
      <c r="N127" s="347">
        <v>126.64</v>
      </c>
      <c r="O127" s="348">
        <v>8160</v>
      </c>
      <c r="P127" s="345">
        <v>122.88</v>
      </c>
      <c r="Q127" s="345">
        <v>114.98</v>
      </c>
      <c r="R127" s="345">
        <v>61.87</v>
      </c>
      <c r="S127" s="345">
        <v>173.04</v>
      </c>
      <c r="T127" s="345">
        <v>1326</v>
      </c>
      <c r="U127" s="345">
        <v>178.6</v>
      </c>
      <c r="V127" s="345">
        <v>591</v>
      </c>
      <c r="W127" s="345">
        <v>196.84</v>
      </c>
      <c r="X127" s="345">
        <v>35</v>
      </c>
      <c r="Y127" s="345">
        <v>0</v>
      </c>
      <c r="Z127" s="345">
        <v>3</v>
      </c>
      <c r="AA127" s="345">
        <v>8</v>
      </c>
      <c r="AB127" s="345">
        <v>43</v>
      </c>
      <c r="AC127" s="345">
        <v>37</v>
      </c>
      <c r="AD127" s="349">
        <v>9048</v>
      </c>
      <c r="AE127" s="349">
        <v>15</v>
      </c>
      <c r="AF127" s="349">
        <v>29</v>
      </c>
      <c r="AG127" s="349">
        <v>44</v>
      </c>
    </row>
    <row r="128" spans="1:33" x14ac:dyDescent="0.2">
      <c r="A128" s="344" t="s">
        <v>312</v>
      </c>
      <c r="B128" s="350" t="s">
        <v>313</v>
      </c>
      <c r="C128" s="346">
        <v>1468</v>
      </c>
      <c r="D128" s="346">
        <v>88</v>
      </c>
      <c r="E128" s="346">
        <v>263</v>
      </c>
      <c r="F128" s="346">
        <v>292</v>
      </c>
      <c r="G128" s="346">
        <v>340</v>
      </c>
      <c r="H128" s="346">
        <v>2451</v>
      </c>
      <c r="I128" s="345">
        <v>2111</v>
      </c>
      <c r="J128" s="345">
        <v>1</v>
      </c>
      <c r="K128" s="347">
        <v>103.01</v>
      </c>
      <c r="L128" s="347">
        <v>101.12</v>
      </c>
      <c r="M128" s="347">
        <v>8.69</v>
      </c>
      <c r="N128" s="347">
        <v>109.65</v>
      </c>
      <c r="O128" s="348">
        <v>1042</v>
      </c>
      <c r="P128" s="345">
        <v>93.19</v>
      </c>
      <c r="Q128" s="345">
        <v>100.87</v>
      </c>
      <c r="R128" s="345">
        <v>50.69</v>
      </c>
      <c r="S128" s="345">
        <v>143.44</v>
      </c>
      <c r="T128" s="345">
        <v>460</v>
      </c>
      <c r="U128" s="345">
        <v>149.63</v>
      </c>
      <c r="V128" s="345">
        <v>225</v>
      </c>
      <c r="W128" s="345">
        <v>0</v>
      </c>
      <c r="X128" s="345">
        <v>0</v>
      </c>
      <c r="Y128" s="345">
        <v>0</v>
      </c>
      <c r="Z128" s="345">
        <v>0</v>
      </c>
      <c r="AA128" s="345">
        <v>0</v>
      </c>
      <c r="AB128" s="345">
        <v>15</v>
      </c>
      <c r="AC128" s="345">
        <v>10</v>
      </c>
      <c r="AD128" s="349">
        <v>1465</v>
      </c>
      <c r="AE128" s="349">
        <v>7</v>
      </c>
      <c r="AF128" s="349">
        <v>4</v>
      </c>
      <c r="AG128" s="349">
        <v>11</v>
      </c>
    </row>
    <row r="129" spans="1:33" x14ac:dyDescent="0.2">
      <c r="A129" s="344" t="s">
        <v>314</v>
      </c>
      <c r="B129" s="350" t="s">
        <v>315</v>
      </c>
      <c r="C129" s="346">
        <v>2244</v>
      </c>
      <c r="D129" s="346">
        <v>24</v>
      </c>
      <c r="E129" s="346">
        <v>223</v>
      </c>
      <c r="F129" s="346">
        <v>409</v>
      </c>
      <c r="G129" s="346">
        <v>287</v>
      </c>
      <c r="H129" s="346">
        <v>3187</v>
      </c>
      <c r="I129" s="345">
        <v>2900</v>
      </c>
      <c r="J129" s="345">
        <v>57</v>
      </c>
      <c r="K129" s="347">
        <v>95.73</v>
      </c>
      <c r="L129" s="347">
        <v>93.58</v>
      </c>
      <c r="M129" s="347">
        <v>6.91</v>
      </c>
      <c r="N129" s="347">
        <v>100.27</v>
      </c>
      <c r="O129" s="348">
        <v>1604</v>
      </c>
      <c r="P129" s="345">
        <v>101.94</v>
      </c>
      <c r="Q129" s="345">
        <v>85.06</v>
      </c>
      <c r="R129" s="345">
        <v>40.26</v>
      </c>
      <c r="S129" s="345">
        <v>141.75</v>
      </c>
      <c r="T129" s="345">
        <v>445</v>
      </c>
      <c r="U129" s="345">
        <v>115.28</v>
      </c>
      <c r="V129" s="345">
        <v>495</v>
      </c>
      <c r="W129" s="345">
        <v>115.89</v>
      </c>
      <c r="X129" s="345">
        <v>9</v>
      </c>
      <c r="Y129" s="345">
        <v>0</v>
      </c>
      <c r="Z129" s="345">
        <v>2</v>
      </c>
      <c r="AA129" s="345">
        <v>0</v>
      </c>
      <c r="AB129" s="345">
        <v>23</v>
      </c>
      <c r="AC129" s="345">
        <v>2</v>
      </c>
      <c r="AD129" s="349">
        <v>2040</v>
      </c>
      <c r="AE129" s="349">
        <v>16</v>
      </c>
      <c r="AF129" s="349">
        <v>13</v>
      </c>
      <c r="AG129" s="349">
        <v>29</v>
      </c>
    </row>
    <row r="130" spans="1:33" x14ac:dyDescent="0.2">
      <c r="A130" s="344" t="s">
        <v>316</v>
      </c>
      <c r="B130" s="350" t="s">
        <v>317</v>
      </c>
      <c r="C130" s="346">
        <v>3371</v>
      </c>
      <c r="D130" s="346">
        <v>2</v>
      </c>
      <c r="E130" s="346">
        <v>344</v>
      </c>
      <c r="F130" s="346">
        <v>545</v>
      </c>
      <c r="G130" s="346">
        <v>1024</v>
      </c>
      <c r="H130" s="346">
        <v>5286</v>
      </c>
      <c r="I130" s="345">
        <v>4262</v>
      </c>
      <c r="J130" s="345">
        <v>11</v>
      </c>
      <c r="K130" s="347">
        <v>134.28</v>
      </c>
      <c r="L130" s="347">
        <v>131.28</v>
      </c>
      <c r="M130" s="347">
        <v>8.9700000000000006</v>
      </c>
      <c r="N130" s="347">
        <v>140.41</v>
      </c>
      <c r="O130" s="348">
        <v>2833</v>
      </c>
      <c r="P130" s="345">
        <v>118.19</v>
      </c>
      <c r="Q130" s="345">
        <v>94.94</v>
      </c>
      <c r="R130" s="345">
        <v>48.72</v>
      </c>
      <c r="S130" s="345">
        <v>153.87</v>
      </c>
      <c r="T130" s="345">
        <v>583</v>
      </c>
      <c r="U130" s="345">
        <v>182.48</v>
      </c>
      <c r="V130" s="345">
        <v>336</v>
      </c>
      <c r="W130" s="345">
        <v>193.85</v>
      </c>
      <c r="X130" s="345">
        <v>28</v>
      </c>
      <c r="Y130" s="345">
        <v>0</v>
      </c>
      <c r="Z130" s="345">
        <v>0</v>
      </c>
      <c r="AA130" s="345">
        <v>3</v>
      </c>
      <c r="AB130" s="345">
        <v>24</v>
      </c>
      <c r="AC130" s="345">
        <v>31</v>
      </c>
      <c r="AD130" s="349">
        <v>3302</v>
      </c>
      <c r="AE130" s="349">
        <v>10</v>
      </c>
      <c r="AF130" s="349">
        <v>3</v>
      </c>
      <c r="AG130" s="349">
        <v>13</v>
      </c>
    </row>
    <row r="131" spans="1:33" x14ac:dyDescent="0.2">
      <c r="A131" s="344" t="s">
        <v>318</v>
      </c>
      <c r="B131" s="350" t="s">
        <v>319</v>
      </c>
      <c r="C131" s="346">
        <v>2847</v>
      </c>
      <c r="D131" s="346">
        <v>0</v>
      </c>
      <c r="E131" s="346">
        <v>46</v>
      </c>
      <c r="F131" s="346">
        <v>322</v>
      </c>
      <c r="G131" s="346">
        <v>666</v>
      </c>
      <c r="H131" s="346">
        <v>3881</v>
      </c>
      <c r="I131" s="345">
        <v>3215</v>
      </c>
      <c r="J131" s="345">
        <v>0</v>
      </c>
      <c r="K131" s="347">
        <v>117.09</v>
      </c>
      <c r="L131" s="347">
        <v>117.69</v>
      </c>
      <c r="M131" s="347">
        <v>5.32</v>
      </c>
      <c r="N131" s="347">
        <v>119.3</v>
      </c>
      <c r="O131" s="348">
        <v>2402</v>
      </c>
      <c r="P131" s="345">
        <v>102.17</v>
      </c>
      <c r="Q131" s="345">
        <v>101.42</v>
      </c>
      <c r="R131" s="345">
        <v>33.49</v>
      </c>
      <c r="S131" s="345">
        <v>133.96</v>
      </c>
      <c r="T131" s="345">
        <v>315</v>
      </c>
      <c r="U131" s="345">
        <v>164.96</v>
      </c>
      <c r="V131" s="345">
        <v>409</v>
      </c>
      <c r="W131" s="345">
        <v>0</v>
      </c>
      <c r="X131" s="345">
        <v>0</v>
      </c>
      <c r="Y131" s="345">
        <v>0</v>
      </c>
      <c r="Z131" s="345">
        <v>1</v>
      </c>
      <c r="AA131" s="345">
        <v>0</v>
      </c>
      <c r="AB131" s="345">
        <v>37</v>
      </c>
      <c r="AC131" s="345">
        <v>27</v>
      </c>
      <c r="AD131" s="349">
        <v>2847</v>
      </c>
      <c r="AE131" s="349">
        <v>3</v>
      </c>
      <c r="AF131" s="349">
        <v>36</v>
      </c>
      <c r="AG131" s="349">
        <v>39</v>
      </c>
    </row>
    <row r="132" spans="1:33" x14ac:dyDescent="0.2">
      <c r="A132" s="344" t="s">
        <v>320</v>
      </c>
      <c r="B132" s="350" t="s">
        <v>321</v>
      </c>
      <c r="C132" s="346">
        <v>7689</v>
      </c>
      <c r="D132" s="346">
        <v>0</v>
      </c>
      <c r="E132" s="346">
        <v>155</v>
      </c>
      <c r="F132" s="346">
        <v>2011</v>
      </c>
      <c r="G132" s="346">
        <v>193</v>
      </c>
      <c r="H132" s="346">
        <v>10048</v>
      </c>
      <c r="I132" s="345">
        <v>9855</v>
      </c>
      <c r="J132" s="345">
        <v>3</v>
      </c>
      <c r="K132" s="347">
        <v>81.75</v>
      </c>
      <c r="L132" s="347">
        <v>80.790000000000006</v>
      </c>
      <c r="M132" s="347">
        <v>6.06</v>
      </c>
      <c r="N132" s="347">
        <v>84.22</v>
      </c>
      <c r="O132" s="348">
        <v>6666</v>
      </c>
      <c r="P132" s="345">
        <v>81.42</v>
      </c>
      <c r="Q132" s="345">
        <v>80.08</v>
      </c>
      <c r="R132" s="345">
        <v>36.89</v>
      </c>
      <c r="S132" s="345">
        <v>102.26</v>
      </c>
      <c r="T132" s="345">
        <v>2066</v>
      </c>
      <c r="U132" s="345">
        <v>93.05</v>
      </c>
      <c r="V132" s="345">
        <v>974</v>
      </c>
      <c r="W132" s="345">
        <v>104.96</v>
      </c>
      <c r="X132" s="345">
        <v>66</v>
      </c>
      <c r="Y132" s="345">
        <v>0</v>
      </c>
      <c r="Z132" s="345">
        <v>34</v>
      </c>
      <c r="AA132" s="345">
        <v>4</v>
      </c>
      <c r="AB132" s="345">
        <v>0</v>
      </c>
      <c r="AC132" s="345">
        <v>1</v>
      </c>
      <c r="AD132" s="349">
        <v>7663</v>
      </c>
      <c r="AE132" s="349">
        <v>162</v>
      </c>
      <c r="AF132" s="349">
        <v>81</v>
      </c>
      <c r="AG132" s="349">
        <v>243</v>
      </c>
    </row>
    <row r="133" spans="1:33" x14ac:dyDescent="0.2">
      <c r="A133" s="344" t="s">
        <v>322</v>
      </c>
      <c r="B133" s="350" t="s">
        <v>323</v>
      </c>
      <c r="C133" s="346">
        <v>5081</v>
      </c>
      <c r="D133" s="346">
        <v>0</v>
      </c>
      <c r="E133" s="346">
        <v>310</v>
      </c>
      <c r="F133" s="346">
        <v>713</v>
      </c>
      <c r="G133" s="346">
        <v>186</v>
      </c>
      <c r="H133" s="346">
        <v>6290</v>
      </c>
      <c r="I133" s="345">
        <v>6104</v>
      </c>
      <c r="J133" s="345">
        <v>2</v>
      </c>
      <c r="K133" s="347">
        <v>87.9</v>
      </c>
      <c r="L133" s="347">
        <v>86.49</v>
      </c>
      <c r="M133" s="347">
        <v>6.45</v>
      </c>
      <c r="N133" s="347">
        <v>93.32</v>
      </c>
      <c r="O133" s="348">
        <v>4316</v>
      </c>
      <c r="P133" s="345">
        <v>73.33</v>
      </c>
      <c r="Q133" s="345">
        <v>71.349999999999994</v>
      </c>
      <c r="R133" s="345">
        <v>35.51</v>
      </c>
      <c r="S133" s="345">
        <v>108.49</v>
      </c>
      <c r="T133" s="345">
        <v>796</v>
      </c>
      <c r="U133" s="345">
        <v>113.63</v>
      </c>
      <c r="V133" s="345">
        <v>692</v>
      </c>
      <c r="W133" s="345">
        <v>91.2</v>
      </c>
      <c r="X133" s="345">
        <v>29</v>
      </c>
      <c r="Y133" s="345">
        <v>0</v>
      </c>
      <c r="Z133" s="345">
        <v>8</v>
      </c>
      <c r="AA133" s="345">
        <v>5</v>
      </c>
      <c r="AB133" s="345">
        <v>0</v>
      </c>
      <c r="AC133" s="345">
        <v>1</v>
      </c>
      <c r="AD133" s="349">
        <v>5012</v>
      </c>
      <c r="AE133" s="349">
        <v>16</v>
      </c>
      <c r="AF133" s="349">
        <v>23</v>
      </c>
      <c r="AG133" s="349">
        <v>39</v>
      </c>
    </row>
    <row r="134" spans="1:33" x14ac:dyDescent="0.2">
      <c r="A134" s="344" t="s">
        <v>324</v>
      </c>
      <c r="B134" s="350" t="s">
        <v>325</v>
      </c>
      <c r="C134" s="346">
        <v>4423</v>
      </c>
      <c r="D134" s="346">
        <v>0</v>
      </c>
      <c r="E134" s="346">
        <v>256</v>
      </c>
      <c r="F134" s="346">
        <v>1010</v>
      </c>
      <c r="G134" s="346">
        <v>415</v>
      </c>
      <c r="H134" s="346">
        <v>6104</v>
      </c>
      <c r="I134" s="345">
        <v>5689</v>
      </c>
      <c r="J134" s="345">
        <v>0</v>
      </c>
      <c r="K134" s="347">
        <v>106.31</v>
      </c>
      <c r="L134" s="347">
        <v>102.19</v>
      </c>
      <c r="M134" s="347">
        <v>9.18</v>
      </c>
      <c r="N134" s="347">
        <v>110.66</v>
      </c>
      <c r="O134" s="348">
        <v>3580</v>
      </c>
      <c r="P134" s="345">
        <v>99.53</v>
      </c>
      <c r="Q134" s="345">
        <v>89.11</v>
      </c>
      <c r="R134" s="345">
        <v>21.23</v>
      </c>
      <c r="S134" s="345">
        <v>118.71</v>
      </c>
      <c r="T134" s="345">
        <v>1100</v>
      </c>
      <c r="U134" s="345">
        <v>142.6</v>
      </c>
      <c r="V134" s="345">
        <v>699</v>
      </c>
      <c r="W134" s="345">
        <v>154.72999999999999</v>
      </c>
      <c r="X134" s="345">
        <v>16</v>
      </c>
      <c r="Y134" s="345">
        <v>36</v>
      </c>
      <c r="Z134" s="345">
        <v>6</v>
      </c>
      <c r="AA134" s="345">
        <v>2</v>
      </c>
      <c r="AB134" s="345">
        <v>49</v>
      </c>
      <c r="AC134" s="345">
        <v>4</v>
      </c>
      <c r="AD134" s="349">
        <v>4374</v>
      </c>
      <c r="AE134" s="349">
        <v>4</v>
      </c>
      <c r="AF134" s="349">
        <v>6</v>
      </c>
      <c r="AG134" s="349">
        <v>10</v>
      </c>
    </row>
    <row r="135" spans="1:33" x14ac:dyDescent="0.2">
      <c r="A135" s="344" t="s">
        <v>326</v>
      </c>
      <c r="B135" s="350" t="s">
        <v>327</v>
      </c>
      <c r="C135" s="346">
        <v>3560</v>
      </c>
      <c r="D135" s="346">
        <v>354</v>
      </c>
      <c r="E135" s="346">
        <v>185</v>
      </c>
      <c r="F135" s="346">
        <v>497</v>
      </c>
      <c r="G135" s="346">
        <v>804</v>
      </c>
      <c r="H135" s="346">
        <v>5400</v>
      </c>
      <c r="I135" s="345">
        <v>4596</v>
      </c>
      <c r="J135" s="345">
        <v>2</v>
      </c>
      <c r="K135" s="347">
        <v>122.19</v>
      </c>
      <c r="L135" s="347">
        <v>117.86</v>
      </c>
      <c r="M135" s="347">
        <v>11.75</v>
      </c>
      <c r="N135" s="347">
        <v>129.56</v>
      </c>
      <c r="O135" s="348">
        <v>2475</v>
      </c>
      <c r="P135" s="345">
        <v>112.14</v>
      </c>
      <c r="Q135" s="345">
        <v>102.64</v>
      </c>
      <c r="R135" s="345">
        <v>42.17</v>
      </c>
      <c r="S135" s="345">
        <v>151.97999999999999</v>
      </c>
      <c r="T135" s="345">
        <v>635</v>
      </c>
      <c r="U135" s="345">
        <v>178.79</v>
      </c>
      <c r="V135" s="345">
        <v>941</v>
      </c>
      <c r="W135" s="345">
        <v>203.18</v>
      </c>
      <c r="X135" s="345">
        <v>37</v>
      </c>
      <c r="Y135" s="345">
        <v>6</v>
      </c>
      <c r="Z135" s="345">
        <v>2</v>
      </c>
      <c r="AA135" s="345">
        <v>7</v>
      </c>
      <c r="AB135" s="345">
        <v>42</v>
      </c>
      <c r="AC135" s="345">
        <v>9</v>
      </c>
      <c r="AD135" s="349">
        <v>3526</v>
      </c>
      <c r="AE135" s="349">
        <v>17</v>
      </c>
      <c r="AF135" s="349">
        <v>33</v>
      </c>
      <c r="AG135" s="349">
        <v>50</v>
      </c>
    </row>
    <row r="136" spans="1:33" x14ac:dyDescent="0.2">
      <c r="A136" s="344" t="s">
        <v>328</v>
      </c>
      <c r="B136" s="350" t="s">
        <v>329</v>
      </c>
      <c r="C136" s="346">
        <v>9125</v>
      </c>
      <c r="D136" s="346">
        <v>0</v>
      </c>
      <c r="E136" s="346">
        <v>334</v>
      </c>
      <c r="F136" s="346">
        <v>1752</v>
      </c>
      <c r="G136" s="346">
        <v>731</v>
      </c>
      <c r="H136" s="346">
        <v>11942</v>
      </c>
      <c r="I136" s="345">
        <v>11211</v>
      </c>
      <c r="J136" s="345">
        <v>9</v>
      </c>
      <c r="K136" s="347">
        <v>90.03</v>
      </c>
      <c r="L136" s="347">
        <v>87.74</v>
      </c>
      <c r="M136" s="347">
        <v>3.75</v>
      </c>
      <c r="N136" s="347">
        <v>91.9</v>
      </c>
      <c r="O136" s="348">
        <v>8380</v>
      </c>
      <c r="P136" s="345">
        <v>83.72</v>
      </c>
      <c r="Q136" s="345">
        <v>82.32</v>
      </c>
      <c r="R136" s="345">
        <v>33.700000000000003</v>
      </c>
      <c r="S136" s="345">
        <v>109.37</v>
      </c>
      <c r="T136" s="345">
        <v>2039</v>
      </c>
      <c r="U136" s="345">
        <v>105.12</v>
      </c>
      <c r="V136" s="345">
        <v>697</v>
      </c>
      <c r="W136" s="345">
        <v>179.19</v>
      </c>
      <c r="X136" s="345">
        <v>20</v>
      </c>
      <c r="Y136" s="345">
        <v>0</v>
      </c>
      <c r="Z136" s="345">
        <v>18</v>
      </c>
      <c r="AA136" s="345">
        <v>11</v>
      </c>
      <c r="AB136" s="345">
        <v>35</v>
      </c>
      <c r="AC136" s="345">
        <v>8</v>
      </c>
      <c r="AD136" s="349">
        <v>9097</v>
      </c>
      <c r="AE136" s="349">
        <v>50</v>
      </c>
      <c r="AF136" s="349">
        <v>38</v>
      </c>
      <c r="AG136" s="349">
        <v>88</v>
      </c>
    </row>
    <row r="137" spans="1:33" x14ac:dyDescent="0.2">
      <c r="A137" s="344" t="s">
        <v>330</v>
      </c>
      <c r="B137" s="350" t="s">
        <v>331</v>
      </c>
      <c r="C137" s="346">
        <v>6347</v>
      </c>
      <c r="D137" s="346">
        <v>24</v>
      </c>
      <c r="E137" s="346">
        <v>145</v>
      </c>
      <c r="F137" s="346">
        <v>851</v>
      </c>
      <c r="G137" s="346">
        <v>420</v>
      </c>
      <c r="H137" s="346">
        <v>7787</v>
      </c>
      <c r="I137" s="345">
        <v>7367</v>
      </c>
      <c r="J137" s="345">
        <v>0</v>
      </c>
      <c r="K137" s="347">
        <v>124.74</v>
      </c>
      <c r="L137" s="347">
        <v>123.02</v>
      </c>
      <c r="M137" s="347">
        <v>8.2100000000000009</v>
      </c>
      <c r="N137" s="347">
        <v>128.75</v>
      </c>
      <c r="O137" s="348">
        <v>5436</v>
      </c>
      <c r="P137" s="345">
        <v>114.75</v>
      </c>
      <c r="Q137" s="345">
        <v>110.96</v>
      </c>
      <c r="R137" s="345">
        <v>34.89</v>
      </c>
      <c r="S137" s="345">
        <v>147.9</v>
      </c>
      <c r="T137" s="345">
        <v>966</v>
      </c>
      <c r="U137" s="345">
        <v>175.07</v>
      </c>
      <c r="V137" s="345">
        <v>737</v>
      </c>
      <c r="W137" s="345">
        <v>0</v>
      </c>
      <c r="X137" s="345">
        <v>0</v>
      </c>
      <c r="Y137" s="345">
        <v>16</v>
      </c>
      <c r="Z137" s="345">
        <v>0</v>
      </c>
      <c r="AA137" s="345">
        <v>0</v>
      </c>
      <c r="AB137" s="345">
        <v>0</v>
      </c>
      <c r="AC137" s="345">
        <v>17</v>
      </c>
      <c r="AD137" s="349">
        <v>6201</v>
      </c>
      <c r="AE137" s="349">
        <v>11</v>
      </c>
      <c r="AF137" s="349">
        <v>2</v>
      </c>
      <c r="AG137" s="349">
        <v>13</v>
      </c>
    </row>
    <row r="138" spans="1:33" x14ac:dyDescent="0.2">
      <c r="A138" s="344" t="s">
        <v>332</v>
      </c>
      <c r="B138" s="350" t="s">
        <v>333</v>
      </c>
      <c r="C138" s="346">
        <v>842</v>
      </c>
      <c r="D138" s="346">
        <v>0</v>
      </c>
      <c r="E138" s="346">
        <v>67</v>
      </c>
      <c r="F138" s="346">
        <v>336</v>
      </c>
      <c r="G138" s="346">
        <v>192</v>
      </c>
      <c r="H138" s="346">
        <v>1437</v>
      </c>
      <c r="I138" s="345">
        <v>1245</v>
      </c>
      <c r="J138" s="345">
        <v>0</v>
      </c>
      <c r="K138" s="347">
        <v>96.65</v>
      </c>
      <c r="L138" s="347">
        <v>94.34</v>
      </c>
      <c r="M138" s="347">
        <v>6.38</v>
      </c>
      <c r="N138" s="347">
        <v>100.13</v>
      </c>
      <c r="O138" s="348">
        <v>733</v>
      </c>
      <c r="P138" s="345">
        <v>90.33</v>
      </c>
      <c r="Q138" s="345">
        <v>80.069999999999993</v>
      </c>
      <c r="R138" s="345">
        <v>36</v>
      </c>
      <c r="S138" s="345">
        <v>122.11</v>
      </c>
      <c r="T138" s="345">
        <v>383</v>
      </c>
      <c r="U138" s="345">
        <v>107.79</v>
      </c>
      <c r="V138" s="345">
        <v>91</v>
      </c>
      <c r="W138" s="345">
        <v>0</v>
      </c>
      <c r="X138" s="345">
        <v>0</v>
      </c>
      <c r="Y138" s="345">
        <v>0</v>
      </c>
      <c r="Z138" s="345">
        <v>0</v>
      </c>
      <c r="AA138" s="345">
        <v>2</v>
      </c>
      <c r="AB138" s="345">
        <v>3</v>
      </c>
      <c r="AC138" s="345">
        <v>5</v>
      </c>
      <c r="AD138" s="349">
        <v>824</v>
      </c>
      <c r="AE138" s="349">
        <v>14</v>
      </c>
      <c r="AF138" s="349">
        <v>3</v>
      </c>
      <c r="AG138" s="349">
        <v>17</v>
      </c>
    </row>
    <row r="139" spans="1:33" x14ac:dyDescent="0.2">
      <c r="A139" s="344" t="s">
        <v>334</v>
      </c>
      <c r="B139" s="350" t="s">
        <v>335</v>
      </c>
      <c r="C139" s="346">
        <v>6437</v>
      </c>
      <c r="D139" s="346">
        <v>30</v>
      </c>
      <c r="E139" s="346">
        <v>621</v>
      </c>
      <c r="F139" s="346">
        <v>501</v>
      </c>
      <c r="G139" s="346">
        <v>1167</v>
      </c>
      <c r="H139" s="346">
        <v>8756</v>
      </c>
      <c r="I139" s="345">
        <v>7589</v>
      </c>
      <c r="J139" s="345">
        <v>63</v>
      </c>
      <c r="K139" s="347">
        <v>126.7</v>
      </c>
      <c r="L139" s="347">
        <v>123.45</v>
      </c>
      <c r="M139" s="347">
        <v>10</v>
      </c>
      <c r="N139" s="347">
        <v>133.38</v>
      </c>
      <c r="O139" s="348">
        <v>5555</v>
      </c>
      <c r="P139" s="345">
        <v>109.25</v>
      </c>
      <c r="Q139" s="345">
        <v>103.79</v>
      </c>
      <c r="R139" s="345">
        <v>46.96</v>
      </c>
      <c r="S139" s="345">
        <v>151.63999999999999</v>
      </c>
      <c r="T139" s="345">
        <v>916</v>
      </c>
      <c r="U139" s="345">
        <v>185.82</v>
      </c>
      <c r="V139" s="345">
        <v>801</v>
      </c>
      <c r="W139" s="345">
        <v>164.7</v>
      </c>
      <c r="X139" s="345">
        <v>51</v>
      </c>
      <c r="Y139" s="345">
        <v>21</v>
      </c>
      <c r="Z139" s="345">
        <v>2</v>
      </c>
      <c r="AA139" s="345">
        <v>0</v>
      </c>
      <c r="AB139" s="345">
        <v>27</v>
      </c>
      <c r="AC139" s="345">
        <v>34</v>
      </c>
      <c r="AD139" s="349">
        <v>6304</v>
      </c>
      <c r="AE139" s="349">
        <v>7</v>
      </c>
      <c r="AF139" s="349">
        <v>7</v>
      </c>
      <c r="AG139" s="349">
        <v>14</v>
      </c>
    </row>
    <row r="140" spans="1:33" x14ac:dyDescent="0.2">
      <c r="A140" s="344" t="s">
        <v>336</v>
      </c>
      <c r="B140" s="350" t="s">
        <v>337</v>
      </c>
      <c r="C140" s="346">
        <v>1806</v>
      </c>
      <c r="D140" s="346">
        <v>0</v>
      </c>
      <c r="E140" s="346">
        <v>108</v>
      </c>
      <c r="F140" s="346">
        <v>125</v>
      </c>
      <c r="G140" s="346">
        <v>331</v>
      </c>
      <c r="H140" s="346">
        <v>2370</v>
      </c>
      <c r="I140" s="345">
        <v>2039</v>
      </c>
      <c r="J140" s="345">
        <v>0</v>
      </c>
      <c r="K140" s="347">
        <v>91.07</v>
      </c>
      <c r="L140" s="347">
        <v>88.69</v>
      </c>
      <c r="M140" s="347">
        <v>5.52</v>
      </c>
      <c r="N140" s="347">
        <v>93.92</v>
      </c>
      <c r="O140" s="348">
        <v>1438</v>
      </c>
      <c r="P140" s="345">
        <v>109.33</v>
      </c>
      <c r="Q140" s="345">
        <v>74.47</v>
      </c>
      <c r="R140" s="345">
        <v>28.57</v>
      </c>
      <c r="S140" s="345">
        <v>137.15</v>
      </c>
      <c r="T140" s="345">
        <v>226</v>
      </c>
      <c r="U140" s="345">
        <v>102.35</v>
      </c>
      <c r="V140" s="345">
        <v>336</v>
      </c>
      <c r="W140" s="345">
        <v>0</v>
      </c>
      <c r="X140" s="345">
        <v>0</v>
      </c>
      <c r="Y140" s="345">
        <v>0</v>
      </c>
      <c r="Z140" s="345">
        <v>1</v>
      </c>
      <c r="AA140" s="345">
        <v>8</v>
      </c>
      <c r="AB140" s="345">
        <v>28</v>
      </c>
      <c r="AC140" s="345">
        <v>12</v>
      </c>
      <c r="AD140" s="349">
        <v>1806</v>
      </c>
      <c r="AE140" s="349">
        <v>12</v>
      </c>
      <c r="AF140" s="349">
        <v>19</v>
      </c>
      <c r="AG140" s="349">
        <v>31</v>
      </c>
    </row>
    <row r="141" spans="1:33" x14ac:dyDescent="0.2">
      <c r="A141" s="344" t="s">
        <v>338</v>
      </c>
      <c r="B141" s="350" t="s">
        <v>339</v>
      </c>
      <c r="C141" s="346">
        <v>5774</v>
      </c>
      <c r="D141" s="346">
        <v>0</v>
      </c>
      <c r="E141" s="346">
        <v>197</v>
      </c>
      <c r="F141" s="346">
        <v>1038</v>
      </c>
      <c r="G141" s="346">
        <v>598</v>
      </c>
      <c r="H141" s="346">
        <v>7607</v>
      </c>
      <c r="I141" s="345">
        <v>7009</v>
      </c>
      <c r="J141" s="345">
        <v>2</v>
      </c>
      <c r="K141" s="347">
        <v>112.02</v>
      </c>
      <c r="L141" s="347">
        <v>110.92</v>
      </c>
      <c r="M141" s="347">
        <v>4.38</v>
      </c>
      <c r="N141" s="347">
        <v>114.69</v>
      </c>
      <c r="O141" s="348">
        <v>4655</v>
      </c>
      <c r="P141" s="345">
        <v>96.49</v>
      </c>
      <c r="Q141" s="345">
        <v>94.63</v>
      </c>
      <c r="R141" s="345">
        <v>26.78</v>
      </c>
      <c r="S141" s="345">
        <v>122.56</v>
      </c>
      <c r="T141" s="345">
        <v>1019</v>
      </c>
      <c r="U141" s="345">
        <v>161.04</v>
      </c>
      <c r="V141" s="345">
        <v>1062</v>
      </c>
      <c r="W141" s="345">
        <v>179.88</v>
      </c>
      <c r="X141" s="345">
        <v>107</v>
      </c>
      <c r="Y141" s="345">
        <v>0</v>
      </c>
      <c r="Z141" s="345">
        <v>15</v>
      </c>
      <c r="AA141" s="345">
        <v>4</v>
      </c>
      <c r="AB141" s="345">
        <v>84</v>
      </c>
      <c r="AC141" s="345">
        <v>11</v>
      </c>
      <c r="AD141" s="349">
        <v>5741</v>
      </c>
      <c r="AE141" s="349">
        <v>11</v>
      </c>
      <c r="AF141" s="349">
        <v>19</v>
      </c>
      <c r="AG141" s="349">
        <v>30</v>
      </c>
    </row>
    <row r="142" spans="1:33" x14ac:dyDescent="0.2">
      <c r="A142" s="344" t="s">
        <v>340</v>
      </c>
      <c r="B142" s="350" t="s">
        <v>341</v>
      </c>
      <c r="C142" s="346">
        <v>7629</v>
      </c>
      <c r="D142" s="346">
        <v>15</v>
      </c>
      <c r="E142" s="346">
        <v>446</v>
      </c>
      <c r="F142" s="346">
        <v>164</v>
      </c>
      <c r="G142" s="346">
        <v>1926</v>
      </c>
      <c r="H142" s="346">
        <v>10180</v>
      </c>
      <c r="I142" s="345">
        <v>8254</v>
      </c>
      <c r="J142" s="345">
        <v>146</v>
      </c>
      <c r="K142" s="347">
        <v>124.92</v>
      </c>
      <c r="L142" s="347">
        <v>124.99</v>
      </c>
      <c r="M142" s="347">
        <v>9.89</v>
      </c>
      <c r="N142" s="347">
        <v>132.68</v>
      </c>
      <c r="O142" s="348">
        <v>5871</v>
      </c>
      <c r="P142" s="345">
        <v>118.87</v>
      </c>
      <c r="Q142" s="345">
        <v>110.02</v>
      </c>
      <c r="R142" s="345">
        <v>56.03</v>
      </c>
      <c r="S142" s="345">
        <v>158.24</v>
      </c>
      <c r="T142" s="345">
        <v>343</v>
      </c>
      <c r="U142" s="345">
        <v>187.61</v>
      </c>
      <c r="V142" s="345">
        <v>867</v>
      </c>
      <c r="W142" s="345">
        <v>233.54</v>
      </c>
      <c r="X142" s="345">
        <v>114</v>
      </c>
      <c r="Y142" s="345">
        <v>0</v>
      </c>
      <c r="Z142" s="345">
        <v>7</v>
      </c>
      <c r="AA142" s="345">
        <v>2</v>
      </c>
      <c r="AB142" s="345">
        <v>85</v>
      </c>
      <c r="AC142" s="345">
        <v>83</v>
      </c>
      <c r="AD142" s="349">
        <v>7049</v>
      </c>
      <c r="AE142" s="349">
        <v>17</v>
      </c>
      <c r="AF142" s="349">
        <v>17</v>
      </c>
      <c r="AG142" s="349">
        <v>34</v>
      </c>
    </row>
    <row r="143" spans="1:33" x14ac:dyDescent="0.2">
      <c r="A143" s="344" t="s">
        <v>342</v>
      </c>
      <c r="B143" s="350" t="s">
        <v>343</v>
      </c>
      <c r="C143" s="346">
        <v>8317</v>
      </c>
      <c r="D143" s="346">
        <v>0</v>
      </c>
      <c r="E143" s="346">
        <v>355</v>
      </c>
      <c r="F143" s="346">
        <v>1054</v>
      </c>
      <c r="G143" s="346">
        <v>597</v>
      </c>
      <c r="H143" s="346">
        <v>10323</v>
      </c>
      <c r="I143" s="345">
        <v>9726</v>
      </c>
      <c r="J143" s="345">
        <v>5</v>
      </c>
      <c r="K143" s="347">
        <v>96.12</v>
      </c>
      <c r="L143" s="347">
        <v>95.56</v>
      </c>
      <c r="M143" s="347">
        <v>4.42</v>
      </c>
      <c r="N143" s="347">
        <v>97.76</v>
      </c>
      <c r="O143" s="348">
        <v>7872</v>
      </c>
      <c r="P143" s="345">
        <v>95.44</v>
      </c>
      <c r="Q143" s="345">
        <v>88.3</v>
      </c>
      <c r="R143" s="345">
        <v>43.96</v>
      </c>
      <c r="S143" s="345">
        <v>138.81</v>
      </c>
      <c r="T143" s="345">
        <v>753</v>
      </c>
      <c r="U143" s="345">
        <v>124.06</v>
      </c>
      <c r="V143" s="345">
        <v>275</v>
      </c>
      <c r="W143" s="345">
        <v>207.74</v>
      </c>
      <c r="X143" s="345">
        <v>55</v>
      </c>
      <c r="Y143" s="345">
        <v>0</v>
      </c>
      <c r="Z143" s="345">
        <v>15</v>
      </c>
      <c r="AA143" s="345">
        <v>25</v>
      </c>
      <c r="AB143" s="345">
        <v>34</v>
      </c>
      <c r="AC143" s="345">
        <v>12</v>
      </c>
      <c r="AD143" s="349">
        <v>8303</v>
      </c>
      <c r="AE143" s="349">
        <v>42</v>
      </c>
      <c r="AF143" s="349">
        <v>67</v>
      </c>
      <c r="AG143" s="349">
        <v>109</v>
      </c>
    </row>
    <row r="144" spans="1:33" x14ac:dyDescent="0.2">
      <c r="A144" s="344" t="s">
        <v>344</v>
      </c>
      <c r="B144" s="350" t="s">
        <v>345</v>
      </c>
      <c r="C144" s="346">
        <v>3019</v>
      </c>
      <c r="D144" s="346">
        <v>0</v>
      </c>
      <c r="E144" s="346">
        <v>250</v>
      </c>
      <c r="F144" s="346">
        <v>1625</v>
      </c>
      <c r="G144" s="346">
        <v>48</v>
      </c>
      <c r="H144" s="346">
        <v>4942</v>
      </c>
      <c r="I144" s="345">
        <v>4894</v>
      </c>
      <c r="J144" s="345">
        <v>15</v>
      </c>
      <c r="K144" s="347">
        <v>77.540000000000006</v>
      </c>
      <c r="L144" s="347">
        <v>78</v>
      </c>
      <c r="M144" s="347">
        <v>1.88</v>
      </c>
      <c r="N144" s="347">
        <v>78.510000000000005</v>
      </c>
      <c r="O144" s="348">
        <v>2915</v>
      </c>
      <c r="P144" s="345">
        <v>77.650000000000006</v>
      </c>
      <c r="Q144" s="345">
        <v>71.91</v>
      </c>
      <c r="R144" s="345">
        <v>21.9</v>
      </c>
      <c r="S144" s="345">
        <v>99.46</v>
      </c>
      <c r="T144" s="345">
        <v>1801</v>
      </c>
      <c r="U144" s="345">
        <v>89.94</v>
      </c>
      <c r="V144" s="345">
        <v>104</v>
      </c>
      <c r="W144" s="345">
        <v>239.71</v>
      </c>
      <c r="X144" s="345">
        <v>12</v>
      </c>
      <c r="Y144" s="345">
        <v>29</v>
      </c>
      <c r="Z144" s="345">
        <v>13</v>
      </c>
      <c r="AA144" s="345">
        <v>13</v>
      </c>
      <c r="AB144" s="345">
        <v>0</v>
      </c>
      <c r="AC144" s="345">
        <v>0</v>
      </c>
      <c r="AD144" s="349">
        <v>3019</v>
      </c>
      <c r="AE144" s="349">
        <v>10</v>
      </c>
      <c r="AF144" s="349">
        <v>9</v>
      </c>
      <c r="AG144" s="349">
        <v>19</v>
      </c>
    </row>
    <row r="145" spans="1:33" x14ac:dyDescent="0.2">
      <c r="A145" s="344" t="s">
        <v>346</v>
      </c>
      <c r="B145" s="350" t="s">
        <v>347</v>
      </c>
      <c r="C145" s="346">
        <v>3728</v>
      </c>
      <c r="D145" s="346">
        <v>0</v>
      </c>
      <c r="E145" s="346">
        <v>599</v>
      </c>
      <c r="F145" s="346">
        <v>744</v>
      </c>
      <c r="G145" s="346">
        <v>306</v>
      </c>
      <c r="H145" s="346">
        <v>5377</v>
      </c>
      <c r="I145" s="345">
        <v>5071</v>
      </c>
      <c r="J145" s="345">
        <v>4</v>
      </c>
      <c r="K145" s="347">
        <v>89.4</v>
      </c>
      <c r="L145" s="347">
        <v>88.67</v>
      </c>
      <c r="M145" s="347">
        <v>6.38</v>
      </c>
      <c r="N145" s="347">
        <v>93.89</v>
      </c>
      <c r="O145" s="348">
        <v>3120</v>
      </c>
      <c r="P145" s="345">
        <v>79.5</v>
      </c>
      <c r="Q145" s="345">
        <v>74.349999999999994</v>
      </c>
      <c r="R145" s="345">
        <v>51.58</v>
      </c>
      <c r="S145" s="345">
        <v>127.8</v>
      </c>
      <c r="T145" s="345">
        <v>1102</v>
      </c>
      <c r="U145" s="345">
        <v>100.08</v>
      </c>
      <c r="V145" s="345">
        <v>551</v>
      </c>
      <c r="W145" s="345">
        <v>91.78</v>
      </c>
      <c r="X145" s="345">
        <v>2</v>
      </c>
      <c r="Y145" s="345">
        <v>0</v>
      </c>
      <c r="Z145" s="345">
        <v>0</v>
      </c>
      <c r="AA145" s="345">
        <v>16</v>
      </c>
      <c r="AB145" s="345">
        <v>2</v>
      </c>
      <c r="AC145" s="345">
        <v>7</v>
      </c>
      <c r="AD145" s="349">
        <v>3728</v>
      </c>
      <c r="AE145" s="349">
        <v>14</v>
      </c>
      <c r="AF145" s="349">
        <v>20</v>
      </c>
      <c r="AG145" s="349">
        <v>34</v>
      </c>
    </row>
    <row r="146" spans="1:33" x14ac:dyDescent="0.2">
      <c r="A146" s="344" t="s">
        <v>348</v>
      </c>
      <c r="B146" s="350" t="s">
        <v>349</v>
      </c>
      <c r="C146" s="346">
        <v>6547</v>
      </c>
      <c r="D146" s="346">
        <v>0</v>
      </c>
      <c r="E146" s="346">
        <v>147</v>
      </c>
      <c r="F146" s="346">
        <v>394</v>
      </c>
      <c r="G146" s="346">
        <v>262</v>
      </c>
      <c r="H146" s="346">
        <v>7350</v>
      </c>
      <c r="I146" s="345">
        <v>7088</v>
      </c>
      <c r="J146" s="345">
        <v>0</v>
      </c>
      <c r="K146" s="347">
        <v>88.6</v>
      </c>
      <c r="L146" s="347">
        <v>86.64</v>
      </c>
      <c r="M146" s="347">
        <v>8.7899999999999991</v>
      </c>
      <c r="N146" s="347">
        <v>94.1</v>
      </c>
      <c r="O146" s="348">
        <v>5704</v>
      </c>
      <c r="P146" s="345">
        <v>79.81</v>
      </c>
      <c r="Q146" s="345">
        <v>78.959999999999994</v>
      </c>
      <c r="R146" s="345">
        <v>36.26</v>
      </c>
      <c r="S146" s="345">
        <v>114.94</v>
      </c>
      <c r="T146" s="345">
        <v>513</v>
      </c>
      <c r="U146" s="345">
        <v>122.05</v>
      </c>
      <c r="V146" s="345">
        <v>307</v>
      </c>
      <c r="W146" s="345">
        <v>97.24</v>
      </c>
      <c r="X146" s="345">
        <v>12</v>
      </c>
      <c r="Y146" s="345">
        <v>0</v>
      </c>
      <c r="Z146" s="345">
        <v>9</v>
      </c>
      <c r="AA146" s="345">
        <v>1</v>
      </c>
      <c r="AB146" s="345">
        <v>0</v>
      </c>
      <c r="AC146" s="345">
        <v>6</v>
      </c>
      <c r="AD146" s="349">
        <v>6106</v>
      </c>
      <c r="AE146" s="349">
        <v>12</v>
      </c>
      <c r="AF146" s="349">
        <v>12</v>
      </c>
      <c r="AG146" s="349">
        <v>24</v>
      </c>
    </row>
    <row r="147" spans="1:33" x14ac:dyDescent="0.2">
      <c r="A147" s="344" t="s">
        <v>350</v>
      </c>
      <c r="B147" s="350" t="s">
        <v>351</v>
      </c>
      <c r="C147" s="346">
        <v>54</v>
      </c>
      <c r="D147" s="346">
        <v>0</v>
      </c>
      <c r="E147" s="346">
        <v>0</v>
      </c>
      <c r="F147" s="346">
        <v>7</v>
      </c>
      <c r="G147" s="346">
        <v>0</v>
      </c>
      <c r="H147" s="346">
        <v>61</v>
      </c>
      <c r="I147" s="345">
        <v>61</v>
      </c>
      <c r="J147" s="345">
        <v>0</v>
      </c>
      <c r="K147" s="347">
        <v>99.91</v>
      </c>
      <c r="L147" s="347">
        <v>104.24</v>
      </c>
      <c r="M147" s="347">
        <v>2.52</v>
      </c>
      <c r="N147" s="347">
        <v>100.94</v>
      </c>
      <c r="O147" s="348">
        <v>27</v>
      </c>
      <c r="P147" s="345">
        <v>96.35</v>
      </c>
      <c r="Q147" s="345">
        <v>87.35</v>
      </c>
      <c r="R147" s="345">
        <v>18.989999999999998</v>
      </c>
      <c r="S147" s="345">
        <v>115.34</v>
      </c>
      <c r="T147" s="345">
        <v>7</v>
      </c>
      <c r="U147" s="345">
        <v>116.25</v>
      </c>
      <c r="V147" s="345">
        <v>2</v>
      </c>
      <c r="W147" s="345">
        <v>0</v>
      </c>
      <c r="X147" s="345">
        <v>0</v>
      </c>
      <c r="Y147" s="345">
        <v>0</v>
      </c>
      <c r="Z147" s="345">
        <v>0</v>
      </c>
      <c r="AA147" s="345">
        <v>0</v>
      </c>
      <c r="AB147" s="345">
        <v>0</v>
      </c>
      <c r="AC147" s="345">
        <v>0</v>
      </c>
      <c r="AD147" s="349">
        <v>27</v>
      </c>
      <c r="AE147" s="349">
        <v>0</v>
      </c>
      <c r="AF147" s="349">
        <v>0</v>
      </c>
      <c r="AG147" s="349">
        <v>0</v>
      </c>
    </row>
    <row r="148" spans="1:33" x14ac:dyDescent="0.2">
      <c r="A148" s="344" t="s">
        <v>352</v>
      </c>
      <c r="B148" s="350" t="s">
        <v>353</v>
      </c>
      <c r="C148" s="346">
        <v>13488</v>
      </c>
      <c r="D148" s="346">
        <v>261</v>
      </c>
      <c r="E148" s="346">
        <v>1362</v>
      </c>
      <c r="F148" s="346">
        <v>790</v>
      </c>
      <c r="G148" s="346">
        <v>1381</v>
      </c>
      <c r="H148" s="346">
        <v>17282</v>
      </c>
      <c r="I148" s="345">
        <v>15901</v>
      </c>
      <c r="J148" s="345">
        <v>64</v>
      </c>
      <c r="K148" s="347">
        <v>126.3</v>
      </c>
      <c r="L148" s="347">
        <v>134.76</v>
      </c>
      <c r="M148" s="347">
        <v>12.78</v>
      </c>
      <c r="N148" s="347">
        <v>135.63999999999999</v>
      </c>
      <c r="O148" s="348">
        <v>11607</v>
      </c>
      <c r="P148" s="345">
        <v>117.18</v>
      </c>
      <c r="Q148" s="345">
        <v>115.85</v>
      </c>
      <c r="R148" s="345">
        <v>67.91</v>
      </c>
      <c r="S148" s="345">
        <v>157.93</v>
      </c>
      <c r="T148" s="345">
        <v>1825</v>
      </c>
      <c r="U148" s="345">
        <v>182.2</v>
      </c>
      <c r="V148" s="345">
        <v>548</v>
      </c>
      <c r="W148" s="345">
        <v>174.73</v>
      </c>
      <c r="X148" s="345">
        <v>2</v>
      </c>
      <c r="Y148" s="345">
        <v>0</v>
      </c>
      <c r="Z148" s="345">
        <v>25</v>
      </c>
      <c r="AA148" s="345">
        <v>0</v>
      </c>
      <c r="AB148" s="345">
        <v>0</v>
      </c>
      <c r="AC148" s="345">
        <v>46</v>
      </c>
      <c r="AD148" s="349">
        <v>12474</v>
      </c>
      <c r="AE148" s="349">
        <v>16</v>
      </c>
      <c r="AF148" s="349">
        <v>29</v>
      </c>
      <c r="AG148" s="349">
        <v>45</v>
      </c>
    </row>
    <row r="149" spans="1:33" x14ac:dyDescent="0.2">
      <c r="A149" s="344" t="s">
        <v>354</v>
      </c>
      <c r="B149" s="350" t="s">
        <v>355</v>
      </c>
      <c r="C149" s="346">
        <v>10894</v>
      </c>
      <c r="D149" s="346">
        <v>142</v>
      </c>
      <c r="E149" s="346">
        <v>948</v>
      </c>
      <c r="F149" s="346">
        <v>939</v>
      </c>
      <c r="G149" s="346">
        <v>554</v>
      </c>
      <c r="H149" s="346">
        <v>13477</v>
      </c>
      <c r="I149" s="345">
        <v>12923</v>
      </c>
      <c r="J149" s="345">
        <v>49</v>
      </c>
      <c r="K149" s="347">
        <v>135.38</v>
      </c>
      <c r="L149" s="347">
        <v>143.59</v>
      </c>
      <c r="M149" s="347">
        <v>11.95</v>
      </c>
      <c r="N149" s="347">
        <v>143.04</v>
      </c>
      <c r="O149" s="348">
        <v>9659</v>
      </c>
      <c r="P149" s="345">
        <v>117.59</v>
      </c>
      <c r="Q149" s="345">
        <v>125.03</v>
      </c>
      <c r="R149" s="345">
        <v>62.75</v>
      </c>
      <c r="S149" s="345">
        <v>169.26</v>
      </c>
      <c r="T149" s="345">
        <v>1466</v>
      </c>
      <c r="U149" s="345">
        <v>206.27</v>
      </c>
      <c r="V149" s="345">
        <v>595</v>
      </c>
      <c r="W149" s="345">
        <v>204.67</v>
      </c>
      <c r="X149" s="345">
        <v>25</v>
      </c>
      <c r="Y149" s="345">
        <v>0</v>
      </c>
      <c r="Z149" s="345">
        <v>3</v>
      </c>
      <c r="AA149" s="345">
        <v>0</v>
      </c>
      <c r="AB149" s="345">
        <v>1</v>
      </c>
      <c r="AC149" s="345">
        <v>8</v>
      </c>
      <c r="AD149" s="349">
        <v>10041</v>
      </c>
      <c r="AE149" s="349">
        <v>24</v>
      </c>
      <c r="AF149" s="349">
        <v>117</v>
      </c>
      <c r="AG149" s="349">
        <v>141</v>
      </c>
    </row>
    <row r="150" spans="1:33" x14ac:dyDescent="0.2">
      <c r="A150" s="344" t="s">
        <v>356</v>
      </c>
      <c r="B150" s="350" t="s">
        <v>357</v>
      </c>
      <c r="C150" s="346">
        <v>8319</v>
      </c>
      <c r="D150" s="346">
        <v>0</v>
      </c>
      <c r="E150" s="346">
        <v>412</v>
      </c>
      <c r="F150" s="346">
        <v>940</v>
      </c>
      <c r="G150" s="346">
        <v>202</v>
      </c>
      <c r="H150" s="346">
        <v>9873</v>
      </c>
      <c r="I150" s="345">
        <v>9671</v>
      </c>
      <c r="J150" s="345">
        <v>3</v>
      </c>
      <c r="K150" s="347">
        <v>84.31</v>
      </c>
      <c r="L150" s="347">
        <v>84.44</v>
      </c>
      <c r="M150" s="347">
        <v>2.91</v>
      </c>
      <c r="N150" s="347">
        <v>85.18</v>
      </c>
      <c r="O150" s="348">
        <v>7655</v>
      </c>
      <c r="P150" s="345">
        <v>85.87</v>
      </c>
      <c r="Q150" s="345">
        <v>79.94</v>
      </c>
      <c r="R150" s="345">
        <v>35.130000000000003</v>
      </c>
      <c r="S150" s="345">
        <v>114.64</v>
      </c>
      <c r="T150" s="345">
        <v>1341</v>
      </c>
      <c r="U150" s="345">
        <v>101.07</v>
      </c>
      <c r="V150" s="345">
        <v>608</v>
      </c>
      <c r="W150" s="345">
        <v>95.89</v>
      </c>
      <c r="X150" s="345">
        <v>10</v>
      </c>
      <c r="Y150" s="345">
        <v>0</v>
      </c>
      <c r="Z150" s="345">
        <v>31</v>
      </c>
      <c r="AA150" s="345">
        <v>0</v>
      </c>
      <c r="AB150" s="345">
        <v>6</v>
      </c>
      <c r="AC150" s="345">
        <v>9</v>
      </c>
      <c r="AD150" s="349">
        <v>8311</v>
      </c>
      <c r="AE150" s="349">
        <v>43</v>
      </c>
      <c r="AF150" s="349">
        <v>87</v>
      </c>
      <c r="AG150" s="349">
        <v>130</v>
      </c>
    </row>
    <row r="151" spans="1:33" x14ac:dyDescent="0.2">
      <c r="A151" s="344" t="s">
        <v>358</v>
      </c>
      <c r="B151" s="350" t="s">
        <v>359</v>
      </c>
      <c r="C151" s="346">
        <v>7073</v>
      </c>
      <c r="D151" s="346">
        <v>0</v>
      </c>
      <c r="E151" s="346">
        <v>876</v>
      </c>
      <c r="F151" s="346">
        <v>1104</v>
      </c>
      <c r="G151" s="346">
        <v>307</v>
      </c>
      <c r="H151" s="346">
        <v>9360</v>
      </c>
      <c r="I151" s="345">
        <v>9053</v>
      </c>
      <c r="J151" s="345">
        <v>1</v>
      </c>
      <c r="K151" s="347">
        <v>82.05</v>
      </c>
      <c r="L151" s="347">
        <v>80.72</v>
      </c>
      <c r="M151" s="347">
        <v>7.09</v>
      </c>
      <c r="N151" s="347">
        <v>87.57</v>
      </c>
      <c r="O151" s="348">
        <v>6159</v>
      </c>
      <c r="P151" s="345">
        <v>79.69</v>
      </c>
      <c r="Q151" s="345">
        <v>75.94</v>
      </c>
      <c r="R151" s="345">
        <v>48.26</v>
      </c>
      <c r="S151" s="345">
        <v>127</v>
      </c>
      <c r="T151" s="345">
        <v>1596</v>
      </c>
      <c r="U151" s="345">
        <v>94.96</v>
      </c>
      <c r="V151" s="345">
        <v>731</v>
      </c>
      <c r="W151" s="345">
        <v>183</v>
      </c>
      <c r="X151" s="345">
        <v>38</v>
      </c>
      <c r="Y151" s="345">
        <v>0</v>
      </c>
      <c r="Z151" s="345">
        <v>14</v>
      </c>
      <c r="AA151" s="345">
        <v>5</v>
      </c>
      <c r="AB151" s="345">
        <v>10</v>
      </c>
      <c r="AC151" s="345">
        <v>5</v>
      </c>
      <c r="AD151" s="349">
        <v>6915</v>
      </c>
      <c r="AE151" s="349">
        <v>40</v>
      </c>
      <c r="AF151" s="349">
        <v>15</v>
      </c>
      <c r="AG151" s="349">
        <v>55</v>
      </c>
    </row>
    <row r="152" spans="1:33" x14ac:dyDescent="0.2">
      <c r="A152" s="344" t="s">
        <v>360</v>
      </c>
      <c r="B152" s="350" t="s">
        <v>361</v>
      </c>
      <c r="C152" s="346">
        <v>2137</v>
      </c>
      <c r="D152" s="346">
        <v>93</v>
      </c>
      <c r="E152" s="346">
        <v>351</v>
      </c>
      <c r="F152" s="346">
        <v>219</v>
      </c>
      <c r="G152" s="346">
        <v>271</v>
      </c>
      <c r="H152" s="346">
        <v>3071</v>
      </c>
      <c r="I152" s="345">
        <v>2800</v>
      </c>
      <c r="J152" s="345">
        <v>24</v>
      </c>
      <c r="K152" s="347">
        <v>130.82</v>
      </c>
      <c r="L152" s="347">
        <v>131.66999999999999</v>
      </c>
      <c r="M152" s="347">
        <v>9.5500000000000007</v>
      </c>
      <c r="N152" s="347">
        <v>138.28</v>
      </c>
      <c r="O152" s="348">
        <v>1553</v>
      </c>
      <c r="P152" s="345">
        <v>127.1</v>
      </c>
      <c r="Q152" s="345">
        <v>104.94</v>
      </c>
      <c r="R152" s="345">
        <v>43.99</v>
      </c>
      <c r="S152" s="345">
        <v>170.73</v>
      </c>
      <c r="T152" s="345">
        <v>365</v>
      </c>
      <c r="U152" s="345">
        <v>219.6</v>
      </c>
      <c r="V152" s="345">
        <v>326</v>
      </c>
      <c r="W152" s="345">
        <v>0</v>
      </c>
      <c r="X152" s="345">
        <v>0</v>
      </c>
      <c r="Y152" s="345">
        <v>0</v>
      </c>
      <c r="Z152" s="345">
        <v>0</v>
      </c>
      <c r="AA152" s="345">
        <v>0</v>
      </c>
      <c r="AB152" s="345">
        <v>3</v>
      </c>
      <c r="AC152" s="345">
        <v>6</v>
      </c>
      <c r="AD152" s="349">
        <v>1876</v>
      </c>
      <c r="AE152" s="349">
        <v>7</v>
      </c>
      <c r="AF152" s="349">
        <v>8</v>
      </c>
      <c r="AG152" s="349">
        <v>15</v>
      </c>
    </row>
    <row r="153" spans="1:33" x14ac:dyDescent="0.2">
      <c r="A153" s="344" t="s">
        <v>362</v>
      </c>
      <c r="B153" s="350" t="s">
        <v>363</v>
      </c>
      <c r="C153" s="346">
        <v>4118</v>
      </c>
      <c r="D153" s="346">
        <v>49</v>
      </c>
      <c r="E153" s="346">
        <v>385</v>
      </c>
      <c r="F153" s="346">
        <v>1255</v>
      </c>
      <c r="G153" s="346">
        <v>298</v>
      </c>
      <c r="H153" s="346">
        <v>6105</v>
      </c>
      <c r="I153" s="345">
        <v>5807</v>
      </c>
      <c r="J153" s="345">
        <v>16</v>
      </c>
      <c r="K153" s="347">
        <v>85.27</v>
      </c>
      <c r="L153" s="347">
        <v>82.83</v>
      </c>
      <c r="M153" s="347">
        <v>4.8899999999999997</v>
      </c>
      <c r="N153" s="347">
        <v>88.87</v>
      </c>
      <c r="O153" s="348">
        <v>3527</v>
      </c>
      <c r="P153" s="345">
        <v>80</v>
      </c>
      <c r="Q153" s="345">
        <v>75.98</v>
      </c>
      <c r="R153" s="345">
        <v>33.409999999999997</v>
      </c>
      <c r="S153" s="345">
        <v>112.43</v>
      </c>
      <c r="T153" s="345">
        <v>1458</v>
      </c>
      <c r="U153" s="345">
        <v>96.12</v>
      </c>
      <c r="V153" s="345">
        <v>494</v>
      </c>
      <c r="W153" s="345">
        <v>104.26</v>
      </c>
      <c r="X153" s="345">
        <v>40</v>
      </c>
      <c r="Y153" s="345">
        <v>0</v>
      </c>
      <c r="Z153" s="345">
        <v>11</v>
      </c>
      <c r="AA153" s="345">
        <v>10</v>
      </c>
      <c r="AB153" s="345">
        <v>6</v>
      </c>
      <c r="AC153" s="345">
        <v>6</v>
      </c>
      <c r="AD153" s="349">
        <v>4109</v>
      </c>
      <c r="AE153" s="349">
        <v>23</v>
      </c>
      <c r="AF153" s="349">
        <v>24</v>
      </c>
      <c r="AG153" s="349">
        <v>47</v>
      </c>
    </row>
    <row r="154" spans="1:33" x14ac:dyDescent="0.2">
      <c r="A154" s="344" t="s">
        <v>364</v>
      </c>
      <c r="B154" s="350" t="s">
        <v>365</v>
      </c>
      <c r="C154" s="346">
        <v>16114</v>
      </c>
      <c r="D154" s="346">
        <v>9</v>
      </c>
      <c r="E154" s="346">
        <v>635</v>
      </c>
      <c r="F154" s="346">
        <v>1395</v>
      </c>
      <c r="G154" s="346">
        <v>298</v>
      </c>
      <c r="H154" s="346">
        <v>18451</v>
      </c>
      <c r="I154" s="345">
        <v>18153</v>
      </c>
      <c r="J154" s="345">
        <v>1</v>
      </c>
      <c r="K154" s="347">
        <v>84.53</v>
      </c>
      <c r="L154" s="347">
        <v>84.7</v>
      </c>
      <c r="M154" s="347">
        <v>10.81</v>
      </c>
      <c r="N154" s="347">
        <v>87.03</v>
      </c>
      <c r="O154" s="348">
        <v>14782</v>
      </c>
      <c r="P154" s="345">
        <v>85.32</v>
      </c>
      <c r="Q154" s="345">
        <v>81.73</v>
      </c>
      <c r="R154" s="345">
        <v>30.69</v>
      </c>
      <c r="S154" s="345">
        <v>111.67</v>
      </c>
      <c r="T154" s="345">
        <v>1655</v>
      </c>
      <c r="U154" s="345">
        <v>106.32</v>
      </c>
      <c r="V154" s="345">
        <v>1073</v>
      </c>
      <c r="W154" s="345">
        <v>144.61000000000001</v>
      </c>
      <c r="X154" s="345">
        <v>206</v>
      </c>
      <c r="Y154" s="345">
        <v>72</v>
      </c>
      <c r="Z154" s="345">
        <v>135</v>
      </c>
      <c r="AA154" s="345">
        <v>1</v>
      </c>
      <c r="AB154" s="345">
        <v>6</v>
      </c>
      <c r="AC154" s="345">
        <v>15</v>
      </c>
      <c r="AD154" s="349">
        <v>15864</v>
      </c>
      <c r="AE154" s="349">
        <v>302</v>
      </c>
      <c r="AF154" s="349">
        <v>27</v>
      </c>
      <c r="AG154" s="349">
        <v>329</v>
      </c>
    </row>
    <row r="155" spans="1:33" x14ac:dyDescent="0.2">
      <c r="A155" s="344" t="s">
        <v>366</v>
      </c>
      <c r="B155" s="350" t="s">
        <v>367</v>
      </c>
      <c r="C155" s="346">
        <v>20749</v>
      </c>
      <c r="D155" s="346">
        <v>67</v>
      </c>
      <c r="E155" s="346">
        <v>1907</v>
      </c>
      <c r="F155" s="346">
        <v>1452</v>
      </c>
      <c r="G155" s="346">
        <v>2174</v>
      </c>
      <c r="H155" s="346">
        <v>26349</v>
      </c>
      <c r="I155" s="345">
        <v>24175</v>
      </c>
      <c r="J155" s="345">
        <v>496</v>
      </c>
      <c r="K155" s="347">
        <v>117.9</v>
      </c>
      <c r="L155" s="347">
        <v>125.25</v>
      </c>
      <c r="M155" s="347">
        <v>12.53</v>
      </c>
      <c r="N155" s="347">
        <v>128.29</v>
      </c>
      <c r="O155" s="348">
        <v>18546</v>
      </c>
      <c r="P155" s="345">
        <v>114.12</v>
      </c>
      <c r="Q155" s="345">
        <v>111.06</v>
      </c>
      <c r="R155" s="345">
        <v>54.52</v>
      </c>
      <c r="S155" s="345">
        <v>156.61000000000001</v>
      </c>
      <c r="T155" s="345">
        <v>2955</v>
      </c>
      <c r="U155" s="345">
        <v>182.31</v>
      </c>
      <c r="V155" s="345">
        <v>1087</v>
      </c>
      <c r="W155" s="345">
        <v>209.5</v>
      </c>
      <c r="X155" s="345">
        <v>129</v>
      </c>
      <c r="Y155" s="345">
        <v>0</v>
      </c>
      <c r="Z155" s="345">
        <v>14</v>
      </c>
      <c r="AA155" s="345">
        <v>62</v>
      </c>
      <c r="AB155" s="345">
        <v>82</v>
      </c>
      <c r="AC155" s="345">
        <v>74</v>
      </c>
      <c r="AD155" s="349">
        <v>19709</v>
      </c>
      <c r="AE155" s="349">
        <v>50</v>
      </c>
      <c r="AF155" s="349">
        <v>138</v>
      </c>
      <c r="AG155" s="349">
        <v>188</v>
      </c>
    </row>
    <row r="156" spans="1:33" x14ac:dyDescent="0.2">
      <c r="A156" s="344" t="s">
        <v>368</v>
      </c>
      <c r="B156" s="350" t="s">
        <v>369</v>
      </c>
      <c r="C156" s="346">
        <v>1987</v>
      </c>
      <c r="D156" s="346">
        <v>0</v>
      </c>
      <c r="E156" s="346">
        <v>350</v>
      </c>
      <c r="F156" s="346">
        <v>486</v>
      </c>
      <c r="G156" s="346">
        <v>213</v>
      </c>
      <c r="H156" s="346">
        <v>3036</v>
      </c>
      <c r="I156" s="345">
        <v>2823</v>
      </c>
      <c r="J156" s="345">
        <v>0</v>
      </c>
      <c r="K156" s="347">
        <v>84.24</v>
      </c>
      <c r="L156" s="347">
        <v>80.53</v>
      </c>
      <c r="M156" s="347">
        <v>5.56</v>
      </c>
      <c r="N156" s="347">
        <v>88.97</v>
      </c>
      <c r="O156" s="348">
        <v>1330</v>
      </c>
      <c r="P156" s="345">
        <v>87.95</v>
      </c>
      <c r="Q156" s="345">
        <v>73.63</v>
      </c>
      <c r="R156" s="345">
        <v>53.86</v>
      </c>
      <c r="S156" s="345">
        <v>141.72999999999999</v>
      </c>
      <c r="T156" s="345">
        <v>722</v>
      </c>
      <c r="U156" s="345">
        <v>104.13</v>
      </c>
      <c r="V156" s="345">
        <v>562</v>
      </c>
      <c r="W156" s="345">
        <v>137.06</v>
      </c>
      <c r="X156" s="345">
        <v>11</v>
      </c>
      <c r="Y156" s="345">
        <v>0</v>
      </c>
      <c r="Z156" s="345">
        <v>1</v>
      </c>
      <c r="AA156" s="345">
        <v>7</v>
      </c>
      <c r="AB156" s="345">
        <v>7</v>
      </c>
      <c r="AC156" s="345">
        <v>7</v>
      </c>
      <c r="AD156" s="349">
        <v>1948</v>
      </c>
      <c r="AE156" s="349">
        <v>38</v>
      </c>
      <c r="AF156" s="349">
        <v>6</v>
      </c>
      <c r="AG156" s="349">
        <v>44</v>
      </c>
    </row>
    <row r="157" spans="1:33" x14ac:dyDescent="0.2">
      <c r="A157" s="344" t="s">
        <v>370</v>
      </c>
      <c r="B157" s="350" t="s">
        <v>371</v>
      </c>
      <c r="C157" s="346">
        <v>12970</v>
      </c>
      <c r="D157" s="346">
        <v>54</v>
      </c>
      <c r="E157" s="346">
        <v>1305</v>
      </c>
      <c r="F157" s="346">
        <v>2756</v>
      </c>
      <c r="G157" s="346">
        <v>1041</v>
      </c>
      <c r="H157" s="346">
        <v>18126</v>
      </c>
      <c r="I157" s="345">
        <v>17085</v>
      </c>
      <c r="J157" s="345">
        <v>42</v>
      </c>
      <c r="K157" s="347">
        <v>84.36</v>
      </c>
      <c r="L157" s="347">
        <v>82.38</v>
      </c>
      <c r="M157" s="347">
        <v>6.7</v>
      </c>
      <c r="N157" s="347">
        <v>88.55</v>
      </c>
      <c r="O157" s="348">
        <v>10941</v>
      </c>
      <c r="P157" s="345">
        <v>90.8</v>
      </c>
      <c r="Q157" s="345">
        <v>77.25</v>
      </c>
      <c r="R157" s="345">
        <v>45.11</v>
      </c>
      <c r="S157" s="345">
        <v>134.49</v>
      </c>
      <c r="T157" s="345">
        <v>3207</v>
      </c>
      <c r="U157" s="345">
        <v>103.71</v>
      </c>
      <c r="V157" s="345">
        <v>1171</v>
      </c>
      <c r="W157" s="345">
        <v>96.07</v>
      </c>
      <c r="X157" s="345">
        <v>20</v>
      </c>
      <c r="Y157" s="345">
        <v>83</v>
      </c>
      <c r="Z157" s="345">
        <v>11</v>
      </c>
      <c r="AA157" s="345">
        <v>17</v>
      </c>
      <c r="AB157" s="345">
        <v>36</v>
      </c>
      <c r="AC157" s="345">
        <v>53</v>
      </c>
      <c r="AD157" s="349">
        <v>12593</v>
      </c>
      <c r="AE157" s="349">
        <v>70</v>
      </c>
      <c r="AF157" s="349">
        <v>56</v>
      </c>
      <c r="AG157" s="349">
        <v>126</v>
      </c>
    </row>
    <row r="158" spans="1:33" x14ac:dyDescent="0.2">
      <c r="A158" s="344" t="s">
        <v>372</v>
      </c>
      <c r="B158" s="350" t="s">
        <v>373</v>
      </c>
      <c r="C158" s="346">
        <v>9006</v>
      </c>
      <c r="D158" s="346">
        <v>0</v>
      </c>
      <c r="E158" s="346">
        <v>907</v>
      </c>
      <c r="F158" s="346">
        <v>927</v>
      </c>
      <c r="G158" s="346">
        <v>520</v>
      </c>
      <c r="H158" s="346">
        <v>11360</v>
      </c>
      <c r="I158" s="345">
        <v>10840</v>
      </c>
      <c r="J158" s="345">
        <v>9</v>
      </c>
      <c r="K158" s="347">
        <v>84.24</v>
      </c>
      <c r="L158" s="347">
        <v>82.02</v>
      </c>
      <c r="M158" s="347">
        <v>8.3000000000000007</v>
      </c>
      <c r="N158" s="347">
        <v>89.73</v>
      </c>
      <c r="O158" s="348">
        <v>7282</v>
      </c>
      <c r="P158" s="345">
        <v>85.86</v>
      </c>
      <c r="Q158" s="345">
        <v>75.650000000000006</v>
      </c>
      <c r="R158" s="345">
        <v>47.84</v>
      </c>
      <c r="S158" s="345">
        <v>132.44</v>
      </c>
      <c r="T158" s="345">
        <v>1529</v>
      </c>
      <c r="U158" s="345">
        <v>104.23</v>
      </c>
      <c r="V158" s="345">
        <v>844</v>
      </c>
      <c r="W158" s="345">
        <v>128.77000000000001</v>
      </c>
      <c r="X158" s="345">
        <v>77</v>
      </c>
      <c r="Y158" s="345">
        <v>0</v>
      </c>
      <c r="Z158" s="345">
        <v>13</v>
      </c>
      <c r="AA158" s="345">
        <v>64</v>
      </c>
      <c r="AB158" s="345">
        <v>14</v>
      </c>
      <c r="AC158" s="345">
        <v>34</v>
      </c>
      <c r="AD158" s="349">
        <v>8291</v>
      </c>
      <c r="AE158" s="349">
        <v>45</v>
      </c>
      <c r="AF158" s="349">
        <v>40</v>
      </c>
      <c r="AG158" s="349">
        <v>85</v>
      </c>
    </row>
    <row r="159" spans="1:33" x14ac:dyDescent="0.2">
      <c r="A159" s="344" t="s">
        <v>374</v>
      </c>
      <c r="B159" s="350" t="s">
        <v>375</v>
      </c>
      <c r="C159" s="346">
        <v>1113</v>
      </c>
      <c r="D159" s="346">
        <v>0</v>
      </c>
      <c r="E159" s="346">
        <v>164</v>
      </c>
      <c r="F159" s="346">
        <v>201</v>
      </c>
      <c r="G159" s="346">
        <v>240</v>
      </c>
      <c r="H159" s="346">
        <v>1718</v>
      </c>
      <c r="I159" s="345">
        <v>1478</v>
      </c>
      <c r="J159" s="345">
        <v>1</v>
      </c>
      <c r="K159" s="347">
        <v>92.54</v>
      </c>
      <c r="L159" s="347">
        <v>91.42</v>
      </c>
      <c r="M159" s="347">
        <v>9.08</v>
      </c>
      <c r="N159" s="347">
        <v>100.61</v>
      </c>
      <c r="O159" s="348">
        <v>947</v>
      </c>
      <c r="P159" s="345">
        <v>85.42</v>
      </c>
      <c r="Q159" s="345">
        <v>79.98</v>
      </c>
      <c r="R159" s="345">
        <v>56.18</v>
      </c>
      <c r="S159" s="345">
        <v>141.06</v>
      </c>
      <c r="T159" s="345">
        <v>204</v>
      </c>
      <c r="U159" s="345">
        <v>156.09</v>
      </c>
      <c r="V159" s="345">
        <v>141</v>
      </c>
      <c r="W159" s="345">
        <v>135.30000000000001</v>
      </c>
      <c r="X159" s="345">
        <v>9</v>
      </c>
      <c r="Y159" s="345">
        <v>0</v>
      </c>
      <c r="Z159" s="345">
        <v>5</v>
      </c>
      <c r="AA159" s="345">
        <v>3</v>
      </c>
      <c r="AB159" s="345">
        <v>9</v>
      </c>
      <c r="AC159" s="345">
        <v>7</v>
      </c>
      <c r="AD159" s="349">
        <v>1099</v>
      </c>
      <c r="AE159" s="349">
        <v>5</v>
      </c>
      <c r="AF159" s="349">
        <v>0</v>
      </c>
      <c r="AG159" s="349">
        <v>5</v>
      </c>
    </row>
    <row r="160" spans="1:33" x14ac:dyDescent="0.2">
      <c r="A160" s="344" t="s">
        <v>376</v>
      </c>
      <c r="B160" s="350" t="s">
        <v>377</v>
      </c>
      <c r="C160" s="346">
        <v>20853</v>
      </c>
      <c r="D160" s="346">
        <v>183</v>
      </c>
      <c r="E160" s="346">
        <v>1295</v>
      </c>
      <c r="F160" s="346">
        <v>651</v>
      </c>
      <c r="G160" s="346">
        <v>1789</v>
      </c>
      <c r="H160" s="346">
        <v>24771</v>
      </c>
      <c r="I160" s="345">
        <v>22982</v>
      </c>
      <c r="J160" s="345">
        <v>176</v>
      </c>
      <c r="K160" s="347">
        <v>110.9</v>
      </c>
      <c r="L160" s="347">
        <v>112.35</v>
      </c>
      <c r="M160" s="347">
        <v>10.72</v>
      </c>
      <c r="N160" s="347">
        <v>117.29</v>
      </c>
      <c r="O160" s="348">
        <v>18584</v>
      </c>
      <c r="P160" s="345">
        <v>110.33</v>
      </c>
      <c r="Q160" s="345">
        <v>109.67</v>
      </c>
      <c r="R160" s="345">
        <v>69.05</v>
      </c>
      <c r="S160" s="345">
        <v>168.31</v>
      </c>
      <c r="T160" s="345">
        <v>1640</v>
      </c>
      <c r="U160" s="345">
        <v>171.67</v>
      </c>
      <c r="V160" s="345">
        <v>1286</v>
      </c>
      <c r="W160" s="345">
        <v>257.66000000000003</v>
      </c>
      <c r="X160" s="345">
        <v>126</v>
      </c>
      <c r="Y160" s="345">
        <v>1</v>
      </c>
      <c r="Z160" s="345">
        <v>43</v>
      </c>
      <c r="AA160" s="345">
        <v>14</v>
      </c>
      <c r="AB160" s="345">
        <v>96</v>
      </c>
      <c r="AC160" s="345">
        <v>17</v>
      </c>
      <c r="AD160" s="349">
        <v>19988</v>
      </c>
      <c r="AE160" s="349">
        <v>70</v>
      </c>
      <c r="AF160" s="349">
        <v>51</v>
      </c>
      <c r="AG160" s="349">
        <v>121</v>
      </c>
    </row>
    <row r="161" spans="1:33" x14ac:dyDescent="0.2">
      <c r="A161" s="344" t="s">
        <v>378</v>
      </c>
      <c r="B161" s="350" t="s">
        <v>379</v>
      </c>
      <c r="C161" s="346">
        <v>5392</v>
      </c>
      <c r="D161" s="346">
        <v>2</v>
      </c>
      <c r="E161" s="346">
        <v>129</v>
      </c>
      <c r="F161" s="346">
        <v>269</v>
      </c>
      <c r="G161" s="346">
        <v>228</v>
      </c>
      <c r="H161" s="346">
        <v>6020</v>
      </c>
      <c r="I161" s="345">
        <v>5792</v>
      </c>
      <c r="J161" s="345">
        <v>0</v>
      </c>
      <c r="K161" s="347">
        <v>88.63</v>
      </c>
      <c r="L161" s="347">
        <v>55.15</v>
      </c>
      <c r="M161" s="347">
        <v>2.81</v>
      </c>
      <c r="N161" s="347">
        <v>90.69</v>
      </c>
      <c r="O161" s="348">
        <v>4991</v>
      </c>
      <c r="P161" s="345">
        <v>97.51</v>
      </c>
      <c r="Q161" s="345">
        <v>66.25</v>
      </c>
      <c r="R161" s="345">
        <v>33.53</v>
      </c>
      <c r="S161" s="345">
        <v>130.44999999999999</v>
      </c>
      <c r="T161" s="345">
        <v>398</v>
      </c>
      <c r="U161" s="345">
        <v>110.53</v>
      </c>
      <c r="V161" s="345">
        <v>382</v>
      </c>
      <c r="W161" s="345">
        <v>0</v>
      </c>
      <c r="X161" s="345">
        <v>0</v>
      </c>
      <c r="Y161" s="345">
        <v>0</v>
      </c>
      <c r="Z161" s="345">
        <v>8</v>
      </c>
      <c r="AA161" s="345">
        <v>3</v>
      </c>
      <c r="AB161" s="345">
        <v>35</v>
      </c>
      <c r="AC161" s="345">
        <v>7</v>
      </c>
      <c r="AD161" s="349">
        <v>5390</v>
      </c>
      <c r="AE161" s="349">
        <v>25</v>
      </c>
      <c r="AF161" s="349">
        <v>45</v>
      </c>
      <c r="AG161" s="349">
        <v>70</v>
      </c>
    </row>
    <row r="162" spans="1:33" x14ac:dyDescent="0.2">
      <c r="A162" s="344" t="s">
        <v>380</v>
      </c>
      <c r="B162" s="350" t="s">
        <v>381</v>
      </c>
      <c r="C162" s="346">
        <v>1285</v>
      </c>
      <c r="D162" s="346">
        <v>0</v>
      </c>
      <c r="E162" s="346">
        <v>313</v>
      </c>
      <c r="F162" s="346">
        <v>163</v>
      </c>
      <c r="G162" s="346">
        <v>231</v>
      </c>
      <c r="H162" s="346">
        <v>1992</v>
      </c>
      <c r="I162" s="345">
        <v>1761</v>
      </c>
      <c r="J162" s="345">
        <v>1</v>
      </c>
      <c r="K162" s="347">
        <v>81.12</v>
      </c>
      <c r="L162" s="347">
        <v>79.849999999999994</v>
      </c>
      <c r="M162" s="347">
        <v>7.73</v>
      </c>
      <c r="N162" s="347">
        <v>87.25</v>
      </c>
      <c r="O162" s="348">
        <v>1018</v>
      </c>
      <c r="P162" s="345">
        <v>130.24</v>
      </c>
      <c r="Q162" s="345">
        <v>85.32</v>
      </c>
      <c r="R162" s="345">
        <v>76.41</v>
      </c>
      <c r="S162" s="345">
        <v>198.07</v>
      </c>
      <c r="T162" s="345">
        <v>267</v>
      </c>
      <c r="U162" s="345">
        <v>95.23</v>
      </c>
      <c r="V162" s="345">
        <v>160</v>
      </c>
      <c r="W162" s="345">
        <v>242.38</v>
      </c>
      <c r="X162" s="345">
        <v>31</v>
      </c>
      <c r="Y162" s="345">
        <v>22</v>
      </c>
      <c r="Z162" s="345">
        <v>0</v>
      </c>
      <c r="AA162" s="345">
        <v>0</v>
      </c>
      <c r="AB162" s="345">
        <v>19</v>
      </c>
      <c r="AC162" s="345">
        <v>6</v>
      </c>
      <c r="AD162" s="349">
        <v>1265</v>
      </c>
      <c r="AE162" s="349">
        <v>9</v>
      </c>
      <c r="AF162" s="349">
        <v>3</v>
      </c>
      <c r="AG162" s="349">
        <v>12</v>
      </c>
    </row>
    <row r="163" spans="1:33" x14ac:dyDescent="0.2">
      <c r="A163" s="344" t="s">
        <v>382</v>
      </c>
      <c r="B163" s="350" t="s">
        <v>383</v>
      </c>
      <c r="C163" s="346">
        <v>52250</v>
      </c>
      <c r="D163" s="346">
        <v>19</v>
      </c>
      <c r="E163" s="346">
        <v>2519</v>
      </c>
      <c r="F163" s="346">
        <v>3961</v>
      </c>
      <c r="G163" s="346">
        <v>724</v>
      </c>
      <c r="H163" s="346">
        <v>59473</v>
      </c>
      <c r="I163" s="345">
        <v>58749</v>
      </c>
      <c r="J163" s="345">
        <v>19</v>
      </c>
      <c r="K163" s="347">
        <v>83.93</v>
      </c>
      <c r="L163" s="347">
        <v>83.45</v>
      </c>
      <c r="M163" s="347">
        <v>8.26</v>
      </c>
      <c r="N163" s="347">
        <v>86.21</v>
      </c>
      <c r="O163" s="348">
        <v>44121</v>
      </c>
      <c r="P163" s="345">
        <v>85.22</v>
      </c>
      <c r="Q163" s="345">
        <v>77.709999999999994</v>
      </c>
      <c r="R163" s="345">
        <v>43.99</v>
      </c>
      <c r="S163" s="345">
        <v>127.7</v>
      </c>
      <c r="T163" s="345">
        <v>5278</v>
      </c>
      <c r="U163" s="345">
        <v>101.85</v>
      </c>
      <c r="V163" s="345">
        <v>5399</v>
      </c>
      <c r="W163" s="345">
        <v>126.98</v>
      </c>
      <c r="X163" s="345">
        <v>132</v>
      </c>
      <c r="Y163" s="345">
        <v>47</v>
      </c>
      <c r="Z163" s="345">
        <v>264</v>
      </c>
      <c r="AA163" s="345">
        <v>185</v>
      </c>
      <c r="AB163" s="345">
        <v>54</v>
      </c>
      <c r="AC163" s="345">
        <v>16</v>
      </c>
      <c r="AD163" s="349">
        <v>49640</v>
      </c>
      <c r="AE163" s="349">
        <v>336</v>
      </c>
      <c r="AF163" s="349">
        <v>328</v>
      </c>
      <c r="AG163" s="349">
        <v>664</v>
      </c>
    </row>
    <row r="164" spans="1:33" x14ac:dyDescent="0.2">
      <c r="A164" s="344" t="s">
        <v>384</v>
      </c>
      <c r="B164" s="350" t="s">
        <v>385</v>
      </c>
      <c r="C164" s="346">
        <v>3772</v>
      </c>
      <c r="D164" s="346">
        <v>173</v>
      </c>
      <c r="E164" s="346">
        <v>303</v>
      </c>
      <c r="F164" s="346">
        <v>330</v>
      </c>
      <c r="G164" s="346">
        <v>207</v>
      </c>
      <c r="H164" s="346">
        <v>4785</v>
      </c>
      <c r="I164" s="345">
        <v>4578</v>
      </c>
      <c r="J164" s="345">
        <v>83</v>
      </c>
      <c r="K164" s="347">
        <v>101.48</v>
      </c>
      <c r="L164" s="347">
        <v>100.47</v>
      </c>
      <c r="M164" s="347">
        <v>5.91</v>
      </c>
      <c r="N164" s="347">
        <v>105.01</v>
      </c>
      <c r="O164" s="348">
        <v>2822</v>
      </c>
      <c r="P164" s="345">
        <v>100.04</v>
      </c>
      <c r="Q164" s="345">
        <v>98.84</v>
      </c>
      <c r="R164" s="345">
        <v>41.63</v>
      </c>
      <c r="S164" s="345">
        <v>136.57</v>
      </c>
      <c r="T164" s="345">
        <v>433</v>
      </c>
      <c r="U164" s="345">
        <v>130.94999999999999</v>
      </c>
      <c r="V164" s="345">
        <v>376</v>
      </c>
      <c r="W164" s="345">
        <v>168.91</v>
      </c>
      <c r="X164" s="345">
        <v>8</v>
      </c>
      <c r="Y164" s="345">
        <v>0</v>
      </c>
      <c r="Z164" s="345">
        <v>1</v>
      </c>
      <c r="AA164" s="345">
        <v>11</v>
      </c>
      <c r="AB164" s="345">
        <v>3</v>
      </c>
      <c r="AC164" s="345">
        <v>9</v>
      </c>
      <c r="AD164" s="349">
        <v>3359</v>
      </c>
      <c r="AE164" s="349">
        <v>5</v>
      </c>
      <c r="AF164" s="349">
        <v>4</v>
      </c>
      <c r="AG164" s="349">
        <v>9</v>
      </c>
    </row>
    <row r="165" spans="1:33" x14ac:dyDescent="0.2">
      <c r="A165" s="344" t="s">
        <v>386</v>
      </c>
      <c r="B165" s="350" t="s">
        <v>387</v>
      </c>
      <c r="C165" s="346">
        <v>7726</v>
      </c>
      <c r="D165" s="346">
        <v>43</v>
      </c>
      <c r="E165" s="346">
        <v>294</v>
      </c>
      <c r="F165" s="346">
        <v>1150</v>
      </c>
      <c r="G165" s="346">
        <v>801</v>
      </c>
      <c r="H165" s="346">
        <v>10014</v>
      </c>
      <c r="I165" s="345">
        <v>9213</v>
      </c>
      <c r="J165" s="345">
        <v>48</v>
      </c>
      <c r="K165" s="347">
        <v>96.98</v>
      </c>
      <c r="L165" s="347">
        <v>95.75</v>
      </c>
      <c r="M165" s="347">
        <v>6.02</v>
      </c>
      <c r="N165" s="347">
        <v>101.53</v>
      </c>
      <c r="O165" s="348">
        <v>6110</v>
      </c>
      <c r="P165" s="345">
        <v>89.37</v>
      </c>
      <c r="Q165" s="345">
        <v>85.8</v>
      </c>
      <c r="R165" s="345">
        <v>18.170000000000002</v>
      </c>
      <c r="S165" s="345">
        <v>107.2</v>
      </c>
      <c r="T165" s="345">
        <v>1275</v>
      </c>
      <c r="U165" s="345">
        <v>159.21</v>
      </c>
      <c r="V165" s="345">
        <v>1313</v>
      </c>
      <c r="W165" s="345">
        <v>197.43</v>
      </c>
      <c r="X165" s="345">
        <v>76</v>
      </c>
      <c r="Y165" s="345">
        <v>0</v>
      </c>
      <c r="Z165" s="345">
        <v>8</v>
      </c>
      <c r="AA165" s="345">
        <v>18</v>
      </c>
      <c r="AB165" s="345">
        <v>116</v>
      </c>
      <c r="AC165" s="345">
        <v>27</v>
      </c>
      <c r="AD165" s="349">
        <v>7292</v>
      </c>
      <c r="AE165" s="349">
        <v>35</v>
      </c>
      <c r="AF165" s="349">
        <v>21</v>
      </c>
      <c r="AG165" s="349">
        <v>56</v>
      </c>
    </row>
    <row r="166" spans="1:33" x14ac:dyDescent="0.2">
      <c r="A166" s="344" t="s">
        <v>388</v>
      </c>
      <c r="B166" s="350" t="s">
        <v>389</v>
      </c>
      <c r="C166" s="346">
        <v>2178</v>
      </c>
      <c r="D166" s="346">
        <v>0</v>
      </c>
      <c r="E166" s="346">
        <v>32</v>
      </c>
      <c r="F166" s="346">
        <v>812</v>
      </c>
      <c r="G166" s="346">
        <v>64</v>
      </c>
      <c r="H166" s="346">
        <v>3086</v>
      </c>
      <c r="I166" s="345">
        <v>3022</v>
      </c>
      <c r="J166" s="345">
        <v>0</v>
      </c>
      <c r="K166" s="347">
        <v>103.39</v>
      </c>
      <c r="L166" s="347">
        <v>102.43</v>
      </c>
      <c r="M166" s="347">
        <v>4.74</v>
      </c>
      <c r="N166" s="347">
        <v>106.41</v>
      </c>
      <c r="O166" s="348">
        <v>1925</v>
      </c>
      <c r="P166" s="345">
        <v>87.45</v>
      </c>
      <c r="Q166" s="345">
        <v>87.05</v>
      </c>
      <c r="R166" s="345">
        <v>14.56</v>
      </c>
      <c r="S166" s="345">
        <v>101.34</v>
      </c>
      <c r="T166" s="345">
        <v>766</v>
      </c>
      <c r="U166" s="345">
        <v>133.69</v>
      </c>
      <c r="V166" s="345">
        <v>238</v>
      </c>
      <c r="W166" s="345">
        <v>113.92</v>
      </c>
      <c r="X166" s="345">
        <v>1</v>
      </c>
      <c r="Y166" s="345">
        <v>0</v>
      </c>
      <c r="Z166" s="345">
        <v>5</v>
      </c>
      <c r="AA166" s="345">
        <v>2</v>
      </c>
      <c r="AB166" s="345">
        <v>9</v>
      </c>
      <c r="AC166" s="345">
        <v>1</v>
      </c>
      <c r="AD166" s="349">
        <v>2178</v>
      </c>
      <c r="AE166" s="349">
        <v>7</v>
      </c>
      <c r="AF166" s="349">
        <v>7</v>
      </c>
      <c r="AG166" s="349">
        <v>14</v>
      </c>
    </row>
    <row r="167" spans="1:33" x14ac:dyDescent="0.2">
      <c r="A167" s="344" t="s">
        <v>390</v>
      </c>
      <c r="B167" s="350" t="s">
        <v>391</v>
      </c>
      <c r="C167" s="346">
        <v>4207</v>
      </c>
      <c r="D167" s="346">
        <v>0</v>
      </c>
      <c r="E167" s="346">
        <v>67</v>
      </c>
      <c r="F167" s="346">
        <v>594</v>
      </c>
      <c r="G167" s="346">
        <v>326</v>
      </c>
      <c r="H167" s="346">
        <v>5194</v>
      </c>
      <c r="I167" s="345">
        <v>4868</v>
      </c>
      <c r="J167" s="345">
        <v>2</v>
      </c>
      <c r="K167" s="347">
        <v>96.55</v>
      </c>
      <c r="L167" s="347">
        <v>96.24</v>
      </c>
      <c r="M167" s="347">
        <v>3.61</v>
      </c>
      <c r="N167" s="347">
        <v>99.84</v>
      </c>
      <c r="O167" s="348">
        <v>3837</v>
      </c>
      <c r="P167" s="345">
        <v>90.41</v>
      </c>
      <c r="Q167" s="345">
        <v>92.25</v>
      </c>
      <c r="R167" s="345">
        <v>27.3</v>
      </c>
      <c r="S167" s="345">
        <v>117.58</v>
      </c>
      <c r="T167" s="345">
        <v>601</v>
      </c>
      <c r="U167" s="345">
        <v>112.85</v>
      </c>
      <c r="V167" s="345">
        <v>296</v>
      </c>
      <c r="W167" s="345">
        <v>152.38999999999999</v>
      </c>
      <c r="X167" s="345">
        <v>60</v>
      </c>
      <c r="Y167" s="345">
        <v>44</v>
      </c>
      <c r="Z167" s="345">
        <v>7</v>
      </c>
      <c r="AA167" s="345">
        <v>0</v>
      </c>
      <c r="AB167" s="345">
        <v>12</v>
      </c>
      <c r="AC167" s="345">
        <v>7</v>
      </c>
      <c r="AD167" s="349">
        <v>4206</v>
      </c>
      <c r="AE167" s="349">
        <v>23</v>
      </c>
      <c r="AF167" s="349">
        <v>10</v>
      </c>
      <c r="AG167" s="349">
        <v>33</v>
      </c>
    </row>
    <row r="168" spans="1:33" x14ac:dyDescent="0.2">
      <c r="A168" s="344" t="s">
        <v>392</v>
      </c>
      <c r="B168" s="350" t="s">
        <v>393</v>
      </c>
      <c r="C168" s="346">
        <v>46322</v>
      </c>
      <c r="D168" s="346">
        <v>151</v>
      </c>
      <c r="E168" s="346">
        <v>1562</v>
      </c>
      <c r="F168" s="346">
        <v>3225</v>
      </c>
      <c r="G168" s="346">
        <v>1197</v>
      </c>
      <c r="H168" s="346">
        <v>52457</v>
      </c>
      <c r="I168" s="345">
        <v>51260</v>
      </c>
      <c r="J168" s="345">
        <v>48</v>
      </c>
      <c r="K168" s="347">
        <v>82</v>
      </c>
      <c r="L168" s="347">
        <v>82.47</v>
      </c>
      <c r="M168" s="347">
        <v>4.57</v>
      </c>
      <c r="N168" s="347">
        <v>83.68</v>
      </c>
      <c r="O168" s="348">
        <v>43061</v>
      </c>
      <c r="P168" s="345">
        <v>79.72</v>
      </c>
      <c r="Q168" s="345">
        <v>73.98</v>
      </c>
      <c r="R168" s="345">
        <v>38.22</v>
      </c>
      <c r="S168" s="345">
        <v>115.76</v>
      </c>
      <c r="T168" s="345">
        <v>4542</v>
      </c>
      <c r="U168" s="345">
        <v>108.15</v>
      </c>
      <c r="V168" s="345">
        <v>2667</v>
      </c>
      <c r="W168" s="345">
        <v>116.5</v>
      </c>
      <c r="X168" s="345">
        <v>2</v>
      </c>
      <c r="Y168" s="345">
        <v>21</v>
      </c>
      <c r="Z168" s="345">
        <v>263</v>
      </c>
      <c r="AA168" s="345">
        <v>40</v>
      </c>
      <c r="AB168" s="345">
        <v>60</v>
      </c>
      <c r="AC168" s="345">
        <v>39</v>
      </c>
      <c r="AD168" s="349">
        <v>45807</v>
      </c>
      <c r="AE168" s="349">
        <v>160</v>
      </c>
      <c r="AF168" s="349">
        <v>141</v>
      </c>
      <c r="AG168" s="349">
        <v>301</v>
      </c>
    </row>
    <row r="169" spans="1:33" x14ac:dyDescent="0.2">
      <c r="A169" s="344" t="s">
        <v>394</v>
      </c>
      <c r="B169" s="350" t="s">
        <v>395</v>
      </c>
      <c r="C169" s="346">
        <v>1713</v>
      </c>
      <c r="D169" s="346">
        <v>0</v>
      </c>
      <c r="E169" s="346">
        <v>385</v>
      </c>
      <c r="F169" s="346">
        <v>234</v>
      </c>
      <c r="G169" s="346">
        <v>125</v>
      </c>
      <c r="H169" s="346">
        <v>2457</v>
      </c>
      <c r="I169" s="345">
        <v>2332</v>
      </c>
      <c r="J169" s="345">
        <v>0</v>
      </c>
      <c r="K169" s="347">
        <v>82.12</v>
      </c>
      <c r="L169" s="347">
        <v>79.98</v>
      </c>
      <c r="M169" s="347">
        <v>5.87</v>
      </c>
      <c r="N169" s="347">
        <v>85.18</v>
      </c>
      <c r="O169" s="348">
        <v>1547</v>
      </c>
      <c r="P169" s="345">
        <v>100.47</v>
      </c>
      <c r="Q169" s="345">
        <v>75.239999999999995</v>
      </c>
      <c r="R169" s="345">
        <v>67.73</v>
      </c>
      <c r="S169" s="345">
        <v>164.01</v>
      </c>
      <c r="T169" s="345">
        <v>421</v>
      </c>
      <c r="U169" s="345">
        <v>92.41</v>
      </c>
      <c r="V169" s="345">
        <v>61</v>
      </c>
      <c r="W169" s="345">
        <v>0</v>
      </c>
      <c r="X169" s="345">
        <v>0</v>
      </c>
      <c r="Y169" s="345">
        <v>15</v>
      </c>
      <c r="Z169" s="345">
        <v>0</v>
      </c>
      <c r="AA169" s="345">
        <v>16</v>
      </c>
      <c r="AB169" s="345">
        <v>10</v>
      </c>
      <c r="AC169" s="345">
        <v>0</v>
      </c>
      <c r="AD169" s="349">
        <v>1699</v>
      </c>
      <c r="AE169" s="349">
        <v>7</v>
      </c>
      <c r="AF169" s="349">
        <v>9</v>
      </c>
      <c r="AG169" s="349">
        <v>16</v>
      </c>
    </row>
    <row r="170" spans="1:33" x14ac:dyDescent="0.2">
      <c r="A170" s="344" t="s">
        <v>396</v>
      </c>
      <c r="B170" s="350" t="s">
        <v>397</v>
      </c>
      <c r="C170" s="346">
        <v>4058</v>
      </c>
      <c r="D170" s="346">
        <v>0</v>
      </c>
      <c r="E170" s="346">
        <v>409</v>
      </c>
      <c r="F170" s="346">
        <v>715</v>
      </c>
      <c r="G170" s="346">
        <v>1105</v>
      </c>
      <c r="H170" s="346">
        <v>6287</v>
      </c>
      <c r="I170" s="345">
        <v>5182</v>
      </c>
      <c r="J170" s="345">
        <v>6</v>
      </c>
      <c r="K170" s="347">
        <v>102.15</v>
      </c>
      <c r="L170" s="347">
        <v>96.8</v>
      </c>
      <c r="M170" s="347">
        <v>7.51</v>
      </c>
      <c r="N170" s="347">
        <v>108.03</v>
      </c>
      <c r="O170" s="348">
        <v>3033</v>
      </c>
      <c r="P170" s="345">
        <v>91.85</v>
      </c>
      <c r="Q170" s="345">
        <v>86.91</v>
      </c>
      <c r="R170" s="345">
        <v>40.53</v>
      </c>
      <c r="S170" s="345">
        <v>132.06</v>
      </c>
      <c r="T170" s="345">
        <v>882</v>
      </c>
      <c r="U170" s="345">
        <v>127.64</v>
      </c>
      <c r="V170" s="345">
        <v>658</v>
      </c>
      <c r="W170" s="345">
        <v>177.19</v>
      </c>
      <c r="X170" s="345">
        <v>61</v>
      </c>
      <c r="Y170" s="345">
        <v>0</v>
      </c>
      <c r="Z170" s="345">
        <v>2</v>
      </c>
      <c r="AA170" s="345">
        <v>8</v>
      </c>
      <c r="AB170" s="345">
        <v>15</v>
      </c>
      <c r="AC170" s="345">
        <v>22</v>
      </c>
      <c r="AD170" s="349">
        <v>3666</v>
      </c>
      <c r="AE170" s="349">
        <v>14</v>
      </c>
      <c r="AF170" s="349">
        <v>6</v>
      </c>
      <c r="AG170" s="349">
        <v>20</v>
      </c>
    </row>
    <row r="171" spans="1:33" x14ac:dyDescent="0.2">
      <c r="A171" s="344" t="s">
        <v>398</v>
      </c>
      <c r="B171" s="350" t="s">
        <v>399</v>
      </c>
      <c r="C171" s="346">
        <v>541</v>
      </c>
      <c r="D171" s="346">
        <v>0</v>
      </c>
      <c r="E171" s="346">
        <v>66</v>
      </c>
      <c r="F171" s="346">
        <v>76</v>
      </c>
      <c r="G171" s="346">
        <v>165</v>
      </c>
      <c r="H171" s="346">
        <v>848</v>
      </c>
      <c r="I171" s="345">
        <v>683</v>
      </c>
      <c r="J171" s="345">
        <v>0</v>
      </c>
      <c r="K171" s="347">
        <v>92.38</v>
      </c>
      <c r="L171" s="347">
        <v>89.01</v>
      </c>
      <c r="M171" s="347">
        <v>2.2000000000000002</v>
      </c>
      <c r="N171" s="347">
        <v>93.95</v>
      </c>
      <c r="O171" s="348">
        <v>421</v>
      </c>
      <c r="P171" s="345">
        <v>79.69</v>
      </c>
      <c r="Q171" s="345">
        <v>75.510000000000005</v>
      </c>
      <c r="R171" s="345">
        <v>62.67</v>
      </c>
      <c r="S171" s="345">
        <v>141.91999999999999</v>
      </c>
      <c r="T171" s="345">
        <v>142</v>
      </c>
      <c r="U171" s="345">
        <v>101.98</v>
      </c>
      <c r="V171" s="345">
        <v>102</v>
      </c>
      <c r="W171" s="345">
        <v>0</v>
      </c>
      <c r="X171" s="345">
        <v>0</v>
      </c>
      <c r="Y171" s="345">
        <v>0</v>
      </c>
      <c r="Z171" s="345">
        <v>0</v>
      </c>
      <c r="AA171" s="345">
        <v>0</v>
      </c>
      <c r="AB171" s="345">
        <v>11</v>
      </c>
      <c r="AC171" s="345">
        <v>1</v>
      </c>
      <c r="AD171" s="349">
        <v>540</v>
      </c>
      <c r="AE171" s="349">
        <v>1</v>
      </c>
      <c r="AF171" s="349">
        <v>1</v>
      </c>
      <c r="AG171" s="349">
        <v>2</v>
      </c>
    </row>
    <row r="172" spans="1:33" x14ac:dyDescent="0.2">
      <c r="A172" s="344" t="s">
        <v>400</v>
      </c>
      <c r="B172" s="350" t="s">
        <v>401</v>
      </c>
      <c r="C172" s="346">
        <v>5083</v>
      </c>
      <c r="D172" s="346">
        <v>0</v>
      </c>
      <c r="E172" s="346">
        <v>401</v>
      </c>
      <c r="F172" s="346">
        <v>915</v>
      </c>
      <c r="G172" s="346">
        <v>406</v>
      </c>
      <c r="H172" s="346">
        <v>6805</v>
      </c>
      <c r="I172" s="345">
        <v>6399</v>
      </c>
      <c r="J172" s="345">
        <v>0</v>
      </c>
      <c r="K172" s="347">
        <v>93.39</v>
      </c>
      <c r="L172" s="347">
        <v>92.83</v>
      </c>
      <c r="M172" s="347">
        <v>3.37</v>
      </c>
      <c r="N172" s="347">
        <v>95.17</v>
      </c>
      <c r="O172" s="348">
        <v>4226</v>
      </c>
      <c r="P172" s="345">
        <v>85.62</v>
      </c>
      <c r="Q172" s="345">
        <v>83.98</v>
      </c>
      <c r="R172" s="345">
        <v>25.98</v>
      </c>
      <c r="S172" s="345">
        <v>110.73</v>
      </c>
      <c r="T172" s="345">
        <v>1139</v>
      </c>
      <c r="U172" s="345">
        <v>114.88</v>
      </c>
      <c r="V172" s="345">
        <v>724</v>
      </c>
      <c r="W172" s="345">
        <v>110.68</v>
      </c>
      <c r="X172" s="345">
        <v>31</v>
      </c>
      <c r="Y172" s="345">
        <v>0</v>
      </c>
      <c r="Z172" s="345">
        <v>13</v>
      </c>
      <c r="AA172" s="345">
        <v>12</v>
      </c>
      <c r="AB172" s="345">
        <v>25</v>
      </c>
      <c r="AC172" s="345">
        <v>11</v>
      </c>
      <c r="AD172" s="349">
        <v>4958</v>
      </c>
      <c r="AE172" s="349">
        <v>10</v>
      </c>
      <c r="AF172" s="349">
        <v>11</v>
      </c>
      <c r="AG172" s="349">
        <v>21</v>
      </c>
    </row>
    <row r="173" spans="1:33" x14ac:dyDescent="0.2">
      <c r="A173" s="344" t="s">
        <v>402</v>
      </c>
      <c r="B173" s="350" t="s">
        <v>403</v>
      </c>
      <c r="C173" s="346">
        <v>10197</v>
      </c>
      <c r="D173" s="346">
        <v>21</v>
      </c>
      <c r="E173" s="346">
        <v>410</v>
      </c>
      <c r="F173" s="346">
        <v>806</v>
      </c>
      <c r="G173" s="346">
        <v>719</v>
      </c>
      <c r="H173" s="346">
        <v>12153</v>
      </c>
      <c r="I173" s="345">
        <v>11434</v>
      </c>
      <c r="J173" s="345">
        <v>122</v>
      </c>
      <c r="K173" s="347">
        <v>113.85</v>
      </c>
      <c r="L173" s="347">
        <v>120.4</v>
      </c>
      <c r="M173" s="347">
        <v>9</v>
      </c>
      <c r="N173" s="347">
        <v>116.62</v>
      </c>
      <c r="O173" s="348">
        <v>8847</v>
      </c>
      <c r="P173" s="345">
        <v>106.01</v>
      </c>
      <c r="Q173" s="345">
        <v>102.67</v>
      </c>
      <c r="R173" s="345">
        <v>39.03</v>
      </c>
      <c r="S173" s="345">
        <v>135.06</v>
      </c>
      <c r="T173" s="345">
        <v>919</v>
      </c>
      <c r="U173" s="345">
        <v>150.49</v>
      </c>
      <c r="V173" s="345">
        <v>1217</v>
      </c>
      <c r="W173" s="345">
        <v>255.89</v>
      </c>
      <c r="X173" s="345">
        <v>33</v>
      </c>
      <c r="Y173" s="345">
        <v>0</v>
      </c>
      <c r="Z173" s="345">
        <v>1</v>
      </c>
      <c r="AA173" s="345">
        <v>8</v>
      </c>
      <c r="AB173" s="345">
        <v>23</v>
      </c>
      <c r="AC173" s="345">
        <v>12</v>
      </c>
      <c r="AD173" s="349">
        <v>10113</v>
      </c>
      <c r="AE173" s="349">
        <v>9</v>
      </c>
      <c r="AF173" s="349">
        <v>28</v>
      </c>
      <c r="AG173" s="349">
        <v>37</v>
      </c>
    </row>
    <row r="174" spans="1:33" x14ac:dyDescent="0.2">
      <c r="A174" s="344" t="s">
        <v>404</v>
      </c>
      <c r="B174" s="350" t="s">
        <v>405</v>
      </c>
      <c r="C174" s="346">
        <v>1077</v>
      </c>
      <c r="D174" s="346">
        <v>0</v>
      </c>
      <c r="E174" s="346">
        <v>38</v>
      </c>
      <c r="F174" s="346">
        <v>281</v>
      </c>
      <c r="G174" s="346">
        <v>221</v>
      </c>
      <c r="H174" s="346">
        <v>1617</v>
      </c>
      <c r="I174" s="345">
        <v>1396</v>
      </c>
      <c r="J174" s="345">
        <v>0</v>
      </c>
      <c r="K174" s="347">
        <v>88.67</v>
      </c>
      <c r="L174" s="347">
        <v>85</v>
      </c>
      <c r="M174" s="347">
        <v>7.77</v>
      </c>
      <c r="N174" s="347">
        <v>95.19</v>
      </c>
      <c r="O174" s="348">
        <v>797</v>
      </c>
      <c r="P174" s="345">
        <v>81.5</v>
      </c>
      <c r="Q174" s="345">
        <v>76.180000000000007</v>
      </c>
      <c r="R174" s="345">
        <v>40.15</v>
      </c>
      <c r="S174" s="345">
        <v>120.87</v>
      </c>
      <c r="T174" s="345">
        <v>153</v>
      </c>
      <c r="U174" s="345">
        <v>120.93</v>
      </c>
      <c r="V174" s="345">
        <v>188</v>
      </c>
      <c r="W174" s="345">
        <v>0</v>
      </c>
      <c r="X174" s="345">
        <v>0</v>
      </c>
      <c r="Y174" s="345">
        <v>0</v>
      </c>
      <c r="Z174" s="345">
        <v>0</v>
      </c>
      <c r="AA174" s="345">
        <v>3</v>
      </c>
      <c r="AB174" s="345">
        <v>0</v>
      </c>
      <c r="AC174" s="345">
        <v>7</v>
      </c>
      <c r="AD174" s="349">
        <v>964</v>
      </c>
      <c r="AE174" s="349">
        <v>3</v>
      </c>
      <c r="AF174" s="349">
        <v>7</v>
      </c>
      <c r="AG174" s="349">
        <v>10</v>
      </c>
    </row>
    <row r="175" spans="1:33" x14ac:dyDescent="0.2">
      <c r="A175" s="344" t="s">
        <v>406</v>
      </c>
      <c r="B175" s="350" t="s">
        <v>407</v>
      </c>
      <c r="C175" s="346">
        <v>1313</v>
      </c>
      <c r="D175" s="346">
        <v>0</v>
      </c>
      <c r="E175" s="346">
        <v>109</v>
      </c>
      <c r="F175" s="346">
        <v>210</v>
      </c>
      <c r="G175" s="346">
        <v>302</v>
      </c>
      <c r="H175" s="346">
        <v>1934</v>
      </c>
      <c r="I175" s="345">
        <v>1632</v>
      </c>
      <c r="J175" s="345">
        <v>0</v>
      </c>
      <c r="K175" s="347">
        <v>93.82</v>
      </c>
      <c r="L175" s="347">
        <v>93.64</v>
      </c>
      <c r="M175" s="347">
        <v>3.76</v>
      </c>
      <c r="N175" s="347">
        <v>96.29</v>
      </c>
      <c r="O175" s="348">
        <v>897</v>
      </c>
      <c r="P175" s="345">
        <v>85.7</v>
      </c>
      <c r="Q175" s="345">
        <v>79.08</v>
      </c>
      <c r="R175" s="345">
        <v>30.86</v>
      </c>
      <c r="S175" s="345">
        <v>114.76</v>
      </c>
      <c r="T175" s="345">
        <v>291</v>
      </c>
      <c r="U175" s="345">
        <v>112.65</v>
      </c>
      <c r="V175" s="345">
        <v>388</v>
      </c>
      <c r="W175" s="345">
        <v>115.63</v>
      </c>
      <c r="X175" s="345">
        <v>1</v>
      </c>
      <c r="Y175" s="345">
        <v>0</v>
      </c>
      <c r="Z175" s="345">
        <v>0</v>
      </c>
      <c r="AA175" s="345">
        <v>0</v>
      </c>
      <c r="AB175" s="345">
        <v>14</v>
      </c>
      <c r="AC175" s="345">
        <v>5</v>
      </c>
      <c r="AD175" s="349">
        <v>1304</v>
      </c>
      <c r="AE175" s="349">
        <v>27</v>
      </c>
      <c r="AF175" s="349">
        <v>5</v>
      </c>
      <c r="AG175" s="349">
        <v>32</v>
      </c>
    </row>
    <row r="176" spans="1:33" x14ac:dyDescent="0.2">
      <c r="A176" s="344" t="s">
        <v>408</v>
      </c>
      <c r="B176" s="350" t="s">
        <v>409</v>
      </c>
      <c r="C176" s="346">
        <v>5741</v>
      </c>
      <c r="D176" s="346">
        <v>3</v>
      </c>
      <c r="E176" s="346">
        <v>161</v>
      </c>
      <c r="F176" s="346">
        <v>791</v>
      </c>
      <c r="G176" s="346">
        <v>677</v>
      </c>
      <c r="H176" s="346">
        <v>7373</v>
      </c>
      <c r="I176" s="345">
        <v>6696</v>
      </c>
      <c r="J176" s="345">
        <v>24</v>
      </c>
      <c r="K176" s="347">
        <v>117.08</v>
      </c>
      <c r="L176" s="347">
        <v>116.05</v>
      </c>
      <c r="M176" s="347">
        <v>6.07</v>
      </c>
      <c r="N176" s="347">
        <v>121.66</v>
      </c>
      <c r="O176" s="348">
        <v>4146</v>
      </c>
      <c r="P176" s="345">
        <v>108.78</v>
      </c>
      <c r="Q176" s="345">
        <v>100.6</v>
      </c>
      <c r="R176" s="345">
        <v>47.69</v>
      </c>
      <c r="S176" s="345">
        <v>151.85</v>
      </c>
      <c r="T176" s="345">
        <v>858</v>
      </c>
      <c r="U176" s="345">
        <v>160.22</v>
      </c>
      <c r="V176" s="345">
        <v>1244</v>
      </c>
      <c r="W176" s="345">
        <v>0</v>
      </c>
      <c r="X176" s="345">
        <v>0</v>
      </c>
      <c r="Y176" s="345">
        <v>0</v>
      </c>
      <c r="Z176" s="345">
        <v>1</v>
      </c>
      <c r="AA176" s="345">
        <v>1</v>
      </c>
      <c r="AB176" s="345">
        <v>35</v>
      </c>
      <c r="AC176" s="345">
        <v>27</v>
      </c>
      <c r="AD176" s="349">
        <v>5440</v>
      </c>
      <c r="AE176" s="349">
        <v>13</v>
      </c>
      <c r="AF176" s="349">
        <v>0</v>
      </c>
      <c r="AG176" s="349">
        <v>13</v>
      </c>
    </row>
    <row r="177" spans="1:33" x14ac:dyDescent="0.2">
      <c r="A177" s="344" t="s">
        <v>410</v>
      </c>
      <c r="B177" s="350" t="s">
        <v>411</v>
      </c>
      <c r="C177" s="346">
        <v>13122</v>
      </c>
      <c r="D177" s="346">
        <v>4</v>
      </c>
      <c r="E177" s="346">
        <v>539</v>
      </c>
      <c r="F177" s="346">
        <v>1481</v>
      </c>
      <c r="G177" s="346">
        <v>246</v>
      </c>
      <c r="H177" s="346">
        <v>15392</v>
      </c>
      <c r="I177" s="345">
        <v>15146</v>
      </c>
      <c r="J177" s="345">
        <v>18</v>
      </c>
      <c r="K177" s="347">
        <v>86.12</v>
      </c>
      <c r="L177" s="347">
        <v>85.59</v>
      </c>
      <c r="M177" s="347">
        <v>7.86</v>
      </c>
      <c r="N177" s="347">
        <v>88.58</v>
      </c>
      <c r="O177" s="348">
        <v>12474</v>
      </c>
      <c r="P177" s="345">
        <v>86</v>
      </c>
      <c r="Q177" s="345">
        <v>80.28</v>
      </c>
      <c r="R177" s="345">
        <v>51.81</v>
      </c>
      <c r="S177" s="345">
        <v>123.47</v>
      </c>
      <c r="T177" s="345">
        <v>1903</v>
      </c>
      <c r="U177" s="345">
        <v>93.8</v>
      </c>
      <c r="V177" s="345">
        <v>511</v>
      </c>
      <c r="W177" s="345">
        <v>158.61000000000001</v>
      </c>
      <c r="X177" s="345">
        <v>99</v>
      </c>
      <c r="Y177" s="345">
        <v>0</v>
      </c>
      <c r="Z177" s="345">
        <v>52</v>
      </c>
      <c r="AA177" s="345">
        <v>10</v>
      </c>
      <c r="AB177" s="345">
        <v>1</v>
      </c>
      <c r="AC177" s="345">
        <v>0</v>
      </c>
      <c r="AD177" s="349">
        <v>13092</v>
      </c>
      <c r="AE177" s="349">
        <v>176</v>
      </c>
      <c r="AF177" s="349">
        <v>48</v>
      </c>
      <c r="AG177" s="349">
        <v>224</v>
      </c>
    </row>
    <row r="178" spans="1:33" x14ac:dyDescent="0.2">
      <c r="A178" s="344" t="s">
        <v>412</v>
      </c>
      <c r="B178" s="350" t="s">
        <v>413</v>
      </c>
      <c r="C178" s="346">
        <v>8152</v>
      </c>
      <c r="D178" s="346">
        <v>0</v>
      </c>
      <c r="E178" s="346">
        <v>593</v>
      </c>
      <c r="F178" s="346">
        <v>587</v>
      </c>
      <c r="G178" s="346">
        <v>5280</v>
      </c>
      <c r="H178" s="346">
        <v>14612</v>
      </c>
      <c r="I178" s="345">
        <v>9332</v>
      </c>
      <c r="J178" s="345">
        <v>40</v>
      </c>
      <c r="K178" s="347">
        <v>100.26</v>
      </c>
      <c r="L178" s="347">
        <v>97.22</v>
      </c>
      <c r="M178" s="347">
        <v>6.38</v>
      </c>
      <c r="N178" s="347">
        <v>104.52</v>
      </c>
      <c r="O178" s="348">
        <v>6308</v>
      </c>
      <c r="P178" s="345">
        <v>103.7</v>
      </c>
      <c r="Q178" s="345">
        <v>98.52</v>
      </c>
      <c r="R178" s="345">
        <v>40.86</v>
      </c>
      <c r="S178" s="345">
        <v>143.35</v>
      </c>
      <c r="T178" s="345">
        <v>878</v>
      </c>
      <c r="U178" s="345">
        <v>134.81</v>
      </c>
      <c r="V178" s="345">
        <v>1013</v>
      </c>
      <c r="W178" s="345">
        <v>0</v>
      </c>
      <c r="X178" s="345">
        <v>0</v>
      </c>
      <c r="Y178" s="345">
        <v>0</v>
      </c>
      <c r="Z178" s="345">
        <v>2</v>
      </c>
      <c r="AA178" s="345">
        <v>3</v>
      </c>
      <c r="AB178" s="345">
        <v>125</v>
      </c>
      <c r="AC178" s="345">
        <v>44</v>
      </c>
      <c r="AD178" s="349">
        <v>7939</v>
      </c>
      <c r="AE178" s="349">
        <v>30</v>
      </c>
      <c r="AF178" s="349">
        <v>21</v>
      </c>
      <c r="AG178" s="349">
        <v>51</v>
      </c>
    </row>
    <row r="179" spans="1:33" x14ac:dyDescent="0.2">
      <c r="A179" s="344" t="s">
        <v>414</v>
      </c>
      <c r="B179" s="350" t="s">
        <v>415</v>
      </c>
      <c r="C179" s="346">
        <v>3534</v>
      </c>
      <c r="D179" s="346">
        <v>19</v>
      </c>
      <c r="E179" s="346">
        <v>224</v>
      </c>
      <c r="F179" s="346">
        <v>660</v>
      </c>
      <c r="G179" s="346">
        <v>295</v>
      </c>
      <c r="H179" s="346">
        <v>4732</v>
      </c>
      <c r="I179" s="345">
        <v>4437</v>
      </c>
      <c r="J179" s="345">
        <v>0</v>
      </c>
      <c r="K179" s="347">
        <v>113.84</v>
      </c>
      <c r="L179" s="347">
        <v>118.78</v>
      </c>
      <c r="M179" s="347">
        <v>11.98</v>
      </c>
      <c r="N179" s="347">
        <v>115.47</v>
      </c>
      <c r="O179" s="348">
        <v>3055</v>
      </c>
      <c r="P179" s="345">
        <v>100.57</v>
      </c>
      <c r="Q179" s="345">
        <v>98.39</v>
      </c>
      <c r="R179" s="345">
        <v>49.37</v>
      </c>
      <c r="S179" s="345">
        <v>113.45</v>
      </c>
      <c r="T179" s="345">
        <v>713</v>
      </c>
      <c r="U179" s="345">
        <v>154.31</v>
      </c>
      <c r="V179" s="345">
        <v>445</v>
      </c>
      <c r="W179" s="345">
        <v>0</v>
      </c>
      <c r="X179" s="345">
        <v>0</v>
      </c>
      <c r="Y179" s="345">
        <v>0</v>
      </c>
      <c r="Z179" s="345">
        <v>0</v>
      </c>
      <c r="AA179" s="345">
        <v>0</v>
      </c>
      <c r="AB179" s="345">
        <v>7</v>
      </c>
      <c r="AC179" s="345">
        <v>1</v>
      </c>
      <c r="AD179" s="349">
        <v>3501</v>
      </c>
      <c r="AE179" s="349">
        <v>3</v>
      </c>
      <c r="AF179" s="349">
        <v>1</v>
      </c>
      <c r="AG179" s="349">
        <v>4</v>
      </c>
    </row>
    <row r="180" spans="1:33" x14ac:dyDescent="0.2">
      <c r="A180" s="344" t="s">
        <v>416</v>
      </c>
      <c r="B180" s="350" t="s">
        <v>417</v>
      </c>
      <c r="C180" s="346">
        <v>2796</v>
      </c>
      <c r="D180" s="346">
        <v>8</v>
      </c>
      <c r="E180" s="346">
        <v>284</v>
      </c>
      <c r="F180" s="346">
        <v>330</v>
      </c>
      <c r="G180" s="346">
        <v>341</v>
      </c>
      <c r="H180" s="346">
        <v>3759</v>
      </c>
      <c r="I180" s="345">
        <v>3418</v>
      </c>
      <c r="J180" s="345">
        <v>0</v>
      </c>
      <c r="K180" s="347">
        <v>113.03</v>
      </c>
      <c r="L180" s="347">
        <v>112.07</v>
      </c>
      <c r="M180" s="347">
        <v>4.51</v>
      </c>
      <c r="N180" s="347">
        <v>116.41</v>
      </c>
      <c r="O180" s="348">
        <v>2387</v>
      </c>
      <c r="P180" s="345">
        <v>95.97</v>
      </c>
      <c r="Q180" s="345">
        <v>94.93</v>
      </c>
      <c r="R180" s="345">
        <v>29.33</v>
      </c>
      <c r="S180" s="345">
        <v>124.86</v>
      </c>
      <c r="T180" s="345">
        <v>472</v>
      </c>
      <c r="U180" s="345">
        <v>142.78</v>
      </c>
      <c r="V180" s="345">
        <v>240</v>
      </c>
      <c r="W180" s="345">
        <v>136.97999999999999</v>
      </c>
      <c r="X180" s="345">
        <v>3</v>
      </c>
      <c r="Y180" s="345">
        <v>9</v>
      </c>
      <c r="Z180" s="345">
        <v>0</v>
      </c>
      <c r="AA180" s="345">
        <v>0</v>
      </c>
      <c r="AB180" s="345">
        <v>10</v>
      </c>
      <c r="AC180" s="345">
        <v>5</v>
      </c>
      <c r="AD180" s="349">
        <v>2704</v>
      </c>
      <c r="AE180" s="349">
        <v>10</v>
      </c>
      <c r="AF180" s="349">
        <v>5</v>
      </c>
      <c r="AG180" s="349">
        <v>15</v>
      </c>
    </row>
    <row r="181" spans="1:33" x14ac:dyDescent="0.2">
      <c r="A181" s="344" t="s">
        <v>418</v>
      </c>
      <c r="B181" s="350" t="s">
        <v>419</v>
      </c>
      <c r="C181" s="346">
        <v>1758</v>
      </c>
      <c r="D181" s="346">
        <v>11</v>
      </c>
      <c r="E181" s="346">
        <v>312</v>
      </c>
      <c r="F181" s="346">
        <v>365</v>
      </c>
      <c r="G181" s="346">
        <v>277</v>
      </c>
      <c r="H181" s="346">
        <v>2723</v>
      </c>
      <c r="I181" s="345">
        <v>2446</v>
      </c>
      <c r="J181" s="345">
        <v>2</v>
      </c>
      <c r="K181" s="347">
        <v>87.15</v>
      </c>
      <c r="L181" s="347">
        <v>83.13</v>
      </c>
      <c r="M181" s="347">
        <v>4.17</v>
      </c>
      <c r="N181" s="347">
        <v>89.46</v>
      </c>
      <c r="O181" s="348">
        <v>1494</v>
      </c>
      <c r="P181" s="345">
        <v>103.21</v>
      </c>
      <c r="Q181" s="345">
        <v>79.16</v>
      </c>
      <c r="R181" s="345">
        <v>52.2</v>
      </c>
      <c r="S181" s="345">
        <v>153.96</v>
      </c>
      <c r="T181" s="345">
        <v>540</v>
      </c>
      <c r="U181" s="345">
        <v>93.38</v>
      </c>
      <c r="V181" s="345">
        <v>207</v>
      </c>
      <c r="W181" s="345">
        <v>0</v>
      </c>
      <c r="X181" s="345">
        <v>0</v>
      </c>
      <c r="Y181" s="345">
        <v>0</v>
      </c>
      <c r="Z181" s="345">
        <v>0</v>
      </c>
      <c r="AA181" s="345">
        <v>19</v>
      </c>
      <c r="AB181" s="345">
        <v>38</v>
      </c>
      <c r="AC181" s="345">
        <v>13</v>
      </c>
      <c r="AD181" s="349">
        <v>1758</v>
      </c>
      <c r="AE181" s="349">
        <v>17</v>
      </c>
      <c r="AF181" s="349">
        <v>25</v>
      </c>
      <c r="AG181" s="349">
        <v>42</v>
      </c>
    </row>
    <row r="182" spans="1:33" x14ac:dyDescent="0.2">
      <c r="A182" s="344" t="s">
        <v>420</v>
      </c>
      <c r="B182" s="350" t="s">
        <v>421</v>
      </c>
      <c r="C182" s="346">
        <v>7229</v>
      </c>
      <c r="D182" s="346">
        <v>234</v>
      </c>
      <c r="E182" s="346">
        <v>1225</v>
      </c>
      <c r="F182" s="346">
        <v>1547</v>
      </c>
      <c r="G182" s="346">
        <v>312</v>
      </c>
      <c r="H182" s="346">
        <v>10547</v>
      </c>
      <c r="I182" s="345">
        <v>10235</v>
      </c>
      <c r="J182" s="345">
        <v>62</v>
      </c>
      <c r="K182" s="347">
        <v>78.459999999999994</v>
      </c>
      <c r="L182" s="347">
        <v>76.489999999999995</v>
      </c>
      <c r="M182" s="347">
        <v>9.61</v>
      </c>
      <c r="N182" s="347">
        <v>86.4</v>
      </c>
      <c r="O182" s="348">
        <v>5818</v>
      </c>
      <c r="P182" s="345">
        <v>85.35</v>
      </c>
      <c r="Q182" s="345">
        <v>74.319999999999993</v>
      </c>
      <c r="R182" s="345">
        <v>57.57</v>
      </c>
      <c r="S182" s="345">
        <v>141.24</v>
      </c>
      <c r="T182" s="345">
        <v>2127</v>
      </c>
      <c r="U182" s="345">
        <v>99.8</v>
      </c>
      <c r="V182" s="345">
        <v>1033</v>
      </c>
      <c r="W182" s="345">
        <v>202.14</v>
      </c>
      <c r="X182" s="345">
        <v>333</v>
      </c>
      <c r="Y182" s="345">
        <v>0</v>
      </c>
      <c r="Z182" s="345">
        <v>10</v>
      </c>
      <c r="AA182" s="345">
        <v>9</v>
      </c>
      <c r="AB182" s="345">
        <v>35</v>
      </c>
      <c r="AC182" s="345">
        <v>4</v>
      </c>
      <c r="AD182" s="349">
        <v>6709</v>
      </c>
      <c r="AE182" s="349">
        <v>86</v>
      </c>
      <c r="AF182" s="349">
        <v>43</v>
      </c>
      <c r="AG182" s="349">
        <v>129</v>
      </c>
    </row>
    <row r="183" spans="1:33" x14ac:dyDescent="0.2">
      <c r="A183" s="344" t="s">
        <v>422</v>
      </c>
      <c r="B183" s="350" t="s">
        <v>423</v>
      </c>
      <c r="C183" s="346">
        <v>8900</v>
      </c>
      <c r="D183" s="346">
        <v>10</v>
      </c>
      <c r="E183" s="346">
        <v>119</v>
      </c>
      <c r="F183" s="346">
        <v>874</v>
      </c>
      <c r="G183" s="346">
        <v>230</v>
      </c>
      <c r="H183" s="346">
        <v>10133</v>
      </c>
      <c r="I183" s="345">
        <v>9903</v>
      </c>
      <c r="J183" s="345">
        <v>0</v>
      </c>
      <c r="K183" s="347">
        <v>77.040000000000006</v>
      </c>
      <c r="L183" s="347">
        <v>77.44</v>
      </c>
      <c r="M183" s="347">
        <v>6.76</v>
      </c>
      <c r="N183" s="347">
        <v>77.7</v>
      </c>
      <c r="O183" s="348">
        <v>8380</v>
      </c>
      <c r="P183" s="345">
        <v>76.099999999999994</v>
      </c>
      <c r="Q183" s="345">
        <v>74.64</v>
      </c>
      <c r="R183" s="345">
        <v>31.34</v>
      </c>
      <c r="S183" s="345">
        <v>84.09</v>
      </c>
      <c r="T183" s="345">
        <v>816</v>
      </c>
      <c r="U183" s="345">
        <v>91.97</v>
      </c>
      <c r="V183" s="345">
        <v>488</v>
      </c>
      <c r="W183" s="345">
        <v>196.19</v>
      </c>
      <c r="X183" s="345">
        <v>94</v>
      </c>
      <c r="Y183" s="345">
        <v>0</v>
      </c>
      <c r="Z183" s="345">
        <v>39</v>
      </c>
      <c r="AA183" s="345">
        <v>43</v>
      </c>
      <c r="AB183" s="345">
        <v>16</v>
      </c>
      <c r="AC183" s="345">
        <v>2</v>
      </c>
      <c r="AD183" s="349">
        <v>8900</v>
      </c>
      <c r="AE183" s="349">
        <v>11</v>
      </c>
      <c r="AF183" s="349">
        <v>50</v>
      </c>
      <c r="AG183" s="349">
        <v>61</v>
      </c>
    </row>
    <row r="184" spans="1:33" x14ac:dyDescent="0.2">
      <c r="A184" s="344" t="s">
        <v>424</v>
      </c>
      <c r="B184" s="350" t="s">
        <v>425</v>
      </c>
      <c r="C184" s="346">
        <v>12545</v>
      </c>
      <c r="D184" s="346">
        <v>19</v>
      </c>
      <c r="E184" s="346">
        <v>1003</v>
      </c>
      <c r="F184" s="346">
        <v>830</v>
      </c>
      <c r="G184" s="346">
        <v>2213</v>
      </c>
      <c r="H184" s="346">
        <v>16610</v>
      </c>
      <c r="I184" s="345">
        <v>14397</v>
      </c>
      <c r="J184" s="345">
        <v>304</v>
      </c>
      <c r="K184" s="347">
        <v>141.22</v>
      </c>
      <c r="L184" s="347">
        <v>116.36</v>
      </c>
      <c r="M184" s="347">
        <v>10.68</v>
      </c>
      <c r="N184" s="347">
        <v>146.33000000000001</v>
      </c>
      <c r="O184" s="348">
        <v>10383</v>
      </c>
      <c r="P184" s="345">
        <v>105.21</v>
      </c>
      <c r="Q184" s="345">
        <v>101.7</v>
      </c>
      <c r="R184" s="345">
        <v>69.84</v>
      </c>
      <c r="S184" s="345">
        <v>166.12</v>
      </c>
      <c r="T184" s="345">
        <v>1596</v>
      </c>
      <c r="U184" s="345">
        <v>185.39</v>
      </c>
      <c r="V184" s="345">
        <v>820</v>
      </c>
      <c r="W184" s="345">
        <v>220.86</v>
      </c>
      <c r="X184" s="345">
        <v>38</v>
      </c>
      <c r="Y184" s="345">
        <v>15</v>
      </c>
      <c r="Z184" s="345">
        <v>5</v>
      </c>
      <c r="AA184" s="345">
        <v>6</v>
      </c>
      <c r="AB184" s="345">
        <v>170</v>
      </c>
      <c r="AC184" s="345">
        <v>44</v>
      </c>
      <c r="AD184" s="349">
        <v>11669</v>
      </c>
      <c r="AE184" s="349">
        <v>51</v>
      </c>
      <c r="AF184" s="349">
        <v>44</v>
      </c>
      <c r="AG184" s="349">
        <v>95</v>
      </c>
    </row>
    <row r="185" spans="1:33" x14ac:dyDescent="0.2">
      <c r="A185" s="344" t="s">
        <v>426</v>
      </c>
      <c r="B185" s="350" t="s">
        <v>427</v>
      </c>
      <c r="C185" s="346">
        <v>3755</v>
      </c>
      <c r="D185" s="346">
        <v>0</v>
      </c>
      <c r="E185" s="346">
        <v>78</v>
      </c>
      <c r="F185" s="346">
        <v>765</v>
      </c>
      <c r="G185" s="346">
        <v>264</v>
      </c>
      <c r="H185" s="346">
        <v>4862</v>
      </c>
      <c r="I185" s="345">
        <v>4598</v>
      </c>
      <c r="J185" s="345">
        <v>4</v>
      </c>
      <c r="K185" s="347">
        <v>84.81</v>
      </c>
      <c r="L185" s="347">
        <v>84.1</v>
      </c>
      <c r="M185" s="347">
        <v>3.34</v>
      </c>
      <c r="N185" s="347">
        <v>86.9</v>
      </c>
      <c r="O185" s="348">
        <v>3268</v>
      </c>
      <c r="P185" s="345">
        <v>84.45</v>
      </c>
      <c r="Q185" s="345">
        <v>74.91</v>
      </c>
      <c r="R185" s="345">
        <v>21.05</v>
      </c>
      <c r="S185" s="345">
        <v>104.99</v>
      </c>
      <c r="T185" s="345">
        <v>788</v>
      </c>
      <c r="U185" s="345">
        <v>114.76</v>
      </c>
      <c r="V185" s="345">
        <v>458</v>
      </c>
      <c r="W185" s="345">
        <v>0</v>
      </c>
      <c r="X185" s="345">
        <v>0</v>
      </c>
      <c r="Y185" s="345">
        <v>18</v>
      </c>
      <c r="Z185" s="345">
        <v>11</v>
      </c>
      <c r="AA185" s="345">
        <v>3</v>
      </c>
      <c r="AB185" s="345">
        <v>17</v>
      </c>
      <c r="AC185" s="345">
        <v>7</v>
      </c>
      <c r="AD185" s="349">
        <v>3755</v>
      </c>
      <c r="AE185" s="349">
        <v>4</v>
      </c>
      <c r="AF185" s="349">
        <v>67</v>
      </c>
      <c r="AG185" s="349">
        <v>71</v>
      </c>
    </row>
    <row r="186" spans="1:33" x14ac:dyDescent="0.2">
      <c r="A186" s="344" t="s">
        <v>428</v>
      </c>
      <c r="B186" s="350" t="s">
        <v>429</v>
      </c>
      <c r="C186" s="346">
        <v>769</v>
      </c>
      <c r="D186" s="346">
        <v>0</v>
      </c>
      <c r="E186" s="346">
        <v>69</v>
      </c>
      <c r="F186" s="346">
        <v>143</v>
      </c>
      <c r="G186" s="346">
        <v>110</v>
      </c>
      <c r="H186" s="346">
        <v>1091</v>
      </c>
      <c r="I186" s="345">
        <v>981</v>
      </c>
      <c r="J186" s="345">
        <v>1</v>
      </c>
      <c r="K186" s="347">
        <v>89.95</v>
      </c>
      <c r="L186" s="347">
        <v>89.18</v>
      </c>
      <c r="M186" s="347">
        <v>4.41</v>
      </c>
      <c r="N186" s="347">
        <v>92.17</v>
      </c>
      <c r="O186" s="348">
        <v>585</v>
      </c>
      <c r="P186" s="345">
        <v>92.79</v>
      </c>
      <c r="Q186" s="345">
        <v>85.79</v>
      </c>
      <c r="R186" s="345">
        <v>24.21</v>
      </c>
      <c r="S186" s="345">
        <v>111.5</v>
      </c>
      <c r="T186" s="345">
        <v>207</v>
      </c>
      <c r="U186" s="345">
        <v>100.26</v>
      </c>
      <c r="V186" s="345">
        <v>155</v>
      </c>
      <c r="W186" s="345">
        <v>0</v>
      </c>
      <c r="X186" s="345">
        <v>0</v>
      </c>
      <c r="Y186" s="345">
        <v>0</v>
      </c>
      <c r="Z186" s="345">
        <v>0</v>
      </c>
      <c r="AA186" s="345">
        <v>0</v>
      </c>
      <c r="AB186" s="345">
        <v>4</v>
      </c>
      <c r="AC186" s="345">
        <v>1</v>
      </c>
      <c r="AD186" s="349">
        <v>672</v>
      </c>
      <c r="AE186" s="349">
        <v>8</v>
      </c>
      <c r="AF186" s="349">
        <v>0</v>
      </c>
      <c r="AG186" s="349">
        <v>8</v>
      </c>
    </row>
    <row r="187" spans="1:33" x14ac:dyDescent="0.2">
      <c r="A187" s="344" t="s">
        <v>430</v>
      </c>
      <c r="B187" s="350" t="s">
        <v>431</v>
      </c>
      <c r="C187" s="346">
        <v>8555</v>
      </c>
      <c r="D187" s="346">
        <v>0</v>
      </c>
      <c r="E187" s="346">
        <v>386</v>
      </c>
      <c r="F187" s="346">
        <v>1295</v>
      </c>
      <c r="G187" s="346">
        <v>206</v>
      </c>
      <c r="H187" s="346">
        <v>10442</v>
      </c>
      <c r="I187" s="345">
        <v>10236</v>
      </c>
      <c r="J187" s="345">
        <v>0</v>
      </c>
      <c r="K187" s="347">
        <v>78.05</v>
      </c>
      <c r="L187" s="347">
        <v>77.42</v>
      </c>
      <c r="M187" s="347">
        <v>2.08</v>
      </c>
      <c r="N187" s="347">
        <v>79.849999999999994</v>
      </c>
      <c r="O187" s="348">
        <v>8513</v>
      </c>
      <c r="P187" s="345">
        <v>85.25</v>
      </c>
      <c r="Q187" s="345">
        <v>68.930000000000007</v>
      </c>
      <c r="R187" s="345">
        <v>25.76</v>
      </c>
      <c r="S187" s="345">
        <v>107.49</v>
      </c>
      <c r="T187" s="345">
        <v>1515</v>
      </c>
      <c r="U187" s="345">
        <v>91.37</v>
      </c>
      <c r="V187" s="345">
        <v>26</v>
      </c>
      <c r="W187" s="345">
        <v>0</v>
      </c>
      <c r="X187" s="345">
        <v>0</v>
      </c>
      <c r="Y187" s="345">
        <v>0</v>
      </c>
      <c r="Z187" s="345">
        <v>22</v>
      </c>
      <c r="AA187" s="345">
        <v>11</v>
      </c>
      <c r="AB187" s="345">
        <v>12</v>
      </c>
      <c r="AC187" s="345">
        <v>1</v>
      </c>
      <c r="AD187" s="349">
        <v>8553</v>
      </c>
      <c r="AE187" s="349">
        <v>147</v>
      </c>
      <c r="AF187" s="349">
        <v>646</v>
      </c>
      <c r="AG187" s="349">
        <v>793</v>
      </c>
    </row>
    <row r="188" spans="1:33" x14ac:dyDescent="0.2">
      <c r="A188" s="344" t="s">
        <v>432</v>
      </c>
      <c r="B188" s="350" t="s">
        <v>433</v>
      </c>
      <c r="C188" s="346">
        <v>9508</v>
      </c>
      <c r="D188" s="346">
        <v>0</v>
      </c>
      <c r="E188" s="346">
        <v>263</v>
      </c>
      <c r="F188" s="346">
        <v>965</v>
      </c>
      <c r="G188" s="346">
        <v>482</v>
      </c>
      <c r="H188" s="346">
        <v>11218</v>
      </c>
      <c r="I188" s="345">
        <v>10736</v>
      </c>
      <c r="J188" s="345">
        <v>486</v>
      </c>
      <c r="K188" s="347">
        <v>108.86</v>
      </c>
      <c r="L188" s="347">
        <v>115.68</v>
      </c>
      <c r="M188" s="347">
        <v>5.07</v>
      </c>
      <c r="N188" s="347">
        <v>110.38</v>
      </c>
      <c r="O188" s="348">
        <v>9288</v>
      </c>
      <c r="P188" s="345">
        <v>93.47</v>
      </c>
      <c r="Q188" s="345">
        <v>95.75</v>
      </c>
      <c r="R188" s="345">
        <v>26.03</v>
      </c>
      <c r="S188" s="345">
        <v>118.94</v>
      </c>
      <c r="T188" s="345">
        <v>1124</v>
      </c>
      <c r="U188" s="345">
        <v>136.19999999999999</v>
      </c>
      <c r="V188" s="345">
        <v>228</v>
      </c>
      <c r="W188" s="345">
        <v>0</v>
      </c>
      <c r="X188" s="345">
        <v>0</v>
      </c>
      <c r="Y188" s="345">
        <v>2</v>
      </c>
      <c r="Z188" s="345">
        <v>23</v>
      </c>
      <c r="AA188" s="345">
        <v>1</v>
      </c>
      <c r="AB188" s="345">
        <v>55</v>
      </c>
      <c r="AC188" s="345">
        <v>9</v>
      </c>
      <c r="AD188" s="349">
        <v>9457</v>
      </c>
      <c r="AE188" s="349">
        <v>39</v>
      </c>
      <c r="AF188" s="349">
        <v>23</v>
      </c>
      <c r="AG188" s="349">
        <v>62</v>
      </c>
    </row>
    <row r="189" spans="1:33" x14ac:dyDescent="0.2">
      <c r="A189" s="344" t="s">
        <v>434</v>
      </c>
      <c r="B189" s="350" t="s">
        <v>435</v>
      </c>
      <c r="C189" s="346">
        <v>1017</v>
      </c>
      <c r="D189" s="346">
        <v>0</v>
      </c>
      <c r="E189" s="346">
        <v>91</v>
      </c>
      <c r="F189" s="346">
        <v>152</v>
      </c>
      <c r="G189" s="346">
        <v>291</v>
      </c>
      <c r="H189" s="346">
        <v>1551</v>
      </c>
      <c r="I189" s="345">
        <v>1260</v>
      </c>
      <c r="J189" s="345">
        <v>0</v>
      </c>
      <c r="K189" s="347">
        <v>87.84</v>
      </c>
      <c r="L189" s="347">
        <v>86.17</v>
      </c>
      <c r="M189" s="347">
        <v>4.16</v>
      </c>
      <c r="N189" s="347">
        <v>91.21</v>
      </c>
      <c r="O189" s="348">
        <v>753</v>
      </c>
      <c r="P189" s="345">
        <v>102.87</v>
      </c>
      <c r="Q189" s="345">
        <v>86.15</v>
      </c>
      <c r="R189" s="345">
        <v>44.39</v>
      </c>
      <c r="S189" s="345">
        <v>141.99</v>
      </c>
      <c r="T189" s="345">
        <v>219</v>
      </c>
      <c r="U189" s="345">
        <v>97.68</v>
      </c>
      <c r="V189" s="345">
        <v>177</v>
      </c>
      <c r="W189" s="345">
        <v>113.43</v>
      </c>
      <c r="X189" s="345">
        <v>1</v>
      </c>
      <c r="Y189" s="345">
        <v>53</v>
      </c>
      <c r="Z189" s="345">
        <v>0</v>
      </c>
      <c r="AA189" s="345">
        <v>0</v>
      </c>
      <c r="AB189" s="345">
        <v>22</v>
      </c>
      <c r="AC189" s="345">
        <v>5</v>
      </c>
      <c r="AD189" s="349">
        <v>960</v>
      </c>
      <c r="AE189" s="349">
        <v>3</v>
      </c>
      <c r="AF189" s="349">
        <v>3</v>
      </c>
      <c r="AG189" s="349">
        <v>6</v>
      </c>
    </row>
    <row r="190" spans="1:33" x14ac:dyDescent="0.2">
      <c r="A190" s="344" t="s">
        <v>436</v>
      </c>
      <c r="B190" s="350" t="s">
        <v>437</v>
      </c>
      <c r="C190" s="346">
        <v>10842</v>
      </c>
      <c r="D190" s="346">
        <v>0</v>
      </c>
      <c r="E190" s="346">
        <v>167</v>
      </c>
      <c r="F190" s="346">
        <v>317</v>
      </c>
      <c r="G190" s="346">
        <v>74</v>
      </c>
      <c r="H190" s="346">
        <v>11400</v>
      </c>
      <c r="I190" s="345">
        <v>11326</v>
      </c>
      <c r="J190" s="345">
        <v>0</v>
      </c>
      <c r="K190" s="347">
        <v>79.94</v>
      </c>
      <c r="L190" s="347">
        <v>79.760000000000005</v>
      </c>
      <c r="M190" s="347">
        <v>3.07</v>
      </c>
      <c r="N190" s="347">
        <v>81.290000000000006</v>
      </c>
      <c r="O190" s="348">
        <v>10432</v>
      </c>
      <c r="P190" s="345">
        <v>95.67</v>
      </c>
      <c r="Q190" s="345">
        <v>80.11</v>
      </c>
      <c r="R190" s="345">
        <v>51.11</v>
      </c>
      <c r="S190" s="345">
        <v>143.6</v>
      </c>
      <c r="T190" s="345">
        <v>433</v>
      </c>
      <c r="U190" s="345">
        <v>93.16</v>
      </c>
      <c r="V190" s="345">
        <v>348</v>
      </c>
      <c r="W190" s="345">
        <v>219.65</v>
      </c>
      <c r="X190" s="345">
        <v>30</v>
      </c>
      <c r="Y190" s="345">
        <v>0</v>
      </c>
      <c r="Z190" s="345">
        <v>33</v>
      </c>
      <c r="AA190" s="345">
        <v>4</v>
      </c>
      <c r="AB190" s="345">
        <v>5</v>
      </c>
      <c r="AC190" s="345">
        <v>0</v>
      </c>
      <c r="AD190" s="349">
        <v>10802</v>
      </c>
      <c r="AE190" s="349">
        <v>152</v>
      </c>
      <c r="AF190" s="349">
        <v>17</v>
      </c>
      <c r="AG190" s="349">
        <v>169</v>
      </c>
    </row>
    <row r="191" spans="1:33" x14ac:dyDescent="0.2">
      <c r="A191" s="344" t="s">
        <v>438</v>
      </c>
      <c r="B191" s="350" t="s">
        <v>439</v>
      </c>
      <c r="C191" s="346">
        <v>5947</v>
      </c>
      <c r="D191" s="346">
        <v>0</v>
      </c>
      <c r="E191" s="346">
        <v>161</v>
      </c>
      <c r="F191" s="346">
        <v>188</v>
      </c>
      <c r="G191" s="346">
        <v>140</v>
      </c>
      <c r="H191" s="346">
        <v>6436</v>
      </c>
      <c r="I191" s="345">
        <v>6296</v>
      </c>
      <c r="J191" s="345">
        <v>1</v>
      </c>
      <c r="K191" s="347">
        <v>87.41</v>
      </c>
      <c r="L191" s="347">
        <v>86.13</v>
      </c>
      <c r="M191" s="347">
        <v>2.99</v>
      </c>
      <c r="N191" s="347">
        <v>89.52</v>
      </c>
      <c r="O191" s="348">
        <v>5389</v>
      </c>
      <c r="P191" s="345">
        <v>96.55</v>
      </c>
      <c r="Q191" s="345">
        <v>82.99</v>
      </c>
      <c r="R191" s="345">
        <v>37.51</v>
      </c>
      <c r="S191" s="345">
        <v>127.18</v>
      </c>
      <c r="T191" s="345">
        <v>349</v>
      </c>
      <c r="U191" s="345">
        <v>103.65</v>
      </c>
      <c r="V191" s="345">
        <v>549</v>
      </c>
      <c r="W191" s="345">
        <v>0</v>
      </c>
      <c r="X191" s="345">
        <v>0</v>
      </c>
      <c r="Y191" s="345">
        <v>0</v>
      </c>
      <c r="Z191" s="345">
        <v>23</v>
      </c>
      <c r="AA191" s="345">
        <v>56</v>
      </c>
      <c r="AB191" s="345">
        <v>8</v>
      </c>
      <c r="AC191" s="345">
        <v>2</v>
      </c>
      <c r="AD191" s="349">
        <v>5934</v>
      </c>
      <c r="AE191" s="349">
        <v>16</v>
      </c>
      <c r="AF191" s="349">
        <v>51</v>
      </c>
      <c r="AG191" s="349">
        <v>67</v>
      </c>
    </row>
    <row r="192" spans="1:33" ht="15" x14ac:dyDescent="0.25">
      <c r="A192" s="351" t="s">
        <v>799</v>
      </c>
      <c r="B192" s="351" t="s">
        <v>797</v>
      </c>
      <c r="C192" s="345">
        <v>13500</v>
      </c>
      <c r="D192" s="345">
        <v>259</v>
      </c>
      <c r="E192" s="345">
        <v>663</v>
      </c>
      <c r="F192" s="345">
        <v>1006</v>
      </c>
      <c r="G192" s="345">
        <v>1269</v>
      </c>
      <c r="H192" s="345">
        <v>16697</v>
      </c>
      <c r="I192" s="345">
        <v>15428</v>
      </c>
      <c r="J192" s="345">
        <v>9</v>
      </c>
      <c r="K192" s="345">
        <v>90.1</v>
      </c>
      <c r="L192" s="345">
        <v>89.3</v>
      </c>
      <c r="M192" s="345">
        <v>5.38</v>
      </c>
      <c r="N192" s="345">
        <v>92.66</v>
      </c>
      <c r="O192" s="345">
        <v>11273</v>
      </c>
      <c r="P192" s="345">
        <v>88.22</v>
      </c>
      <c r="Q192" s="345">
        <v>81.59</v>
      </c>
      <c r="R192" s="345">
        <v>40.03</v>
      </c>
      <c r="S192" s="345">
        <v>126.77</v>
      </c>
      <c r="T192" s="345">
        <v>1560</v>
      </c>
      <c r="U192" s="345">
        <v>104.79</v>
      </c>
      <c r="V192" s="345">
        <v>1296</v>
      </c>
      <c r="W192" s="345">
        <v>163.59</v>
      </c>
      <c r="X192" s="345">
        <v>7</v>
      </c>
      <c r="Y192" s="345">
        <v>0</v>
      </c>
      <c r="Z192" s="345">
        <v>36</v>
      </c>
      <c r="AA192" s="345">
        <v>8</v>
      </c>
      <c r="AB192" s="345">
        <v>167</v>
      </c>
      <c r="AC192" s="345">
        <v>31</v>
      </c>
      <c r="AD192" s="345">
        <v>12775</v>
      </c>
      <c r="AE192" s="345">
        <v>46</v>
      </c>
      <c r="AF192" s="345">
        <v>64</v>
      </c>
      <c r="AG192" s="345">
        <v>110</v>
      </c>
    </row>
    <row r="193" spans="1:33" x14ac:dyDescent="0.2">
      <c r="A193" s="344" t="s">
        <v>440</v>
      </c>
      <c r="B193" s="350" t="s">
        <v>441</v>
      </c>
      <c r="C193" s="346">
        <v>8293</v>
      </c>
      <c r="D193" s="346">
        <v>74</v>
      </c>
      <c r="E193" s="346">
        <v>429</v>
      </c>
      <c r="F193" s="346">
        <v>634</v>
      </c>
      <c r="G193" s="346">
        <v>459</v>
      </c>
      <c r="H193" s="346">
        <v>9889</v>
      </c>
      <c r="I193" s="345">
        <v>9430</v>
      </c>
      <c r="J193" s="345">
        <v>88</v>
      </c>
      <c r="K193" s="347">
        <v>94.33</v>
      </c>
      <c r="L193" s="347">
        <v>90.7</v>
      </c>
      <c r="M193" s="347">
        <v>6.25</v>
      </c>
      <c r="N193" s="347">
        <v>98.09</v>
      </c>
      <c r="O193" s="348">
        <v>7332</v>
      </c>
      <c r="P193" s="345">
        <v>103.23</v>
      </c>
      <c r="Q193" s="345">
        <v>89.95</v>
      </c>
      <c r="R193" s="345">
        <v>50.99</v>
      </c>
      <c r="S193" s="345">
        <v>153.77000000000001</v>
      </c>
      <c r="T193" s="345">
        <v>906</v>
      </c>
      <c r="U193" s="345">
        <v>125.63</v>
      </c>
      <c r="V193" s="345">
        <v>836</v>
      </c>
      <c r="W193" s="345">
        <v>158.87</v>
      </c>
      <c r="X193" s="345">
        <v>76</v>
      </c>
      <c r="Y193" s="345">
        <v>0</v>
      </c>
      <c r="Z193" s="345">
        <v>18</v>
      </c>
      <c r="AA193" s="345">
        <v>6</v>
      </c>
      <c r="AB193" s="345">
        <v>28</v>
      </c>
      <c r="AC193" s="345">
        <v>7</v>
      </c>
      <c r="AD193" s="349">
        <v>8171</v>
      </c>
      <c r="AE193" s="349">
        <v>33</v>
      </c>
      <c r="AF193" s="349">
        <v>17</v>
      </c>
      <c r="AG193" s="349">
        <v>50</v>
      </c>
    </row>
    <row r="194" spans="1:33" x14ac:dyDescent="0.2">
      <c r="A194" s="344" t="s">
        <v>442</v>
      </c>
      <c r="B194" s="350" t="s">
        <v>443</v>
      </c>
      <c r="C194" s="346">
        <v>4129</v>
      </c>
      <c r="D194" s="346">
        <v>55</v>
      </c>
      <c r="E194" s="346">
        <v>483</v>
      </c>
      <c r="F194" s="346">
        <v>1271</v>
      </c>
      <c r="G194" s="346">
        <v>305</v>
      </c>
      <c r="H194" s="346">
        <v>6243</v>
      </c>
      <c r="I194" s="345">
        <v>5938</v>
      </c>
      <c r="J194" s="345">
        <v>0</v>
      </c>
      <c r="K194" s="347">
        <v>81.93</v>
      </c>
      <c r="L194" s="347">
        <v>78.47</v>
      </c>
      <c r="M194" s="347">
        <v>8.33</v>
      </c>
      <c r="N194" s="347">
        <v>88.61</v>
      </c>
      <c r="O194" s="348">
        <v>3267</v>
      </c>
      <c r="P194" s="345">
        <v>88.21</v>
      </c>
      <c r="Q194" s="345">
        <v>77.75</v>
      </c>
      <c r="R194" s="345">
        <v>44.38</v>
      </c>
      <c r="S194" s="345">
        <v>132.03</v>
      </c>
      <c r="T194" s="345">
        <v>1492</v>
      </c>
      <c r="U194" s="345">
        <v>97.81</v>
      </c>
      <c r="V194" s="345">
        <v>710</v>
      </c>
      <c r="W194" s="345">
        <v>158.76</v>
      </c>
      <c r="X194" s="345">
        <v>116</v>
      </c>
      <c r="Y194" s="345">
        <v>0</v>
      </c>
      <c r="Z194" s="345">
        <v>4</v>
      </c>
      <c r="AA194" s="345">
        <v>17</v>
      </c>
      <c r="AB194" s="345">
        <v>14</v>
      </c>
      <c r="AC194" s="345">
        <v>2</v>
      </c>
      <c r="AD194" s="349">
        <v>3944</v>
      </c>
      <c r="AE194" s="349">
        <v>45</v>
      </c>
      <c r="AF194" s="349">
        <v>6</v>
      </c>
      <c r="AG194" s="349">
        <v>51</v>
      </c>
    </row>
    <row r="195" spans="1:33" x14ac:dyDescent="0.2">
      <c r="A195" s="344" t="s">
        <v>444</v>
      </c>
      <c r="B195" s="350" t="s">
        <v>445</v>
      </c>
      <c r="C195" s="346">
        <v>1033</v>
      </c>
      <c r="D195" s="346">
        <v>0</v>
      </c>
      <c r="E195" s="346">
        <v>12</v>
      </c>
      <c r="F195" s="346">
        <v>149</v>
      </c>
      <c r="G195" s="346">
        <v>190</v>
      </c>
      <c r="H195" s="346">
        <v>1384</v>
      </c>
      <c r="I195" s="345">
        <v>1194</v>
      </c>
      <c r="J195" s="345">
        <v>0</v>
      </c>
      <c r="K195" s="347">
        <v>97.96</v>
      </c>
      <c r="L195" s="347">
        <v>97.37</v>
      </c>
      <c r="M195" s="347">
        <v>5.14</v>
      </c>
      <c r="N195" s="347">
        <v>100.88</v>
      </c>
      <c r="O195" s="348">
        <v>851</v>
      </c>
      <c r="P195" s="345">
        <v>92.14</v>
      </c>
      <c r="Q195" s="345">
        <v>85.59</v>
      </c>
      <c r="R195" s="345">
        <v>45.69</v>
      </c>
      <c r="S195" s="345">
        <v>133.26</v>
      </c>
      <c r="T195" s="345">
        <v>60</v>
      </c>
      <c r="U195" s="345">
        <v>110.47</v>
      </c>
      <c r="V195" s="345">
        <v>181</v>
      </c>
      <c r="W195" s="345">
        <v>0</v>
      </c>
      <c r="X195" s="345">
        <v>0</v>
      </c>
      <c r="Y195" s="345">
        <v>0</v>
      </c>
      <c r="Z195" s="345">
        <v>1</v>
      </c>
      <c r="AA195" s="345">
        <v>4</v>
      </c>
      <c r="AB195" s="345">
        <v>4</v>
      </c>
      <c r="AC195" s="345">
        <v>5</v>
      </c>
      <c r="AD195" s="349">
        <v>1033</v>
      </c>
      <c r="AE195" s="349">
        <v>6</v>
      </c>
      <c r="AF195" s="349">
        <v>1</v>
      </c>
      <c r="AG195" s="349">
        <v>7</v>
      </c>
    </row>
    <row r="196" spans="1:33" x14ac:dyDescent="0.2">
      <c r="A196" s="344" t="s">
        <v>446</v>
      </c>
      <c r="B196" s="350" t="s">
        <v>447</v>
      </c>
      <c r="C196" s="346">
        <v>1766</v>
      </c>
      <c r="D196" s="346">
        <v>0</v>
      </c>
      <c r="E196" s="346">
        <v>64</v>
      </c>
      <c r="F196" s="346">
        <v>203</v>
      </c>
      <c r="G196" s="346">
        <v>418</v>
      </c>
      <c r="H196" s="346">
        <v>2451</v>
      </c>
      <c r="I196" s="345">
        <v>2033</v>
      </c>
      <c r="J196" s="345">
        <v>0</v>
      </c>
      <c r="K196" s="347">
        <v>87.98</v>
      </c>
      <c r="L196" s="347">
        <v>87.53</v>
      </c>
      <c r="M196" s="347">
        <v>5.75</v>
      </c>
      <c r="N196" s="347">
        <v>92.48</v>
      </c>
      <c r="O196" s="348">
        <v>1340</v>
      </c>
      <c r="P196" s="345">
        <v>89.48</v>
      </c>
      <c r="Q196" s="345">
        <v>91.47</v>
      </c>
      <c r="R196" s="345">
        <v>39.69</v>
      </c>
      <c r="S196" s="345">
        <v>125.5</v>
      </c>
      <c r="T196" s="345">
        <v>260</v>
      </c>
      <c r="U196" s="345">
        <v>97.89</v>
      </c>
      <c r="V196" s="345">
        <v>407</v>
      </c>
      <c r="W196" s="345">
        <v>0</v>
      </c>
      <c r="X196" s="345">
        <v>0</v>
      </c>
      <c r="Y196" s="345">
        <v>0</v>
      </c>
      <c r="Z196" s="345">
        <v>2</v>
      </c>
      <c r="AA196" s="345">
        <v>3</v>
      </c>
      <c r="AB196" s="345">
        <v>34</v>
      </c>
      <c r="AC196" s="345">
        <v>10</v>
      </c>
      <c r="AD196" s="349">
        <v>1766</v>
      </c>
      <c r="AE196" s="349">
        <v>16</v>
      </c>
      <c r="AF196" s="349">
        <v>2</v>
      </c>
      <c r="AG196" s="349">
        <v>18</v>
      </c>
    </row>
    <row r="197" spans="1:33" x14ac:dyDescent="0.2">
      <c r="A197" s="344" t="s">
        <v>448</v>
      </c>
      <c r="B197" s="350" t="s">
        <v>449</v>
      </c>
      <c r="C197" s="346">
        <v>14739</v>
      </c>
      <c r="D197" s="346">
        <v>59</v>
      </c>
      <c r="E197" s="346">
        <v>328</v>
      </c>
      <c r="F197" s="346">
        <v>2538</v>
      </c>
      <c r="G197" s="346">
        <v>385</v>
      </c>
      <c r="H197" s="346">
        <v>18049</v>
      </c>
      <c r="I197" s="345">
        <v>17664</v>
      </c>
      <c r="J197" s="345">
        <v>18</v>
      </c>
      <c r="K197" s="347">
        <v>75.38</v>
      </c>
      <c r="L197" s="347">
        <v>72.930000000000007</v>
      </c>
      <c r="M197" s="347">
        <v>3.48</v>
      </c>
      <c r="N197" s="347">
        <v>77.09</v>
      </c>
      <c r="O197" s="348">
        <v>13495</v>
      </c>
      <c r="P197" s="345">
        <v>74.459999999999994</v>
      </c>
      <c r="Q197" s="345">
        <v>67.260000000000005</v>
      </c>
      <c r="R197" s="345">
        <v>25.4</v>
      </c>
      <c r="S197" s="345">
        <v>98.48</v>
      </c>
      <c r="T197" s="345">
        <v>2761</v>
      </c>
      <c r="U197" s="345">
        <v>97.02</v>
      </c>
      <c r="V197" s="345">
        <v>1066</v>
      </c>
      <c r="W197" s="345">
        <v>123.49</v>
      </c>
      <c r="X197" s="345">
        <v>52</v>
      </c>
      <c r="Y197" s="345">
        <v>0</v>
      </c>
      <c r="Z197" s="345">
        <v>14</v>
      </c>
      <c r="AA197" s="345">
        <v>18</v>
      </c>
      <c r="AB197" s="345">
        <v>50</v>
      </c>
      <c r="AC197" s="345">
        <v>10</v>
      </c>
      <c r="AD197" s="349">
        <v>14527</v>
      </c>
      <c r="AE197" s="349">
        <v>148</v>
      </c>
      <c r="AF197" s="349">
        <v>42</v>
      </c>
      <c r="AG197" s="349">
        <v>190</v>
      </c>
    </row>
    <row r="198" spans="1:33" x14ac:dyDescent="0.2">
      <c r="A198" s="344" t="s">
        <v>450</v>
      </c>
      <c r="B198" s="350" t="s">
        <v>451</v>
      </c>
      <c r="C198" s="346">
        <v>3837</v>
      </c>
      <c r="D198" s="346">
        <v>0</v>
      </c>
      <c r="E198" s="346">
        <v>506</v>
      </c>
      <c r="F198" s="346">
        <v>1137</v>
      </c>
      <c r="G198" s="346">
        <v>280</v>
      </c>
      <c r="H198" s="346">
        <v>5760</v>
      </c>
      <c r="I198" s="345">
        <v>5480</v>
      </c>
      <c r="J198" s="345">
        <v>1</v>
      </c>
      <c r="K198" s="347">
        <v>89.57</v>
      </c>
      <c r="L198" s="347">
        <v>88.04</v>
      </c>
      <c r="M198" s="347">
        <v>6.14</v>
      </c>
      <c r="N198" s="347">
        <v>94.17</v>
      </c>
      <c r="O198" s="348">
        <v>3489</v>
      </c>
      <c r="P198" s="345">
        <v>87.67</v>
      </c>
      <c r="Q198" s="345">
        <v>83.11</v>
      </c>
      <c r="R198" s="345">
        <v>42.67</v>
      </c>
      <c r="S198" s="345">
        <v>125.85</v>
      </c>
      <c r="T198" s="345">
        <v>989</v>
      </c>
      <c r="U198" s="345">
        <v>105.27</v>
      </c>
      <c r="V198" s="345">
        <v>276</v>
      </c>
      <c r="W198" s="345">
        <v>0</v>
      </c>
      <c r="X198" s="345">
        <v>0</v>
      </c>
      <c r="Y198" s="345">
        <v>0</v>
      </c>
      <c r="Z198" s="345">
        <v>1</v>
      </c>
      <c r="AA198" s="345">
        <v>2</v>
      </c>
      <c r="AB198" s="345">
        <v>6</v>
      </c>
      <c r="AC198" s="345">
        <v>12</v>
      </c>
      <c r="AD198" s="349">
        <v>3820</v>
      </c>
      <c r="AE198" s="349">
        <v>12</v>
      </c>
      <c r="AF198" s="349">
        <v>15</v>
      </c>
      <c r="AG198" s="349">
        <v>27</v>
      </c>
    </row>
    <row r="199" spans="1:33" x14ac:dyDescent="0.2">
      <c r="A199" s="344" t="s">
        <v>452</v>
      </c>
      <c r="B199" s="350" t="s">
        <v>453</v>
      </c>
      <c r="C199" s="346">
        <v>6616</v>
      </c>
      <c r="D199" s="346">
        <v>0</v>
      </c>
      <c r="E199" s="346">
        <v>1173</v>
      </c>
      <c r="F199" s="346">
        <v>2364</v>
      </c>
      <c r="G199" s="346">
        <v>313</v>
      </c>
      <c r="H199" s="346">
        <v>10466</v>
      </c>
      <c r="I199" s="345">
        <v>10153</v>
      </c>
      <c r="J199" s="345">
        <v>65</v>
      </c>
      <c r="K199" s="347">
        <v>85.23</v>
      </c>
      <c r="L199" s="347">
        <v>82.91</v>
      </c>
      <c r="M199" s="347">
        <v>6.05</v>
      </c>
      <c r="N199" s="347">
        <v>89.09</v>
      </c>
      <c r="O199" s="348">
        <v>5668</v>
      </c>
      <c r="P199" s="345">
        <v>82.29</v>
      </c>
      <c r="Q199" s="345">
        <v>77.489999999999995</v>
      </c>
      <c r="R199" s="345">
        <v>62.58</v>
      </c>
      <c r="S199" s="345">
        <v>140.82</v>
      </c>
      <c r="T199" s="345">
        <v>2968</v>
      </c>
      <c r="U199" s="345">
        <v>99.6</v>
      </c>
      <c r="V199" s="345">
        <v>442</v>
      </c>
      <c r="W199" s="345">
        <v>170.24</v>
      </c>
      <c r="X199" s="345">
        <v>177</v>
      </c>
      <c r="Y199" s="345">
        <v>1</v>
      </c>
      <c r="Z199" s="345">
        <v>2</v>
      </c>
      <c r="AA199" s="345">
        <v>58</v>
      </c>
      <c r="AB199" s="345">
        <v>15</v>
      </c>
      <c r="AC199" s="345">
        <v>27</v>
      </c>
      <c r="AD199" s="349">
        <v>6508</v>
      </c>
      <c r="AE199" s="349">
        <v>35</v>
      </c>
      <c r="AF199" s="349">
        <v>28</v>
      </c>
      <c r="AG199" s="349">
        <v>63</v>
      </c>
    </row>
    <row r="200" spans="1:33" x14ac:dyDescent="0.2">
      <c r="A200" s="344" t="s">
        <v>454</v>
      </c>
      <c r="B200" s="350" t="s">
        <v>455</v>
      </c>
      <c r="C200" s="346">
        <v>2035</v>
      </c>
      <c r="D200" s="346">
        <v>0</v>
      </c>
      <c r="E200" s="346">
        <v>255</v>
      </c>
      <c r="F200" s="346">
        <v>337</v>
      </c>
      <c r="G200" s="346">
        <v>295</v>
      </c>
      <c r="H200" s="346">
        <v>2922</v>
      </c>
      <c r="I200" s="345">
        <v>2627</v>
      </c>
      <c r="J200" s="345">
        <v>8</v>
      </c>
      <c r="K200" s="347">
        <v>96.21</v>
      </c>
      <c r="L200" s="347">
        <v>86.99</v>
      </c>
      <c r="M200" s="347">
        <v>6.64</v>
      </c>
      <c r="N200" s="347">
        <v>101.61</v>
      </c>
      <c r="O200" s="348">
        <v>1681</v>
      </c>
      <c r="P200" s="345">
        <v>107.65</v>
      </c>
      <c r="Q200" s="345">
        <v>80.95</v>
      </c>
      <c r="R200" s="345">
        <v>51.95</v>
      </c>
      <c r="S200" s="345">
        <v>157.72</v>
      </c>
      <c r="T200" s="345">
        <v>443</v>
      </c>
      <c r="U200" s="345">
        <v>112.89</v>
      </c>
      <c r="V200" s="345">
        <v>316</v>
      </c>
      <c r="W200" s="345">
        <v>180.46</v>
      </c>
      <c r="X200" s="345">
        <v>60</v>
      </c>
      <c r="Y200" s="345">
        <v>0</v>
      </c>
      <c r="Z200" s="345">
        <v>1</v>
      </c>
      <c r="AA200" s="345">
        <v>1</v>
      </c>
      <c r="AB200" s="345">
        <v>16</v>
      </c>
      <c r="AC200" s="345">
        <v>2</v>
      </c>
      <c r="AD200" s="349">
        <v>2028</v>
      </c>
      <c r="AE200" s="349">
        <v>14</v>
      </c>
      <c r="AF200" s="349">
        <v>9</v>
      </c>
      <c r="AG200" s="349">
        <v>23</v>
      </c>
    </row>
    <row r="201" spans="1:33" x14ac:dyDescent="0.2">
      <c r="A201" s="344" t="s">
        <v>456</v>
      </c>
      <c r="B201" s="350" t="s">
        <v>457</v>
      </c>
      <c r="C201" s="346">
        <v>480</v>
      </c>
      <c r="D201" s="346">
        <v>0</v>
      </c>
      <c r="E201" s="346">
        <v>59</v>
      </c>
      <c r="F201" s="346">
        <v>94</v>
      </c>
      <c r="G201" s="346">
        <v>115</v>
      </c>
      <c r="H201" s="346">
        <v>748</v>
      </c>
      <c r="I201" s="345">
        <v>633</v>
      </c>
      <c r="J201" s="345">
        <v>1</v>
      </c>
      <c r="K201" s="347">
        <v>91.79</v>
      </c>
      <c r="L201" s="347">
        <v>89.71</v>
      </c>
      <c r="M201" s="347">
        <v>4.75</v>
      </c>
      <c r="N201" s="347">
        <v>94.44</v>
      </c>
      <c r="O201" s="348">
        <v>280</v>
      </c>
      <c r="P201" s="345">
        <v>112.1</v>
      </c>
      <c r="Q201" s="345">
        <v>76.53</v>
      </c>
      <c r="R201" s="345">
        <v>29.13</v>
      </c>
      <c r="S201" s="345">
        <v>141.24</v>
      </c>
      <c r="T201" s="345">
        <v>137</v>
      </c>
      <c r="U201" s="345">
        <v>103.89</v>
      </c>
      <c r="V201" s="345">
        <v>107</v>
      </c>
      <c r="W201" s="345">
        <v>0</v>
      </c>
      <c r="X201" s="345">
        <v>0</v>
      </c>
      <c r="Y201" s="345">
        <v>0</v>
      </c>
      <c r="Z201" s="345">
        <v>0</v>
      </c>
      <c r="AA201" s="345">
        <v>0</v>
      </c>
      <c r="AB201" s="345">
        <v>10</v>
      </c>
      <c r="AC201" s="345">
        <v>5</v>
      </c>
      <c r="AD201" s="349">
        <v>445</v>
      </c>
      <c r="AE201" s="349">
        <v>2</v>
      </c>
      <c r="AF201" s="349">
        <v>0</v>
      </c>
      <c r="AG201" s="349">
        <v>2</v>
      </c>
    </row>
    <row r="202" spans="1:33" x14ac:dyDescent="0.2">
      <c r="A202" s="344" t="s">
        <v>458</v>
      </c>
      <c r="B202" s="350" t="s">
        <v>459</v>
      </c>
      <c r="C202" s="346">
        <v>17473</v>
      </c>
      <c r="D202" s="346">
        <v>1</v>
      </c>
      <c r="E202" s="346">
        <v>556</v>
      </c>
      <c r="F202" s="346">
        <v>679</v>
      </c>
      <c r="G202" s="346">
        <v>228</v>
      </c>
      <c r="H202" s="346">
        <v>18937</v>
      </c>
      <c r="I202" s="345">
        <v>18709</v>
      </c>
      <c r="J202" s="345">
        <v>31</v>
      </c>
      <c r="K202" s="347">
        <v>77.3</v>
      </c>
      <c r="L202" s="347">
        <v>76.97</v>
      </c>
      <c r="M202" s="347">
        <v>2.4700000000000002</v>
      </c>
      <c r="N202" s="347">
        <v>78.58</v>
      </c>
      <c r="O202" s="348">
        <v>15699</v>
      </c>
      <c r="P202" s="345">
        <v>80.13</v>
      </c>
      <c r="Q202" s="345">
        <v>76.39</v>
      </c>
      <c r="R202" s="345">
        <v>32.42</v>
      </c>
      <c r="S202" s="345">
        <v>108.94</v>
      </c>
      <c r="T202" s="345">
        <v>1204</v>
      </c>
      <c r="U202" s="345">
        <v>97.43</v>
      </c>
      <c r="V202" s="345">
        <v>1323</v>
      </c>
      <c r="W202" s="345">
        <v>0</v>
      </c>
      <c r="X202" s="345">
        <v>0</v>
      </c>
      <c r="Y202" s="345">
        <v>3</v>
      </c>
      <c r="Z202" s="345">
        <v>98</v>
      </c>
      <c r="AA202" s="345">
        <v>4</v>
      </c>
      <c r="AB202" s="345">
        <v>1</v>
      </c>
      <c r="AC202" s="345">
        <v>5</v>
      </c>
      <c r="AD202" s="349">
        <v>16878</v>
      </c>
      <c r="AE202" s="349">
        <v>59</v>
      </c>
      <c r="AF202" s="349">
        <v>107</v>
      </c>
      <c r="AG202" s="349">
        <v>166</v>
      </c>
    </row>
    <row r="203" spans="1:33" x14ac:dyDescent="0.2">
      <c r="A203" s="344" t="s">
        <v>460</v>
      </c>
      <c r="B203" s="350" t="s">
        <v>461</v>
      </c>
      <c r="C203" s="346">
        <v>2948</v>
      </c>
      <c r="D203" s="346">
        <v>99</v>
      </c>
      <c r="E203" s="346">
        <v>470</v>
      </c>
      <c r="F203" s="346">
        <v>853</v>
      </c>
      <c r="G203" s="346">
        <v>633</v>
      </c>
      <c r="H203" s="346">
        <v>5003</v>
      </c>
      <c r="I203" s="345">
        <v>4370</v>
      </c>
      <c r="J203" s="345">
        <v>0</v>
      </c>
      <c r="K203" s="347">
        <v>112.7</v>
      </c>
      <c r="L203" s="347">
        <v>107.21</v>
      </c>
      <c r="M203" s="347">
        <v>7.93</v>
      </c>
      <c r="N203" s="347">
        <v>118.92</v>
      </c>
      <c r="O203" s="348">
        <v>2965</v>
      </c>
      <c r="P203" s="345">
        <v>108.47</v>
      </c>
      <c r="Q203" s="345">
        <v>95.09</v>
      </c>
      <c r="R203" s="345">
        <v>45.4</v>
      </c>
      <c r="S203" s="345">
        <v>153.22</v>
      </c>
      <c r="T203" s="345">
        <v>1270</v>
      </c>
      <c r="U203" s="345">
        <v>163.32</v>
      </c>
      <c r="V203" s="345">
        <v>61</v>
      </c>
      <c r="W203" s="345">
        <v>0</v>
      </c>
      <c r="X203" s="345">
        <v>0</v>
      </c>
      <c r="Y203" s="345">
        <v>61</v>
      </c>
      <c r="Z203" s="345">
        <v>0</v>
      </c>
      <c r="AA203" s="345">
        <v>0</v>
      </c>
      <c r="AB203" s="345">
        <v>18</v>
      </c>
      <c r="AC203" s="345">
        <v>20</v>
      </c>
      <c r="AD203" s="349">
        <v>2948</v>
      </c>
      <c r="AE203" s="349">
        <v>18</v>
      </c>
      <c r="AF203" s="349">
        <v>4</v>
      </c>
      <c r="AG203" s="349">
        <v>22</v>
      </c>
    </row>
    <row r="204" spans="1:33" x14ac:dyDescent="0.2">
      <c r="A204" s="344" t="s">
        <v>462</v>
      </c>
      <c r="B204" s="350" t="s">
        <v>463</v>
      </c>
      <c r="C204" s="346">
        <v>4206</v>
      </c>
      <c r="D204" s="346">
        <v>0</v>
      </c>
      <c r="E204" s="346">
        <v>223</v>
      </c>
      <c r="F204" s="346">
        <v>245</v>
      </c>
      <c r="G204" s="346">
        <v>6</v>
      </c>
      <c r="H204" s="346">
        <v>4680</v>
      </c>
      <c r="I204" s="345">
        <v>4674</v>
      </c>
      <c r="J204" s="345">
        <v>18</v>
      </c>
      <c r="K204" s="347">
        <v>73.97</v>
      </c>
      <c r="L204" s="347">
        <v>70.739999999999995</v>
      </c>
      <c r="M204" s="347">
        <v>1.78</v>
      </c>
      <c r="N204" s="347">
        <v>75.55</v>
      </c>
      <c r="O204" s="348">
        <v>3820</v>
      </c>
      <c r="P204" s="345">
        <v>87.44</v>
      </c>
      <c r="Q204" s="345">
        <v>71.040000000000006</v>
      </c>
      <c r="R204" s="345">
        <v>37.22</v>
      </c>
      <c r="S204" s="345">
        <v>123.48</v>
      </c>
      <c r="T204" s="345">
        <v>347</v>
      </c>
      <c r="U204" s="345">
        <v>93.52</v>
      </c>
      <c r="V204" s="345">
        <v>373</v>
      </c>
      <c r="W204" s="345">
        <v>83</v>
      </c>
      <c r="X204" s="345">
        <v>12</v>
      </c>
      <c r="Y204" s="345">
        <v>0</v>
      </c>
      <c r="Z204" s="345">
        <v>28</v>
      </c>
      <c r="AA204" s="345">
        <v>18</v>
      </c>
      <c r="AB204" s="345">
        <v>0</v>
      </c>
      <c r="AC204" s="345">
        <v>0</v>
      </c>
      <c r="AD204" s="349">
        <v>4202</v>
      </c>
      <c r="AE204" s="349">
        <v>17</v>
      </c>
      <c r="AF204" s="349">
        <v>19</v>
      </c>
      <c r="AG204" s="349">
        <v>36</v>
      </c>
    </row>
    <row r="205" spans="1:33" x14ac:dyDescent="0.2">
      <c r="A205" s="344" t="s">
        <v>464</v>
      </c>
      <c r="B205" s="350" t="s">
        <v>465</v>
      </c>
      <c r="C205" s="346">
        <v>12923</v>
      </c>
      <c r="D205" s="346">
        <v>32</v>
      </c>
      <c r="E205" s="346">
        <v>774</v>
      </c>
      <c r="F205" s="346">
        <v>2144</v>
      </c>
      <c r="G205" s="346">
        <v>898</v>
      </c>
      <c r="H205" s="346">
        <v>16771</v>
      </c>
      <c r="I205" s="345">
        <v>15873</v>
      </c>
      <c r="J205" s="345">
        <v>23</v>
      </c>
      <c r="K205" s="347">
        <v>87.21</v>
      </c>
      <c r="L205" s="347">
        <v>86.61</v>
      </c>
      <c r="M205" s="347">
        <v>4.96</v>
      </c>
      <c r="N205" s="347">
        <v>89.52</v>
      </c>
      <c r="O205" s="348">
        <v>11291</v>
      </c>
      <c r="P205" s="345">
        <v>93.77</v>
      </c>
      <c r="Q205" s="345">
        <v>89.12</v>
      </c>
      <c r="R205" s="345">
        <v>35.72</v>
      </c>
      <c r="S205" s="345">
        <v>128.11000000000001</v>
      </c>
      <c r="T205" s="345">
        <v>2665</v>
      </c>
      <c r="U205" s="345">
        <v>104.72</v>
      </c>
      <c r="V205" s="345">
        <v>1411</v>
      </c>
      <c r="W205" s="345">
        <v>191.98</v>
      </c>
      <c r="X205" s="345">
        <v>100</v>
      </c>
      <c r="Y205" s="345">
        <v>1</v>
      </c>
      <c r="Z205" s="345">
        <v>57</v>
      </c>
      <c r="AA205" s="345">
        <v>6</v>
      </c>
      <c r="AB205" s="345">
        <v>37</v>
      </c>
      <c r="AC205" s="345">
        <v>24</v>
      </c>
      <c r="AD205" s="349">
        <v>12923</v>
      </c>
      <c r="AE205" s="349">
        <v>41</v>
      </c>
      <c r="AF205" s="349">
        <v>19</v>
      </c>
      <c r="AG205" s="349">
        <v>60</v>
      </c>
    </row>
    <row r="206" spans="1:33" x14ac:dyDescent="0.2">
      <c r="A206" s="344" t="s">
        <v>466</v>
      </c>
      <c r="B206" s="350" t="s">
        <v>467</v>
      </c>
      <c r="C206" s="346">
        <v>19041</v>
      </c>
      <c r="D206" s="346">
        <v>0</v>
      </c>
      <c r="E206" s="346">
        <v>2398</v>
      </c>
      <c r="F206" s="346">
        <v>1073</v>
      </c>
      <c r="G206" s="346">
        <v>1045</v>
      </c>
      <c r="H206" s="346">
        <v>23557</v>
      </c>
      <c r="I206" s="345">
        <v>22512</v>
      </c>
      <c r="J206" s="345">
        <v>17</v>
      </c>
      <c r="K206" s="347">
        <v>76.040000000000006</v>
      </c>
      <c r="L206" s="347">
        <v>74.790000000000006</v>
      </c>
      <c r="M206" s="347">
        <v>7.04</v>
      </c>
      <c r="N206" s="347">
        <v>80.37</v>
      </c>
      <c r="O206" s="348">
        <v>15529</v>
      </c>
      <c r="P206" s="345">
        <v>72</v>
      </c>
      <c r="Q206" s="345">
        <v>70.36</v>
      </c>
      <c r="R206" s="345">
        <v>27.02</v>
      </c>
      <c r="S206" s="345">
        <v>97.65</v>
      </c>
      <c r="T206" s="345">
        <v>3093</v>
      </c>
      <c r="U206" s="345">
        <v>106.19</v>
      </c>
      <c r="V206" s="345">
        <v>3055</v>
      </c>
      <c r="W206" s="345">
        <v>98.86</v>
      </c>
      <c r="X206" s="345">
        <v>290</v>
      </c>
      <c r="Y206" s="345">
        <v>0</v>
      </c>
      <c r="Z206" s="345">
        <v>93</v>
      </c>
      <c r="AA206" s="345">
        <v>25</v>
      </c>
      <c r="AB206" s="345">
        <v>41</v>
      </c>
      <c r="AC206" s="345">
        <v>23</v>
      </c>
      <c r="AD206" s="349">
        <v>18590</v>
      </c>
      <c r="AE206" s="349">
        <v>77</v>
      </c>
      <c r="AF206" s="349">
        <v>162</v>
      </c>
      <c r="AG206" s="349">
        <v>239</v>
      </c>
    </row>
    <row r="207" spans="1:33" x14ac:dyDescent="0.2">
      <c r="A207" s="344" t="s">
        <v>468</v>
      </c>
      <c r="B207" s="350" t="s">
        <v>469</v>
      </c>
      <c r="C207" s="346">
        <v>4948</v>
      </c>
      <c r="D207" s="346">
        <v>24</v>
      </c>
      <c r="E207" s="346">
        <v>470</v>
      </c>
      <c r="F207" s="346">
        <v>873</v>
      </c>
      <c r="G207" s="346">
        <v>680</v>
      </c>
      <c r="H207" s="346">
        <v>6995</v>
      </c>
      <c r="I207" s="345">
        <v>6315</v>
      </c>
      <c r="J207" s="345">
        <v>2</v>
      </c>
      <c r="K207" s="347">
        <v>98.27</v>
      </c>
      <c r="L207" s="347">
        <v>97.47</v>
      </c>
      <c r="M207" s="347">
        <v>9.32</v>
      </c>
      <c r="N207" s="347">
        <v>105.73</v>
      </c>
      <c r="O207" s="348">
        <v>3892</v>
      </c>
      <c r="P207" s="345">
        <v>108.29</v>
      </c>
      <c r="Q207" s="345">
        <v>90.59</v>
      </c>
      <c r="R207" s="345">
        <v>36.49</v>
      </c>
      <c r="S207" s="345">
        <v>136.68</v>
      </c>
      <c r="T207" s="345">
        <v>572</v>
      </c>
      <c r="U207" s="345">
        <v>128.5</v>
      </c>
      <c r="V207" s="345">
        <v>768</v>
      </c>
      <c r="W207" s="345">
        <v>171.72</v>
      </c>
      <c r="X207" s="345">
        <v>270</v>
      </c>
      <c r="Y207" s="345">
        <v>41</v>
      </c>
      <c r="Z207" s="345">
        <v>2</v>
      </c>
      <c r="AA207" s="345">
        <v>8</v>
      </c>
      <c r="AB207" s="345">
        <v>18</v>
      </c>
      <c r="AC207" s="345">
        <v>19</v>
      </c>
      <c r="AD207" s="349">
        <v>4863</v>
      </c>
      <c r="AE207" s="349">
        <v>19</v>
      </c>
      <c r="AF207" s="349">
        <v>7</v>
      </c>
      <c r="AG207" s="349">
        <v>26</v>
      </c>
    </row>
    <row r="208" spans="1:33" x14ac:dyDescent="0.2">
      <c r="A208" s="344" t="s">
        <v>470</v>
      </c>
      <c r="B208" s="350" t="s">
        <v>471</v>
      </c>
      <c r="C208" s="346">
        <v>10124</v>
      </c>
      <c r="D208" s="346">
        <v>0</v>
      </c>
      <c r="E208" s="346">
        <v>443</v>
      </c>
      <c r="F208" s="346">
        <v>968</v>
      </c>
      <c r="G208" s="346">
        <v>324</v>
      </c>
      <c r="H208" s="346">
        <v>11859</v>
      </c>
      <c r="I208" s="345">
        <v>11535</v>
      </c>
      <c r="J208" s="345">
        <v>10</v>
      </c>
      <c r="K208" s="347">
        <v>79.05</v>
      </c>
      <c r="L208" s="347">
        <v>78.180000000000007</v>
      </c>
      <c r="M208" s="347">
        <v>6.52</v>
      </c>
      <c r="N208" s="347">
        <v>82.25</v>
      </c>
      <c r="O208" s="348">
        <v>9263</v>
      </c>
      <c r="P208" s="345">
        <v>80.64</v>
      </c>
      <c r="Q208" s="345">
        <v>71.319999999999993</v>
      </c>
      <c r="R208" s="345">
        <v>44.02</v>
      </c>
      <c r="S208" s="345">
        <v>123.1</v>
      </c>
      <c r="T208" s="345">
        <v>1351</v>
      </c>
      <c r="U208" s="345">
        <v>100.31</v>
      </c>
      <c r="V208" s="345">
        <v>827</v>
      </c>
      <c r="W208" s="345">
        <v>0</v>
      </c>
      <c r="X208" s="345">
        <v>0</v>
      </c>
      <c r="Y208" s="345">
        <v>3</v>
      </c>
      <c r="Z208" s="345">
        <v>35</v>
      </c>
      <c r="AA208" s="345">
        <v>15</v>
      </c>
      <c r="AB208" s="345">
        <v>3</v>
      </c>
      <c r="AC208" s="345">
        <v>4</v>
      </c>
      <c r="AD208" s="349">
        <v>10101</v>
      </c>
      <c r="AE208" s="349">
        <v>52</v>
      </c>
      <c r="AF208" s="349">
        <v>51</v>
      </c>
      <c r="AG208" s="349">
        <v>103</v>
      </c>
    </row>
    <row r="209" spans="1:33" x14ac:dyDescent="0.2">
      <c r="A209" s="344" t="s">
        <v>472</v>
      </c>
      <c r="B209" s="350" t="s">
        <v>473</v>
      </c>
      <c r="C209" s="346">
        <v>3781</v>
      </c>
      <c r="D209" s="346">
        <v>0</v>
      </c>
      <c r="E209" s="346">
        <v>338</v>
      </c>
      <c r="F209" s="346">
        <v>362</v>
      </c>
      <c r="G209" s="346">
        <v>887</v>
      </c>
      <c r="H209" s="346">
        <v>5368</v>
      </c>
      <c r="I209" s="345">
        <v>4481</v>
      </c>
      <c r="J209" s="345">
        <v>11</v>
      </c>
      <c r="K209" s="347">
        <v>117.81</v>
      </c>
      <c r="L209" s="347">
        <v>115.16</v>
      </c>
      <c r="M209" s="347">
        <v>9.44</v>
      </c>
      <c r="N209" s="347">
        <v>126.69</v>
      </c>
      <c r="O209" s="348">
        <v>2968</v>
      </c>
      <c r="P209" s="345">
        <v>113.39</v>
      </c>
      <c r="Q209" s="345">
        <v>101.98</v>
      </c>
      <c r="R209" s="345">
        <v>74.72</v>
      </c>
      <c r="S209" s="345">
        <v>183.7</v>
      </c>
      <c r="T209" s="345">
        <v>560</v>
      </c>
      <c r="U209" s="345">
        <v>158.88999999999999</v>
      </c>
      <c r="V209" s="345">
        <v>391</v>
      </c>
      <c r="W209" s="345">
        <v>148.37</v>
      </c>
      <c r="X209" s="345">
        <v>33</v>
      </c>
      <c r="Y209" s="345">
        <v>0</v>
      </c>
      <c r="Z209" s="345">
        <v>7</v>
      </c>
      <c r="AA209" s="345">
        <v>7</v>
      </c>
      <c r="AB209" s="345">
        <v>20</v>
      </c>
      <c r="AC209" s="345">
        <v>35</v>
      </c>
      <c r="AD209" s="349">
        <v>3610</v>
      </c>
      <c r="AE209" s="349">
        <v>3</v>
      </c>
      <c r="AF209" s="349">
        <v>4</v>
      </c>
      <c r="AG209" s="349">
        <v>7</v>
      </c>
    </row>
    <row r="210" spans="1:33" x14ac:dyDescent="0.2">
      <c r="A210" s="344" t="s">
        <v>474</v>
      </c>
      <c r="B210" s="350" t="s">
        <v>475</v>
      </c>
      <c r="C210" s="346">
        <v>3459</v>
      </c>
      <c r="D210" s="346">
        <v>0</v>
      </c>
      <c r="E210" s="346">
        <v>353</v>
      </c>
      <c r="F210" s="346">
        <v>1095</v>
      </c>
      <c r="G210" s="346">
        <v>589</v>
      </c>
      <c r="H210" s="346">
        <v>5496</v>
      </c>
      <c r="I210" s="345">
        <v>4907</v>
      </c>
      <c r="J210" s="345">
        <v>22</v>
      </c>
      <c r="K210" s="347">
        <v>130.44</v>
      </c>
      <c r="L210" s="347">
        <v>124.22</v>
      </c>
      <c r="M210" s="347">
        <v>11.01</v>
      </c>
      <c r="N210" s="347">
        <v>135.91999999999999</v>
      </c>
      <c r="O210" s="348">
        <v>2942</v>
      </c>
      <c r="P210" s="345">
        <v>104.78</v>
      </c>
      <c r="Q210" s="345">
        <v>101.5</v>
      </c>
      <c r="R210" s="345">
        <v>48.4</v>
      </c>
      <c r="S210" s="345">
        <v>145.63999999999999</v>
      </c>
      <c r="T210" s="345">
        <v>1264</v>
      </c>
      <c r="U210" s="345">
        <v>168.92</v>
      </c>
      <c r="V210" s="345">
        <v>235</v>
      </c>
      <c r="W210" s="345">
        <v>135.16999999999999</v>
      </c>
      <c r="X210" s="345">
        <v>53</v>
      </c>
      <c r="Y210" s="345">
        <v>0</v>
      </c>
      <c r="Z210" s="345">
        <v>0</v>
      </c>
      <c r="AA210" s="345">
        <v>0</v>
      </c>
      <c r="AB210" s="345">
        <v>72</v>
      </c>
      <c r="AC210" s="345">
        <v>16</v>
      </c>
      <c r="AD210" s="349">
        <v>3337</v>
      </c>
      <c r="AE210" s="349">
        <v>5</v>
      </c>
      <c r="AF210" s="349">
        <v>1</v>
      </c>
      <c r="AG210" s="349">
        <v>6</v>
      </c>
    </row>
    <row r="211" spans="1:33" x14ac:dyDescent="0.2">
      <c r="A211" s="344" t="s">
        <v>476</v>
      </c>
      <c r="B211" s="350" t="s">
        <v>477</v>
      </c>
      <c r="C211" s="346">
        <v>11360</v>
      </c>
      <c r="D211" s="346">
        <v>0</v>
      </c>
      <c r="E211" s="346">
        <v>173</v>
      </c>
      <c r="F211" s="346">
        <v>630</v>
      </c>
      <c r="G211" s="346">
        <v>247</v>
      </c>
      <c r="H211" s="346">
        <v>12410</v>
      </c>
      <c r="I211" s="345">
        <v>12163</v>
      </c>
      <c r="J211" s="345">
        <v>11</v>
      </c>
      <c r="K211" s="347">
        <v>87.47</v>
      </c>
      <c r="L211" s="347">
        <v>87.82</v>
      </c>
      <c r="M211" s="347">
        <v>5.71</v>
      </c>
      <c r="N211" s="347">
        <v>90.37</v>
      </c>
      <c r="O211" s="348">
        <v>10937</v>
      </c>
      <c r="P211" s="345">
        <v>84.31</v>
      </c>
      <c r="Q211" s="345">
        <v>79.31</v>
      </c>
      <c r="R211" s="345">
        <v>47.51</v>
      </c>
      <c r="S211" s="345">
        <v>130.19999999999999</v>
      </c>
      <c r="T211" s="345">
        <v>645</v>
      </c>
      <c r="U211" s="345">
        <v>106.28</v>
      </c>
      <c r="V211" s="345">
        <v>237</v>
      </c>
      <c r="W211" s="345">
        <v>146.21</v>
      </c>
      <c r="X211" s="345">
        <v>127</v>
      </c>
      <c r="Y211" s="345">
        <v>0</v>
      </c>
      <c r="Z211" s="345">
        <v>34</v>
      </c>
      <c r="AA211" s="345">
        <v>7</v>
      </c>
      <c r="AB211" s="345">
        <v>14</v>
      </c>
      <c r="AC211" s="345">
        <v>4</v>
      </c>
      <c r="AD211" s="349">
        <v>11360</v>
      </c>
      <c r="AE211" s="349">
        <v>72</v>
      </c>
      <c r="AF211" s="349">
        <v>87</v>
      </c>
      <c r="AG211" s="349">
        <v>159</v>
      </c>
    </row>
    <row r="212" spans="1:33" x14ac:dyDescent="0.2">
      <c r="A212" s="344" t="s">
        <v>478</v>
      </c>
      <c r="B212" s="350" t="s">
        <v>479</v>
      </c>
      <c r="C212" s="346">
        <v>1752</v>
      </c>
      <c r="D212" s="346">
        <v>0</v>
      </c>
      <c r="E212" s="346">
        <v>162</v>
      </c>
      <c r="F212" s="346">
        <v>179</v>
      </c>
      <c r="G212" s="346">
        <v>139</v>
      </c>
      <c r="H212" s="346">
        <v>2232</v>
      </c>
      <c r="I212" s="345">
        <v>2093</v>
      </c>
      <c r="J212" s="345">
        <v>0</v>
      </c>
      <c r="K212" s="347">
        <v>88.06</v>
      </c>
      <c r="L212" s="347">
        <v>80.459999999999994</v>
      </c>
      <c r="M212" s="347">
        <v>4.7</v>
      </c>
      <c r="N212" s="347">
        <v>92.07</v>
      </c>
      <c r="O212" s="348">
        <v>1320</v>
      </c>
      <c r="P212" s="345">
        <v>100.6</v>
      </c>
      <c r="Q212" s="345">
        <v>68.459999999999994</v>
      </c>
      <c r="R212" s="345">
        <v>50.49</v>
      </c>
      <c r="S212" s="345">
        <v>147.11000000000001</v>
      </c>
      <c r="T212" s="345">
        <v>241</v>
      </c>
      <c r="U212" s="345">
        <v>111.3</v>
      </c>
      <c r="V212" s="345">
        <v>198</v>
      </c>
      <c r="W212" s="345">
        <v>186.05</v>
      </c>
      <c r="X212" s="345">
        <v>43</v>
      </c>
      <c r="Y212" s="345">
        <v>0</v>
      </c>
      <c r="Z212" s="345">
        <v>0</v>
      </c>
      <c r="AA212" s="345">
        <v>5</v>
      </c>
      <c r="AB212" s="345">
        <v>0</v>
      </c>
      <c r="AC212" s="345">
        <v>7</v>
      </c>
      <c r="AD212" s="349">
        <v>1587</v>
      </c>
      <c r="AE212" s="349">
        <v>11</v>
      </c>
      <c r="AF212" s="349">
        <v>2</v>
      </c>
      <c r="AG212" s="349">
        <v>13</v>
      </c>
    </row>
    <row r="213" spans="1:33" x14ac:dyDescent="0.2">
      <c r="A213" s="344" t="s">
        <v>480</v>
      </c>
      <c r="B213" s="350" t="s">
        <v>481</v>
      </c>
      <c r="C213" s="346">
        <v>6099</v>
      </c>
      <c r="D213" s="346">
        <v>0</v>
      </c>
      <c r="E213" s="346">
        <v>319</v>
      </c>
      <c r="F213" s="346">
        <v>625</v>
      </c>
      <c r="G213" s="346">
        <v>817</v>
      </c>
      <c r="H213" s="346">
        <v>7860</v>
      </c>
      <c r="I213" s="345">
        <v>7043</v>
      </c>
      <c r="J213" s="345">
        <v>2</v>
      </c>
      <c r="K213" s="347">
        <v>118.58</v>
      </c>
      <c r="L213" s="347">
        <v>118.9</v>
      </c>
      <c r="M213" s="347">
        <v>4.76</v>
      </c>
      <c r="N213" s="347">
        <v>123.12</v>
      </c>
      <c r="O213" s="348">
        <v>5129</v>
      </c>
      <c r="P213" s="345">
        <v>108.7</v>
      </c>
      <c r="Q213" s="345">
        <v>98.32</v>
      </c>
      <c r="R213" s="345">
        <v>26.94</v>
      </c>
      <c r="S213" s="345">
        <v>133.66999999999999</v>
      </c>
      <c r="T213" s="345">
        <v>670</v>
      </c>
      <c r="U213" s="345">
        <v>147.43</v>
      </c>
      <c r="V213" s="345">
        <v>884</v>
      </c>
      <c r="W213" s="345">
        <v>216.65</v>
      </c>
      <c r="X213" s="345">
        <v>63</v>
      </c>
      <c r="Y213" s="345">
        <v>0</v>
      </c>
      <c r="Z213" s="345">
        <v>15</v>
      </c>
      <c r="AA213" s="345">
        <v>7</v>
      </c>
      <c r="AB213" s="345">
        <v>57</v>
      </c>
      <c r="AC213" s="345">
        <v>27</v>
      </c>
      <c r="AD213" s="349">
        <v>6099</v>
      </c>
      <c r="AE213" s="349">
        <v>26</v>
      </c>
      <c r="AF213" s="349">
        <v>17</v>
      </c>
      <c r="AG213" s="349">
        <v>43</v>
      </c>
    </row>
    <row r="214" spans="1:33" x14ac:dyDescent="0.2">
      <c r="A214" s="344" t="s">
        <v>482</v>
      </c>
      <c r="B214" s="350" t="s">
        <v>483</v>
      </c>
      <c r="C214" s="346">
        <v>1253</v>
      </c>
      <c r="D214" s="346">
        <v>0</v>
      </c>
      <c r="E214" s="346">
        <v>94</v>
      </c>
      <c r="F214" s="346">
        <v>743</v>
      </c>
      <c r="G214" s="346">
        <v>253</v>
      </c>
      <c r="H214" s="346">
        <v>2343</v>
      </c>
      <c r="I214" s="345">
        <v>2090</v>
      </c>
      <c r="J214" s="345">
        <v>3</v>
      </c>
      <c r="K214" s="347">
        <v>85.43</v>
      </c>
      <c r="L214" s="347">
        <v>84.76</v>
      </c>
      <c r="M214" s="347">
        <v>2.98</v>
      </c>
      <c r="N214" s="347">
        <v>87.5</v>
      </c>
      <c r="O214" s="348">
        <v>946</v>
      </c>
      <c r="P214" s="345">
        <v>73.790000000000006</v>
      </c>
      <c r="Q214" s="345">
        <v>70.44</v>
      </c>
      <c r="R214" s="345">
        <v>16.96</v>
      </c>
      <c r="S214" s="345">
        <v>90.38</v>
      </c>
      <c r="T214" s="345">
        <v>782</v>
      </c>
      <c r="U214" s="345">
        <v>105.08</v>
      </c>
      <c r="V214" s="345">
        <v>289</v>
      </c>
      <c r="W214" s="345">
        <v>123.54</v>
      </c>
      <c r="X214" s="345">
        <v>18</v>
      </c>
      <c r="Y214" s="345">
        <v>0</v>
      </c>
      <c r="Z214" s="345">
        <v>3</v>
      </c>
      <c r="AA214" s="345">
        <v>0</v>
      </c>
      <c r="AB214" s="345">
        <v>24</v>
      </c>
      <c r="AC214" s="345">
        <v>8</v>
      </c>
      <c r="AD214" s="349">
        <v>1242</v>
      </c>
      <c r="AE214" s="349">
        <v>1</v>
      </c>
      <c r="AF214" s="349">
        <v>3</v>
      </c>
      <c r="AG214" s="349">
        <v>4</v>
      </c>
    </row>
    <row r="215" spans="1:33" x14ac:dyDescent="0.2">
      <c r="A215" s="344" t="s">
        <v>484</v>
      </c>
      <c r="B215" s="350" t="s">
        <v>485</v>
      </c>
      <c r="C215" s="346">
        <v>8794</v>
      </c>
      <c r="D215" s="346">
        <v>9</v>
      </c>
      <c r="E215" s="346">
        <v>309</v>
      </c>
      <c r="F215" s="346">
        <v>824</v>
      </c>
      <c r="G215" s="346">
        <v>476</v>
      </c>
      <c r="H215" s="346">
        <v>10412</v>
      </c>
      <c r="I215" s="345">
        <v>9936</v>
      </c>
      <c r="J215" s="345">
        <v>17</v>
      </c>
      <c r="K215" s="347">
        <v>122.77</v>
      </c>
      <c r="L215" s="347">
        <v>135.51</v>
      </c>
      <c r="M215" s="347">
        <v>9.67</v>
      </c>
      <c r="N215" s="347">
        <v>129.53</v>
      </c>
      <c r="O215" s="348">
        <v>7873</v>
      </c>
      <c r="P215" s="345">
        <v>118.32</v>
      </c>
      <c r="Q215" s="345">
        <v>116.56</v>
      </c>
      <c r="R215" s="345">
        <v>28.6</v>
      </c>
      <c r="S215" s="345">
        <v>145</v>
      </c>
      <c r="T215" s="345">
        <v>1073</v>
      </c>
      <c r="U215" s="345">
        <v>198.76</v>
      </c>
      <c r="V215" s="345">
        <v>758</v>
      </c>
      <c r="W215" s="345">
        <v>205.61</v>
      </c>
      <c r="X215" s="345">
        <v>11</v>
      </c>
      <c r="Y215" s="345">
        <v>1</v>
      </c>
      <c r="Z215" s="345">
        <v>5</v>
      </c>
      <c r="AA215" s="345">
        <v>12</v>
      </c>
      <c r="AB215" s="345">
        <v>1</v>
      </c>
      <c r="AC215" s="345">
        <v>12</v>
      </c>
      <c r="AD215" s="349">
        <v>8709</v>
      </c>
      <c r="AE215" s="349">
        <v>25</v>
      </c>
      <c r="AF215" s="349">
        <v>31</v>
      </c>
      <c r="AG215" s="349">
        <v>56</v>
      </c>
    </row>
    <row r="216" spans="1:33" x14ac:dyDescent="0.2">
      <c r="A216" s="344" t="s">
        <v>486</v>
      </c>
      <c r="B216" s="350" t="s">
        <v>487</v>
      </c>
      <c r="C216" s="346">
        <v>704</v>
      </c>
      <c r="D216" s="346">
        <v>0</v>
      </c>
      <c r="E216" s="346">
        <v>120</v>
      </c>
      <c r="F216" s="346">
        <v>96</v>
      </c>
      <c r="G216" s="346">
        <v>50</v>
      </c>
      <c r="H216" s="346">
        <v>970</v>
      </c>
      <c r="I216" s="345">
        <v>920</v>
      </c>
      <c r="J216" s="345">
        <v>1</v>
      </c>
      <c r="K216" s="347">
        <v>91.71</v>
      </c>
      <c r="L216" s="347">
        <v>90.42</v>
      </c>
      <c r="M216" s="347">
        <v>4.78</v>
      </c>
      <c r="N216" s="347">
        <v>95.34</v>
      </c>
      <c r="O216" s="348">
        <v>534</v>
      </c>
      <c r="P216" s="345">
        <v>110.96</v>
      </c>
      <c r="Q216" s="345">
        <v>109.96</v>
      </c>
      <c r="R216" s="345">
        <v>132.24</v>
      </c>
      <c r="S216" s="345">
        <v>243.2</v>
      </c>
      <c r="T216" s="345">
        <v>147</v>
      </c>
      <c r="U216" s="345">
        <v>107.34</v>
      </c>
      <c r="V216" s="345">
        <v>130</v>
      </c>
      <c r="W216" s="345">
        <v>174.19</v>
      </c>
      <c r="X216" s="345">
        <v>59</v>
      </c>
      <c r="Y216" s="345">
        <v>0</v>
      </c>
      <c r="Z216" s="345">
        <v>3</v>
      </c>
      <c r="AA216" s="345">
        <v>0</v>
      </c>
      <c r="AB216" s="345">
        <v>1</v>
      </c>
      <c r="AC216" s="345">
        <v>1</v>
      </c>
      <c r="AD216" s="349">
        <v>704</v>
      </c>
      <c r="AE216" s="349">
        <v>9</v>
      </c>
      <c r="AF216" s="349">
        <v>2</v>
      </c>
      <c r="AG216" s="349">
        <v>11</v>
      </c>
    </row>
    <row r="217" spans="1:33" x14ac:dyDescent="0.2">
      <c r="A217" s="344" t="s">
        <v>488</v>
      </c>
      <c r="B217" s="350" t="s">
        <v>489</v>
      </c>
      <c r="C217" s="346">
        <v>18283</v>
      </c>
      <c r="D217" s="346">
        <v>0</v>
      </c>
      <c r="E217" s="346">
        <v>548</v>
      </c>
      <c r="F217" s="346">
        <v>2046</v>
      </c>
      <c r="G217" s="346">
        <v>208</v>
      </c>
      <c r="H217" s="346">
        <v>21085</v>
      </c>
      <c r="I217" s="345">
        <v>20877</v>
      </c>
      <c r="J217" s="345">
        <v>19</v>
      </c>
      <c r="K217" s="347">
        <v>76.209999999999994</v>
      </c>
      <c r="L217" s="347">
        <v>76.19</v>
      </c>
      <c r="M217" s="347">
        <v>4.33</v>
      </c>
      <c r="N217" s="347">
        <v>80.05</v>
      </c>
      <c r="O217" s="348">
        <v>16440</v>
      </c>
      <c r="P217" s="345">
        <v>75.3</v>
      </c>
      <c r="Q217" s="345">
        <v>71.63</v>
      </c>
      <c r="R217" s="345">
        <v>36.909999999999997</v>
      </c>
      <c r="S217" s="345">
        <v>110.62</v>
      </c>
      <c r="T217" s="345">
        <v>2442</v>
      </c>
      <c r="U217" s="345">
        <v>91.68</v>
      </c>
      <c r="V217" s="345">
        <v>1666</v>
      </c>
      <c r="W217" s="345">
        <v>0</v>
      </c>
      <c r="X217" s="345">
        <v>0</v>
      </c>
      <c r="Y217" s="345">
        <v>10</v>
      </c>
      <c r="Z217" s="345">
        <v>147</v>
      </c>
      <c r="AA217" s="345">
        <v>15</v>
      </c>
      <c r="AB217" s="345">
        <v>0</v>
      </c>
      <c r="AC217" s="345">
        <v>3</v>
      </c>
      <c r="AD217" s="349">
        <v>18161</v>
      </c>
      <c r="AE217" s="349">
        <v>196</v>
      </c>
      <c r="AF217" s="349">
        <v>121</v>
      </c>
      <c r="AG217" s="349">
        <v>317</v>
      </c>
    </row>
    <row r="218" spans="1:33" x14ac:dyDescent="0.2">
      <c r="A218" s="344" t="s">
        <v>490</v>
      </c>
      <c r="B218" s="350" t="s">
        <v>491</v>
      </c>
      <c r="C218" s="346">
        <v>2133</v>
      </c>
      <c r="D218" s="346">
        <v>0</v>
      </c>
      <c r="E218" s="346">
        <v>52</v>
      </c>
      <c r="F218" s="346">
        <v>697</v>
      </c>
      <c r="G218" s="346">
        <v>102</v>
      </c>
      <c r="H218" s="346">
        <v>2984</v>
      </c>
      <c r="I218" s="345">
        <v>2882</v>
      </c>
      <c r="J218" s="345">
        <v>8</v>
      </c>
      <c r="K218" s="347">
        <v>100.12</v>
      </c>
      <c r="L218" s="347">
        <v>100.47</v>
      </c>
      <c r="M218" s="347">
        <v>7.68</v>
      </c>
      <c r="N218" s="347">
        <v>103.8</v>
      </c>
      <c r="O218" s="348">
        <v>1767</v>
      </c>
      <c r="P218" s="345">
        <v>87.38</v>
      </c>
      <c r="Q218" s="345">
        <v>87.68</v>
      </c>
      <c r="R218" s="345">
        <v>40.549999999999997</v>
      </c>
      <c r="S218" s="345">
        <v>127.61</v>
      </c>
      <c r="T218" s="345">
        <v>745</v>
      </c>
      <c r="U218" s="345">
        <v>139.41999999999999</v>
      </c>
      <c r="V218" s="345">
        <v>372</v>
      </c>
      <c r="W218" s="345">
        <v>0</v>
      </c>
      <c r="X218" s="345">
        <v>0</v>
      </c>
      <c r="Y218" s="345">
        <v>0</v>
      </c>
      <c r="Z218" s="345">
        <v>5</v>
      </c>
      <c r="AA218" s="345">
        <v>1</v>
      </c>
      <c r="AB218" s="345">
        <v>12</v>
      </c>
      <c r="AC218" s="345">
        <v>0</v>
      </c>
      <c r="AD218" s="349">
        <v>2133</v>
      </c>
      <c r="AE218" s="349">
        <v>3</v>
      </c>
      <c r="AF218" s="349">
        <v>7</v>
      </c>
      <c r="AG218" s="349">
        <v>10</v>
      </c>
    </row>
    <row r="219" spans="1:33" x14ac:dyDescent="0.2">
      <c r="A219" s="344" t="s">
        <v>492</v>
      </c>
      <c r="B219" s="350" t="s">
        <v>493</v>
      </c>
      <c r="C219" s="346">
        <v>4226</v>
      </c>
      <c r="D219" s="346">
        <v>0</v>
      </c>
      <c r="E219" s="346">
        <v>74</v>
      </c>
      <c r="F219" s="346">
        <v>358</v>
      </c>
      <c r="G219" s="346">
        <v>48</v>
      </c>
      <c r="H219" s="346">
        <v>4706</v>
      </c>
      <c r="I219" s="345">
        <v>4658</v>
      </c>
      <c r="J219" s="345">
        <v>0</v>
      </c>
      <c r="K219" s="347">
        <v>74.17</v>
      </c>
      <c r="L219" s="347">
        <v>71.84</v>
      </c>
      <c r="M219" s="347">
        <v>4.53</v>
      </c>
      <c r="N219" s="347">
        <v>74.67</v>
      </c>
      <c r="O219" s="348">
        <v>3768</v>
      </c>
      <c r="P219" s="345">
        <v>85.36</v>
      </c>
      <c r="Q219" s="345">
        <v>81.66</v>
      </c>
      <c r="R219" s="345">
        <v>36.03</v>
      </c>
      <c r="S219" s="345">
        <v>119.55</v>
      </c>
      <c r="T219" s="345">
        <v>392</v>
      </c>
      <c r="U219" s="345">
        <v>91.47</v>
      </c>
      <c r="V219" s="345">
        <v>452</v>
      </c>
      <c r="W219" s="345">
        <v>0</v>
      </c>
      <c r="X219" s="345">
        <v>0</v>
      </c>
      <c r="Y219" s="345">
        <v>1</v>
      </c>
      <c r="Z219" s="345">
        <v>25</v>
      </c>
      <c r="AA219" s="345">
        <v>2</v>
      </c>
      <c r="AB219" s="345">
        <v>8</v>
      </c>
      <c r="AC219" s="345">
        <v>0</v>
      </c>
      <c r="AD219" s="349">
        <v>4225</v>
      </c>
      <c r="AE219" s="349">
        <v>19</v>
      </c>
      <c r="AF219" s="349">
        <v>15</v>
      </c>
      <c r="AG219" s="349">
        <v>34</v>
      </c>
    </row>
    <row r="220" spans="1:33" x14ac:dyDescent="0.2">
      <c r="A220" s="344" t="s">
        <v>494</v>
      </c>
      <c r="B220" s="350" t="s">
        <v>495</v>
      </c>
      <c r="C220" s="346">
        <v>3665</v>
      </c>
      <c r="D220" s="346">
        <v>0</v>
      </c>
      <c r="E220" s="346">
        <v>64</v>
      </c>
      <c r="F220" s="346">
        <v>573</v>
      </c>
      <c r="G220" s="346">
        <v>205</v>
      </c>
      <c r="H220" s="346">
        <v>4507</v>
      </c>
      <c r="I220" s="345">
        <v>4302</v>
      </c>
      <c r="J220" s="345">
        <v>13</v>
      </c>
      <c r="K220" s="347">
        <v>96.41</v>
      </c>
      <c r="L220" s="347">
        <v>95.97</v>
      </c>
      <c r="M220" s="347">
        <v>3.37</v>
      </c>
      <c r="N220" s="347">
        <v>99.24</v>
      </c>
      <c r="O220" s="348">
        <v>3220</v>
      </c>
      <c r="P220" s="345">
        <v>91.09</v>
      </c>
      <c r="Q220" s="345">
        <v>89.37</v>
      </c>
      <c r="R220" s="345">
        <v>38.56</v>
      </c>
      <c r="S220" s="345">
        <v>129.66</v>
      </c>
      <c r="T220" s="345">
        <v>543</v>
      </c>
      <c r="U220" s="345">
        <v>118.27</v>
      </c>
      <c r="V220" s="345">
        <v>442</v>
      </c>
      <c r="W220" s="345">
        <v>79.349999999999994</v>
      </c>
      <c r="X220" s="345">
        <v>6</v>
      </c>
      <c r="Y220" s="345">
        <v>0</v>
      </c>
      <c r="Z220" s="345">
        <v>3</v>
      </c>
      <c r="AA220" s="345">
        <v>0</v>
      </c>
      <c r="AB220" s="345">
        <v>24</v>
      </c>
      <c r="AC220" s="345">
        <v>11</v>
      </c>
      <c r="AD220" s="349">
        <v>3638</v>
      </c>
      <c r="AE220" s="349">
        <v>11</v>
      </c>
      <c r="AF220" s="349">
        <v>18</v>
      </c>
      <c r="AG220" s="349">
        <v>29</v>
      </c>
    </row>
    <row r="221" spans="1:33" x14ac:dyDescent="0.2">
      <c r="A221" s="344" t="s">
        <v>496</v>
      </c>
      <c r="B221" s="350" t="s">
        <v>497</v>
      </c>
      <c r="C221" s="346">
        <v>3427</v>
      </c>
      <c r="D221" s="346">
        <v>0</v>
      </c>
      <c r="E221" s="346">
        <v>390</v>
      </c>
      <c r="F221" s="346">
        <v>859</v>
      </c>
      <c r="G221" s="346">
        <v>309</v>
      </c>
      <c r="H221" s="346">
        <v>4985</v>
      </c>
      <c r="I221" s="345">
        <v>4676</v>
      </c>
      <c r="J221" s="345">
        <v>1</v>
      </c>
      <c r="K221" s="347">
        <v>81.3</v>
      </c>
      <c r="L221" s="347">
        <v>79.87</v>
      </c>
      <c r="M221" s="347">
        <v>7.66</v>
      </c>
      <c r="N221" s="347">
        <v>85</v>
      </c>
      <c r="O221" s="348">
        <v>2920</v>
      </c>
      <c r="P221" s="345">
        <v>84.97</v>
      </c>
      <c r="Q221" s="345">
        <v>75.97</v>
      </c>
      <c r="R221" s="345">
        <v>37.03</v>
      </c>
      <c r="S221" s="345">
        <v>118.25</v>
      </c>
      <c r="T221" s="345">
        <v>1223</v>
      </c>
      <c r="U221" s="345">
        <v>96.92</v>
      </c>
      <c r="V221" s="345">
        <v>389</v>
      </c>
      <c r="W221" s="345">
        <v>91.54</v>
      </c>
      <c r="X221" s="345">
        <v>10</v>
      </c>
      <c r="Y221" s="345">
        <v>1</v>
      </c>
      <c r="Z221" s="345">
        <v>0</v>
      </c>
      <c r="AA221" s="345">
        <v>25</v>
      </c>
      <c r="AB221" s="345">
        <v>12</v>
      </c>
      <c r="AC221" s="345">
        <v>12</v>
      </c>
      <c r="AD221" s="349">
        <v>3391</v>
      </c>
      <c r="AE221" s="349">
        <v>42</v>
      </c>
      <c r="AF221" s="349">
        <v>90</v>
      </c>
      <c r="AG221" s="349">
        <v>132</v>
      </c>
    </row>
    <row r="222" spans="1:33" x14ac:dyDescent="0.2">
      <c r="A222" s="344" t="s">
        <v>498</v>
      </c>
      <c r="B222" s="350" t="s">
        <v>499</v>
      </c>
      <c r="C222" s="346">
        <v>2252</v>
      </c>
      <c r="D222" s="346">
        <v>0</v>
      </c>
      <c r="E222" s="346">
        <v>44</v>
      </c>
      <c r="F222" s="346">
        <v>227</v>
      </c>
      <c r="G222" s="346">
        <v>469</v>
      </c>
      <c r="H222" s="346">
        <v>2992</v>
      </c>
      <c r="I222" s="345">
        <v>2523</v>
      </c>
      <c r="J222" s="345">
        <v>16</v>
      </c>
      <c r="K222" s="347">
        <v>99.66</v>
      </c>
      <c r="L222" s="347">
        <v>97.64</v>
      </c>
      <c r="M222" s="347">
        <v>5.67</v>
      </c>
      <c r="N222" s="347">
        <v>103.72</v>
      </c>
      <c r="O222" s="348">
        <v>2045</v>
      </c>
      <c r="P222" s="345">
        <v>84.78</v>
      </c>
      <c r="Q222" s="345">
        <v>85.21</v>
      </c>
      <c r="R222" s="345">
        <v>27.75</v>
      </c>
      <c r="S222" s="345">
        <v>110.52</v>
      </c>
      <c r="T222" s="345">
        <v>166</v>
      </c>
      <c r="U222" s="345">
        <v>112.61</v>
      </c>
      <c r="V222" s="345">
        <v>168</v>
      </c>
      <c r="W222" s="345">
        <v>187.85</v>
      </c>
      <c r="X222" s="345">
        <v>72</v>
      </c>
      <c r="Y222" s="345">
        <v>0</v>
      </c>
      <c r="Z222" s="345">
        <v>3</v>
      </c>
      <c r="AA222" s="345">
        <v>10</v>
      </c>
      <c r="AB222" s="345">
        <v>4</v>
      </c>
      <c r="AC222" s="345">
        <v>13</v>
      </c>
      <c r="AD222" s="349">
        <v>2215</v>
      </c>
      <c r="AE222" s="349">
        <v>10</v>
      </c>
      <c r="AF222" s="349">
        <v>11</v>
      </c>
      <c r="AG222" s="349">
        <v>21</v>
      </c>
    </row>
    <row r="223" spans="1:33" x14ac:dyDescent="0.2">
      <c r="A223" s="344" t="s">
        <v>500</v>
      </c>
      <c r="B223" s="350" t="s">
        <v>501</v>
      </c>
      <c r="C223" s="346">
        <v>1396</v>
      </c>
      <c r="D223" s="346">
        <v>378</v>
      </c>
      <c r="E223" s="346">
        <v>77</v>
      </c>
      <c r="F223" s="346">
        <v>239</v>
      </c>
      <c r="G223" s="346">
        <v>362</v>
      </c>
      <c r="H223" s="346">
        <v>2452</v>
      </c>
      <c r="I223" s="345">
        <v>2090</v>
      </c>
      <c r="J223" s="345">
        <v>11</v>
      </c>
      <c r="K223" s="347">
        <v>120.41</v>
      </c>
      <c r="L223" s="347">
        <v>115.37</v>
      </c>
      <c r="M223" s="347">
        <v>9.5</v>
      </c>
      <c r="N223" s="347">
        <v>128.47</v>
      </c>
      <c r="O223" s="348">
        <v>928</v>
      </c>
      <c r="P223" s="345">
        <v>118.15</v>
      </c>
      <c r="Q223" s="345">
        <v>107.82</v>
      </c>
      <c r="R223" s="345">
        <v>22.6</v>
      </c>
      <c r="S223" s="345">
        <v>139.12</v>
      </c>
      <c r="T223" s="345">
        <v>276</v>
      </c>
      <c r="U223" s="345">
        <v>196.78</v>
      </c>
      <c r="V223" s="345">
        <v>202</v>
      </c>
      <c r="W223" s="345">
        <v>137.07</v>
      </c>
      <c r="X223" s="345">
        <v>33</v>
      </c>
      <c r="Y223" s="345">
        <v>0</v>
      </c>
      <c r="Z223" s="345">
        <v>0</v>
      </c>
      <c r="AA223" s="345">
        <v>33</v>
      </c>
      <c r="AB223" s="345">
        <v>35</v>
      </c>
      <c r="AC223" s="345">
        <v>3</v>
      </c>
      <c r="AD223" s="349">
        <v>1336</v>
      </c>
      <c r="AE223" s="349">
        <v>36</v>
      </c>
      <c r="AF223" s="349">
        <v>1</v>
      </c>
      <c r="AG223" s="349">
        <v>37</v>
      </c>
    </row>
    <row r="224" spans="1:33" x14ac:dyDescent="0.2">
      <c r="A224" s="344" t="s">
        <v>502</v>
      </c>
      <c r="B224" s="350" t="s">
        <v>503</v>
      </c>
      <c r="C224" s="346">
        <v>2731</v>
      </c>
      <c r="D224" s="346">
        <v>0</v>
      </c>
      <c r="E224" s="346">
        <v>93</v>
      </c>
      <c r="F224" s="346">
        <v>1394</v>
      </c>
      <c r="G224" s="346">
        <v>324</v>
      </c>
      <c r="H224" s="346">
        <v>4542</v>
      </c>
      <c r="I224" s="345">
        <v>4218</v>
      </c>
      <c r="J224" s="345">
        <v>44</v>
      </c>
      <c r="K224" s="347">
        <v>95.24</v>
      </c>
      <c r="L224" s="347">
        <v>98.81</v>
      </c>
      <c r="M224" s="347">
        <v>4</v>
      </c>
      <c r="N224" s="347">
        <v>96.78</v>
      </c>
      <c r="O224" s="348">
        <v>2576</v>
      </c>
      <c r="P224" s="345">
        <v>93.12</v>
      </c>
      <c r="Q224" s="345">
        <v>92.79</v>
      </c>
      <c r="R224" s="345">
        <v>15.24</v>
      </c>
      <c r="S224" s="345">
        <v>105.42</v>
      </c>
      <c r="T224" s="345">
        <v>1470</v>
      </c>
      <c r="U224" s="345">
        <v>106.89</v>
      </c>
      <c r="V224" s="345">
        <v>149</v>
      </c>
      <c r="W224" s="345">
        <v>154.51</v>
      </c>
      <c r="X224" s="345">
        <v>5</v>
      </c>
      <c r="Y224" s="345">
        <v>0</v>
      </c>
      <c r="Z224" s="345">
        <v>13</v>
      </c>
      <c r="AA224" s="345">
        <v>0</v>
      </c>
      <c r="AB224" s="345">
        <v>35</v>
      </c>
      <c r="AC224" s="345">
        <v>12</v>
      </c>
      <c r="AD224" s="349">
        <v>2721</v>
      </c>
      <c r="AE224" s="349">
        <v>5</v>
      </c>
      <c r="AF224" s="349">
        <v>10</v>
      </c>
      <c r="AG224" s="349">
        <v>15</v>
      </c>
    </row>
    <row r="225" spans="1:33" x14ac:dyDescent="0.2">
      <c r="A225" s="344" t="s">
        <v>504</v>
      </c>
      <c r="B225" s="350" t="s">
        <v>505</v>
      </c>
      <c r="C225" s="346">
        <v>5503</v>
      </c>
      <c r="D225" s="346">
        <v>6</v>
      </c>
      <c r="E225" s="346">
        <v>185</v>
      </c>
      <c r="F225" s="346">
        <v>722</v>
      </c>
      <c r="G225" s="346">
        <v>597</v>
      </c>
      <c r="H225" s="346">
        <v>7013</v>
      </c>
      <c r="I225" s="345">
        <v>6416</v>
      </c>
      <c r="J225" s="345">
        <v>61</v>
      </c>
      <c r="K225" s="347">
        <v>111.6</v>
      </c>
      <c r="L225" s="347">
        <v>111.08</v>
      </c>
      <c r="M225" s="347">
        <v>8.44</v>
      </c>
      <c r="N225" s="347">
        <v>116.46</v>
      </c>
      <c r="O225" s="348">
        <v>4474</v>
      </c>
      <c r="P225" s="345">
        <v>96.04</v>
      </c>
      <c r="Q225" s="345">
        <v>93.29</v>
      </c>
      <c r="R225" s="345">
        <v>42.92</v>
      </c>
      <c r="S225" s="345">
        <v>137.41</v>
      </c>
      <c r="T225" s="345">
        <v>884</v>
      </c>
      <c r="U225" s="345">
        <v>152.63999999999999</v>
      </c>
      <c r="V225" s="345">
        <v>881</v>
      </c>
      <c r="W225" s="345">
        <v>134.38999999999999</v>
      </c>
      <c r="X225" s="345">
        <v>14</v>
      </c>
      <c r="Y225" s="345">
        <v>0</v>
      </c>
      <c r="Z225" s="345">
        <v>4</v>
      </c>
      <c r="AA225" s="345">
        <v>0</v>
      </c>
      <c r="AB225" s="345">
        <v>47</v>
      </c>
      <c r="AC225" s="345">
        <v>19</v>
      </c>
      <c r="AD225" s="349">
        <v>5389</v>
      </c>
      <c r="AE225" s="349">
        <v>62</v>
      </c>
      <c r="AF225" s="349">
        <v>104</v>
      </c>
      <c r="AG225" s="349">
        <v>166</v>
      </c>
    </row>
    <row r="226" spans="1:33" x14ac:dyDescent="0.2">
      <c r="A226" s="344" t="s">
        <v>506</v>
      </c>
      <c r="B226" s="350" t="s">
        <v>507</v>
      </c>
      <c r="C226" s="346">
        <v>1482</v>
      </c>
      <c r="D226" s="346">
        <v>0</v>
      </c>
      <c r="E226" s="346">
        <v>32</v>
      </c>
      <c r="F226" s="346">
        <v>287</v>
      </c>
      <c r="G226" s="346">
        <v>159</v>
      </c>
      <c r="H226" s="346">
        <v>1960</v>
      </c>
      <c r="I226" s="345">
        <v>1801</v>
      </c>
      <c r="J226" s="345">
        <v>5</v>
      </c>
      <c r="K226" s="347">
        <v>89.74</v>
      </c>
      <c r="L226" s="347">
        <v>89.16</v>
      </c>
      <c r="M226" s="347">
        <v>5.3</v>
      </c>
      <c r="N226" s="347">
        <v>91.73</v>
      </c>
      <c r="O226" s="348">
        <v>1282</v>
      </c>
      <c r="P226" s="345">
        <v>85.7</v>
      </c>
      <c r="Q226" s="345">
        <v>81.39</v>
      </c>
      <c r="R226" s="345">
        <v>28.55</v>
      </c>
      <c r="S226" s="345">
        <v>106.49</v>
      </c>
      <c r="T226" s="345">
        <v>217</v>
      </c>
      <c r="U226" s="345">
        <v>110.53</v>
      </c>
      <c r="V226" s="345">
        <v>168</v>
      </c>
      <c r="W226" s="345">
        <v>0</v>
      </c>
      <c r="X226" s="345">
        <v>0</v>
      </c>
      <c r="Y226" s="345">
        <v>0</v>
      </c>
      <c r="Z226" s="345">
        <v>2</v>
      </c>
      <c r="AA226" s="345">
        <v>0</v>
      </c>
      <c r="AB226" s="345">
        <v>2</v>
      </c>
      <c r="AC226" s="345">
        <v>6</v>
      </c>
      <c r="AD226" s="349">
        <v>1468</v>
      </c>
      <c r="AE226" s="349">
        <v>8</v>
      </c>
      <c r="AF226" s="349">
        <v>1</v>
      </c>
      <c r="AG226" s="349">
        <v>9</v>
      </c>
    </row>
    <row r="227" spans="1:33" x14ac:dyDescent="0.2">
      <c r="A227" s="344" t="s">
        <v>508</v>
      </c>
      <c r="B227" s="350" t="s">
        <v>509</v>
      </c>
      <c r="C227" s="346">
        <v>3033</v>
      </c>
      <c r="D227" s="346">
        <v>3</v>
      </c>
      <c r="E227" s="346">
        <v>45</v>
      </c>
      <c r="F227" s="346">
        <v>125</v>
      </c>
      <c r="G227" s="346">
        <v>32</v>
      </c>
      <c r="H227" s="346">
        <v>3238</v>
      </c>
      <c r="I227" s="345">
        <v>3206</v>
      </c>
      <c r="J227" s="345">
        <v>5</v>
      </c>
      <c r="K227" s="347">
        <v>90.16</v>
      </c>
      <c r="L227" s="347">
        <v>86.32</v>
      </c>
      <c r="M227" s="347">
        <v>5.82</v>
      </c>
      <c r="N227" s="347">
        <v>92.66</v>
      </c>
      <c r="O227" s="348">
        <v>2012</v>
      </c>
      <c r="P227" s="345">
        <v>80.83</v>
      </c>
      <c r="Q227" s="345">
        <v>72.36</v>
      </c>
      <c r="R227" s="345">
        <v>55.49</v>
      </c>
      <c r="S227" s="345">
        <v>128.38999999999999</v>
      </c>
      <c r="T227" s="345">
        <v>154</v>
      </c>
      <c r="U227" s="345">
        <v>97.83</v>
      </c>
      <c r="V227" s="345">
        <v>916</v>
      </c>
      <c r="W227" s="345">
        <v>0</v>
      </c>
      <c r="X227" s="345">
        <v>0</v>
      </c>
      <c r="Y227" s="345">
        <v>0</v>
      </c>
      <c r="Z227" s="345">
        <v>5</v>
      </c>
      <c r="AA227" s="345">
        <v>1</v>
      </c>
      <c r="AB227" s="345">
        <v>0</v>
      </c>
      <c r="AC227" s="345">
        <v>1</v>
      </c>
      <c r="AD227" s="349">
        <v>3015</v>
      </c>
      <c r="AE227" s="349">
        <v>14</v>
      </c>
      <c r="AF227" s="349">
        <v>9</v>
      </c>
      <c r="AG227" s="349">
        <v>23</v>
      </c>
    </row>
    <row r="228" spans="1:33" x14ac:dyDescent="0.2">
      <c r="A228" s="344" t="s">
        <v>510</v>
      </c>
      <c r="B228" s="350" t="s">
        <v>511</v>
      </c>
      <c r="C228" s="346">
        <v>27125</v>
      </c>
      <c r="D228" s="346">
        <v>0</v>
      </c>
      <c r="E228" s="346">
        <v>1567</v>
      </c>
      <c r="F228" s="346">
        <v>1326</v>
      </c>
      <c r="G228" s="346">
        <v>327</v>
      </c>
      <c r="H228" s="346">
        <v>30345</v>
      </c>
      <c r="I228" s="345">
        <v>30018</v>
      </c>
      <c r="J228" s="345">
        <v>794</v>
      </c>
      <c r="K228" s="347">
        <v>78.510000000000005</v>
      </c>
      <c r="L228" s="347">
        <v>78.569999999999993</v>
      </c>
      <c r="M228" s="347">
        <v>7.67</v>
      </c>
      <c r="N228" s="347">
        <v>82.03</v>
      </c>
      <c r="O228" s="348">
        <v>25044</v>
      </c>
      <c r="P228" s="345">
        <v>80.849999999999994</v>
      </c>
      <c r="Q228" s="345">
        <v>73.13</v>
      </c>
      <c r="R228" s="345">
        <v>33.44</v>
      </c>
      <c r="S228" s="345">
        <v>111.73</v>
      </c>
      <c r="T228" s="345">
        <v>2632</v>
      </c>
      <c r="U228" s="345">
        <v>108.3</v>
      </c>
      <c r="V228" s="345">
        <v>1877</v>
      </c>
      <c r="W228" s="345">
        <v>154.1</v>
      </c>
      <c r="X228" s="345">
        <v>65</v>
      </c>
      <c r="Y228" s="345">
        <v>17</v>
      </c>
      <c r="Z228" s="345">
        <v>203</v>
      </c>
      <c r="AA228" s="345">
        <v>8</v>
      </c>
      <c r="AB228" s="345">
        <v>76</v>
      </c>
      <c r="AC228" s="345">
        <v>10</v>
      </c>
      <c r="AD228" s="349">
        <v>27017</v>
      </c>
      <c r="AE228" s="349">
        <v>92</v>
      </c>
      <c r="AF228" s="349">
        <v>303</v>
      </c>
      <c r="AG228" s="349">
        <v>395</v>
      </c>
    </row>
    <row r="229" spans="1:33" x14ac:dyDescent="0.2">
      <c r="A229" s="344" t="s">
        <v>512</v>
      </c>
      <c r="B229" s="350" t="s">
        <v>513</v>
      </c>
      <c r="C229" s="346">
        <v>5666</v>
      </c>
      <c r="D229" s="346">
        <v>68</v>
      </c>
      <c r="E229" s="346">
        <v>459</v>
      </c>
      <c r="F229" s="346">
        <v>1113</v>
      </c>
      <c r="G229" s="346">
        <v>561</v>
      </c>
      <c r="H229" s="346">
        <v>7867</v>
      </c>
      <c r="I229" s="345">
        <v>7306</v>
      </c>
      <c r="J229" s="345">
        <v>1</v>
      </c>
      <c r="K229" s="347">
        <v>89.96</v>
      </c>
      <c r="L229" s="347">
        <v>88.23</v>
      </c>
      <c r="M229" s="347">
        <v>6.7</v>
      </c>
      <c r="N229" s="347">
        <v>95.13</v>
      </c>
      <c r="O229" s="348">
        <v>4492</v>
      </c>
      <c r="P229" s="345">
        <v>88.33</v>
      </c>
      <c r="Q229" s="345">
        <v>82.92</v>
      </c>
      <c r="R229" s="345">
        <v>43.98</v>
      </c>
      <c r="S229" s="345">
        <v>130.09</v>
      </c>
      <c r="T229" s="345">
        <v>1190</v>
      </c>
      <c r="U229" s="345">
        <v>110.45</v>
      </c>
      <c r="V229" s="345">
        <v>669</v>
      </c>
      <c r="W229" s="345">
        <v>188.64</v>
      </c>
      <c r="X229" s="345">
        <v>287</v>
      </c>
      <c r="Y229" s="345">
        <v>0</v>
      </c>
      <c r="Z229" s="345">
        <v>1</v>
      </c>
      <c r="AA229" s="345">
        <v>5</v>
      </c>
      <c r="AB229" s="345">
        <v>0</v>
      </c>
      <c r="AC229" s="345">
        <v>19</v>
      </c>
      <c r="AD229" s="349">
        <v>5434</v>
      </c>
      <c r="AE229" s="349">
        <v>30</v>
      </c>
      <c r="AF229" s="349">
        <v>24</v>
      </c>
      <c r="AG229" s="349">
        <v>54</v>
      </c>
    </row>
    <row r="230" spans="1:33" x14ac:dyDescent="0.2">
      <c r="A230" s="344" t="s">
        <v>514</v>
      </c>
      <c r="B230" s="350" t="s">
        <v>515</v>
      </c>
      <c r="C230" s="346">
        <v>6049</v>
      </c>
      <c r="D230" s="346">
        <v>18</v>
      </c>
      <c r="E230" s="346">
        <v>118</v>
      </c>
      <c r="F230" s="346">
        <v>602</v>
      </c>
      <c r="G230" s="346">
        <v>268</v>
      </c>
      <c r="H230" s="346">
        <v>7055</v>
      </c>
      <c r="I230" s="345">
        <v>6787</v>
      </c>
      <c r="J230" s="345">
        <v>46</v>
      </c>
      <c r="K230" s="347">
        <v>84.36</v>
      </c>
      <c r="L230" s="347">
        <v>83.81</v>
      </c>
      <c r="M230" s="347">
        <v>3.42</v>
      </c>
      <c r="N230" s="347">
        <v>85.69</v>
      </c>
      <c r="O230" s="348">
        <v>5469</v>
      </c>
      <c r="P230" s="345">
        <v>86.4</v>
      </c>
      <c r="Q230" s="345">
        <v>83.37</v>
      </c>
      <c r="R230" s="345">
        <v>30.51</v>
      </c>
      <c r="S230" s="345">
        <v>115.81</v>
      </c>
      <c r="T230" s="345">
        <v>584</v>
      </c>
      <c r="U230" s="345">
        <v>103.03</v>
      </c>
      <c r="V230" s="345">
        <v>569</v>
      </c>
      <c r="W230" s="345">
        <v>158.32</v>
      </c>
      <c r="X230" s="345">
        <v>63</v>
      </c>
      <c r="Y230" s="345">
        <v>0</v>
      </c>
      <c r="Z230" s="345">
        <v>15</v>
      </c>
      <c r="AA230" s="345">
        <v>4</v>
      </c>
      <c r="AB230" s="345">
        <v>17</v>
      </c>
      <c r="AC230" s="345">
        <v>8</v>
      </c>
      <c r="AD230" s="349">
        <v>6006</v>
      </c>
      <c r="AE230" s="349">
        <v>46</v>
      </c>
      <c r="AF230" s="349">
        <v>9</v>
      </c>
      <c r="AG230" s="349">
        <v>55</v>
      </c>
    </row>
    <row r="231" spans="1:33" x14ac:dyDescent="0.2">
      <c r="A231" s="344" t="s">
        <v>516</v>
      </c>
      <c r="B231" s="350" t="s">
        <v>517</v>
      </c>
      <c r="C231" s="346">
        <v>2810</v>
      </c>
      <c r="D231" s="346">
        <v>4</v>
      </c>
      <c r="E231" s="346">
        <v>283</v>
      </c>
      <c r="F231" s="346">
        <v>102</v>
      </c>
      <c r="G231" s="346">
        <v>229</v>
      </c>
      <c r="H231" s="346">
        <v>3428</v>
      </c>
      <c r="I231" s="345">
        <v>3199</v>
      </c>
      <c r="J231" s="345">
        <v>0</v>
      </c>
      <c r="K231" s="347">
        <v>92.42</v>
      </c>
      <c r="L231" s="347">
        <v>89.59</v>
      </c>
      <c r="M231" s="347">
        <v>4.5999999999999996</v>
      </c>
      <c r="N231" s="347">
        <v>96.39</v>
      </c>
      <c r="O231" s="348">
        <v>1545</v>
      </c>
      <c r="P231" s="345">
        <v>75.13</v>
      </c>
      <c r="Q231" s="345">
        <v>72.98</v>
      </c>
      <c r="R231" s="345">
        <v>50.22</v>
      </c>
      <c r="S231" s="345">
        <v>122.87</v>
      </c>
      <c r="T231" s="345">
        <v>223</v>
      </c>
      <c r="U231" s="345">
        <v>113.24</v>
      </c>
      <c r="V231" s="345">
        <v>516</v>
      </c>
      <c r="W231" s="345">
        <v>0</v>
      </c>
      <c r="X231" s="345">
        <v>0</v>
      </c>
      <c r="Y231" s="345">
        <v>0</v>
      </c>
      <c r="Z231" s="345">
        <v>3</v>
      </c>
      <c r="AA231" s="345">
        <v>8</v>
      </c>
      <c r="AB231" s="345">
        <v>11</v>
      </c>
      <c r="AC231" s="345">
        <v>5</v>
      </c>
      <c r="AD231" s="349">
        <v>2004</v>
      </c>
      <c r="AE231" s="349">
        <v>9</v>
      </c>
      <c r="AF231" s="349">
        <v>5</v>
      </c>
      <c r="AG231" s="349">
        <v>14</v>
      </c>
    </row>
    <row r="232" spans="1:33" x14ac:dyDescent="0.2">
      <c r="A232" s="344" t="s">
        <v>518</v>
      </c>
      <c r="B232" s="350" t="s">
        <v>519</v>
      </c>
      <c r="C232" s="346">
        <v>15385</v>
      </c>
      <c r="D232" s="346">
        <v>8</v>
      </c>
      <c r="E232" s="346">
        <v>1610</v>
      </c>
      <c r="F232" s="346">
        <v>1648</v>
      </c>
      <c r="G232" s="346">
        <v>495</v>
      </c>
      <c r="H232" s="346">
        <v>19146</v>
      </c>
      <c r="I232" s="345">
        <v>18651</v>
      </c>
      <c r="J232" s="345">
        <v>8</v>
      </c>
      <c r="K232" s="347">
        <v>87.18</v>
      </c>
      <c r="L232" s="347">
        <v>84.2</v>
      </c>
      <c r="M232" s="347">
        <v>9.14</v>
      </c>
      <c r="N232" s="347">
        <v>90.6</v>
      </c>
      <c r="O232" s="348">
        <v>13834</v>
      </c>
      <c r="P232" s="345">
        <v>81.41</v>
      </c>
      <c r="Q232" s="345">
        <v>76.650000000000006</v>
      </c>
      <c r="R232" s="345">
        <v>32.82</v>
      </c>
      <c r="S232" s="345">
        <v>113.96</v>
      </c>
      <c r="T232" s="345">
        <v>2779</v>
      </c>
      <c r="U232" s="345">
        <v>98.76</v>
      </c>
      <c r="V232" s="345">
        <v>939</v>
      </c>
      <c r="W232" s="345">
        <v>123.2</v>
      </c>
      <c r="X232" s="345">
        <v>12</v>
      </c>
      <c r="Y232" s="345">
        <v>386</v>
      </c>
      <c r="Z232" s="345">
        <v>80</v>
      </c>
      <c r="AA232" s="345">
        <v>94</v>
      </c>
      <c r="AB232" s="345">
        <v>2</v>
      </c>
      <c r="AC232" s="345">
        <v>6</v>
      </c>
      <c r="AD232" s="349">
        <v>14837</v>
      </c>
      <c r="AE232" s="349">
        <v>118</v>
      </c>
      <c r="AF232" s="349">
        <v>54</v>
      </c>
      <c r="AG232" s="349">
        <v>172</v>
      </c>
    </row>
    <row r="233" spans="1:33" x14ac:dyDescent="0.2">
      <c r="A233" s="344" t="s">
        <v>520</v>
      </c>
      <c r="B233" s="350" t="s">
        <v>521</v>
      </c>
      <c r="C233" s="346">
        <v>1489</v>
      </c>
      <c r="D233" s="346">
        <v>0</v>
      </c>
      <c r="E233" s="346">
        <v>43</v>
      </c>
      <c r="F233" s="346">
        <v>194</v>
      </c>
      <c r="G233" s="346">
        <v>222</v>
      </c>
      <c r="H233" s="346">
        <v>1948</v>
      </c>
      <c r="I233" s="345">
        <v>1726</v>
      </c>
      <c r="J233" s="345">
        <v>2</v>
      </c>
      <c r="K233" s="347">
        <v>91.68</v>
      </c>
      <c r="L233" s="347">
        <v>87.97</v>
      </c>
      <c r="M233" s="347">
        <v>6.44</v>
      </c>
      <c r="N233" s="347">
        <v>96.09</v>
      </c>
      <c r="O233" s="348">
        <v>1152</v>
      </c>
      <c r="P233" s="345">
        <v>103.48</v>
      </c>
      <c r="Q233" s="345">
        <v>93.6</v>
      </c>
      <c r="R233" s="345">
        <v>54.15</v>
      </c>
      <c r="S233" s="345">
        <v>156.46</v>
      </c>
      <c r="T233" s="345">
        <v>232</v>
      </c>
      <c r="U233" s="345">
        <v>101.4</v>
      </c>
      <c r="V233" s="345">
        <v>181</v>
      </c>
      <c r="W233" s="345">
        <v>0</v>
      </c>
      <c r="X233" s="345">
        <v>0</v>
      </c>
      <c r="Y233" s="345">
        <v>0</v>
      </c>
      <c r="Z233" s="345">
        <v>4</v>
      </c>
      <c r="AA233" s="345">
        <v>2</v>
      </c>
      <c r="AB233" s="345">
        <v>23</v>
      </c>
      <c r="AC233" s="345">
        <v>1</v>
      </c>
      <c r="AD233" s="349">
        <v>1469</v>
      </c>
      <c r="AE233" s="349">
        <v>15</v>
      </c>
      <c r="AF233" s="349">
        <v>4</v>
      </c>
      <c r="AG233" s="349">
        <v>19</v>
      </c>
    </row>
    <row r="234" spans="1:33" x14ac:dyDescent="0.2">
      <c r="A234" s="344" t="s">
        <v>522</v>
      </c>
      <c r="B234" s="350" t="s">
        <v>523</v>
      </c>
      <c r="C234" s="346">
        <v>5338</v>
      </c>
      <c r="D234" s="346">
        <v>0</v>
      </c>
      <c r="E234" s="346">
        <v>96</v>
      </c>
      <c r="F234" s="346">
        <v>1131</v>
      </c>
      <c r="G234" s="346">
        <v>737</v>
      </c>
      <c r="H234" s="346">
        <v>7302</v>
      </c>
      <c r="I234" s="345">
        <v>6565</v>
      </c>
      <c r="J234" s="345">
        <v>98</v>
      </c>
      <c r="K234" s="347">
        <v>107.69</v>
      </c>
      <c r="L234" s="347">
        <v>104.28</v>
      </c>
      <c r="M234" s="347">
        <v>3.9</v>
      </c>
      <c r="N234" s="347">
        <v>110.16</v>
      </c>
      <c r="O234" s="348">
        <v>5096</v>
      </c>
      <c r="P234" s="345">
        <v>91.8</v>
      </c>
      <c r="Q234" s="345">
        <v>88.47</v>
      </c>
      <c r="R234" s="345">
        <v>21.75</v>
      </c>
      <c r="S234" s="345">
        <v>112.93</v>
      </c>
      <c r="T234" s="345">
        <v>991</v>
      </c>
      <c r="U234" s="345">
        <v>150.4</v>
      </c>
      <c r="V234" s="345">
        <v>184</v>
      </c>
      <c r="W234" s="345">
        <v>141.07</v>
      </c>
      <c r="X234" s="345">
        <v>76</v>
      </c>
      <c r="Y234" s="345">
        <v>0</v>
      </c>
      <c r="Z234" s="345">
        <v>3</v>
      </c>
      <c r="AA234" s="345">
        <v>0</v>
      </c>
      <c r="AB234" s="345">
        <v>7</v>
      </c>
      <c r="AC234" s="345">
        <v>10</v>
      </c>
      <c r="AD234" s="349">
        <v>5306</v>
      </c>
      <c r="AE234" s="349">
        <v>22</v>
      </c>
      <c r="AF234" s="349">
        <v>3</v>
      </c>
      <c r="AG234" s="349">
        <v>25</v>
      </c>
    </row>
    <row r="235" spans="1:33" x14ac:dyDescent="0.2">
      <c r="A235" s="344" t="s">
        <v>524</v>
      </c>
      <c r="B235" s="350" t="s">
        <v>525</v>
      </c>
      <c r="C235" s="346">
        <v>15407</v>
      </c>
      <c r="D235" s="346">
        <v>56</v>
      </c>
      <c r="E235" s="346">
        <v>1353</v>
      </c>
      <c r="F235" s="346">
        <v>1038</v>
      </c>
      <c r="G235" s="346">
        <v>477</v>
      </c>
      <c r="H235" s="346">
        <v>18331</v>
      </c>
      <c r="I235" s="345">
        <v>17854</v>
      </c>
      <c r="J235" s="345">
        <v>7</v>
      </c>
      <c r="K235" s="347">
        <v>80.150000000000006</v>
      </c>
      <c r="L235" s="347">
        <v>78.36</v>
      </c>
      <c r="M235" s="347">
        <v>7.7</v>
      </c>
      <c r="N235" s="347">
        <v>82.68</v>
      </c>
      <c r="O235" s="348">
        <v>13375</v>
      </c>
      <c r="P235" s="345">
        <v>88.06</v>
      </c>
      <c r="Q235" s="345">
        <v>80.7</v>
      </c>
      <c r="R235" s="345">
        <v>57.68</v>
      </c>
      <c r="S235" s="345">
        <v>137.38999999999999</v>
      </c>
      <c r="T235" s="345">
        <v>2156</v>
      </c>
      <c r="U235" s="345">
        <v>95.82</v>
      </c>
      <c r="V235" s="345">
        <v>1831</v>
      </c>
      <c r="W235" s="345">
        <v>100.61</v>
      </c>
      <c r="X235" s="345">
        <v>9</v>
      </c>
      <c r="Y235" s="345">
        <v>25</v>
      </c>
      <c r="Z235" s="345">
        <v>53</v>
      </c>
      <c r="AA235" s="345">
        <v>15</v>
      </c>
      <c r="AB235" s="345">
        <v>8</v>
      </c>
      <c r="AC235" s="345">
        <v>14</v>
      </c>
      <c r="AD235" s="349">
        <v>15325</v>
      </c>
      <c r="AE235" s="349">
        <v>88</v>
      </c>
      <c r="AF235" s="349">
        <v>40</v>
      </c>
      <c r="AG235" s="349">
        <v>128</v>
      </c>
    </row>
    <row r="236" spans="1:33" x14ac:dyDescent="0.2">
      <c r="A236" s="344" t="s">
        <v>526</v>
      </c>
      <c r="B236" s="350" t="s">
        <v>527</v>
      </c>
      <c r="C236" s="346">
        <v>12512</v>
      </c>
      <c r="D236" s="346">
        <v>25</v>
      </c>
      <c r="E236" s="346">
        <v>386</v>
      </c>
      <c r="F236" s="346">
        <v>1615</v>
      </c>
      <c r="G236" s="346">
        <v>762</v>
      </c>
      <c r="H236" s="346">
        <v>15300</v>
      </c>
      <c r="I236" s="345">
        <v>14538</v>
      </c>
      <c r="J236" s="345">
        <v>3</v>
      </c>
      <c r="K236" s="347">
        <v>88.4</v>
      </c>
      <c r="L236" s="347">
        <v>84.86</v>
      </c>
      <c r="M236" s="347">
        <v>3.53</v>
      </c>
      <c r="N236" s="347">
        <v>90.25</v>
      </c>
      <c r="O236" s="348">
        <v>10232</v>
      </c>
      <c r="P236" s="345">
        <v>82.74</v>
      </c>
      <c r="Q236" s="345">
        <v>80.33</v>
      </c>
      <c r="R236" s="345">
        <v>21.4</v>
      </c>
      <c r="S236" s="345">
        <v>103.17</v>
      </c>
      <c r="T236" s="345">
        <v>1646</v>
      </c>
      <c r="U236" s="345">
        <v>106.26</v>
      </c>
      <c r="V236" s="345">
        <v>1600</v>
      </c>
      <c r="W236" s="345">
        <v>172.74</v>
      </c>
      <c r="X236" s="345">
        <v>291</v>
      </c>
      <c r="Y236" s="345">
        <v>14</v>
      </c>
      <c r="Z236" s="345">
        <v>39</v>
      </c>
      <c r="AA236" s="345">
        <v>19</v>
      </c>
      <c r="AB236" s="345">
        <v>40</v>
      </c>
      <c r="AC236" s="345">
        <v>15</v>
      </c>
      <c r="AD236" s="349">
        <v>12058</v>
      </c>
      <c r="AE236" s="349">
        <v>85</v>
      </c>
      <c r="AF236" s="349">
        <v>95</v>
      </c>
      <c r="AG236" s="349">
        <v>180</v>
      </c>
    </row>
    <row r="237" spans="1:33" x14ac:dyDescent="0.2">
      <c r="A237" s="344" t="s">
        <v>528</v>
      </c>
      <c r="B237" s="350" t="s">
        <v>529</v>
      </c>
      <c r="C237" s="346">
        <v>3575</v>
      </c>
      <c r="D237" s="346">
        <v>29</v>
      </c>
      <c r="E237" s="346">
        <v>340</v>
      </c>
      <c r="F237" s="346">
        <v>229</v>
      </c>
      <c r="G237" s="346">
        <v>471</v>
      </c>
      <c r="H237" s="346">
        <v>4644</v>
      </c>
      <c r="I237" s="345">
        <v>4173</v>
      </c>
      <c r="J237" s="345">
        <v>0</v>
      </c>
      <c r="K237" s="347">
        <v>121.71</v>
      </c>
      <c r="L237" s="347">
        <v>119.2</v>
      </c>
      <c r="M237" s="347">
        <v>7.01</v>
      </c>
      <c r="N237" s="347">
        <v>127.9</v>
      </c>
      <c r="O237" s="348">
        <v>3156</v>
      </c>
      <c r="P237" s="345">
        <v>117.09</v>
      </c>
      <c r="Q237" s="345">
        <v>98.71</v>
      </c>
      <c r="R237" s="345">
        <v>57.74</v>
      </c>
      <c r="S237" s="345">
        <v>164.23</v>
      </c>
      <c r="T237" s="345">
        <v>490</v>
      </c>
      <c r="U237" s="345">
        <v>148.84</v>
      </c>
      <c r="V237" s="345">
        <v>178</v>
      </c>
      <c r="W237" s="345">
        <v>0</v>
      </c>
      <c r="X237" s="345">
        <v>0</v>
      </c>
      <c r="Y237" s="345">
        <v>169</v>
      </c>
      <c r="Z237" s="345">
        <v>1</v>
      </c>
      <c r="AA237" s="345">
        <v>23</v>
      </c>
      <c r="AB237" s="345">
        <v>10</v>
      </c>
      <c r="AC237" s="345">
        <v>17</v>
      </c>
      <c r="AD237" s="349">
        <v>3403</v>
      </c>
      <c r="AE237" s="349">
        <v>10</v>
      </c>
      <c r="AF237" s="349">
        <v>9</v>
      </c>
      <c r="AG237" s="349">
        <v>19</v>
      </c>
    </row>
    <row r="238" spans="1:33" x14ac:dyDescent="0.2">
      <c r="A238" s="344" t="s">
        <v>530</v>
      </c>
      <c r="B238" s="350" t="s">
        <v>531</v>
      </c>
      <c r="C238" s="346">
        <v>2351</v>
      </c>
      <c r="D238" s="346">
        <v>0</v>
      </c>
      <c r="E238" s="346">
        <v>238</v>
      </c>
      <c r="F238" s="346">
        <v>599</v>
      </c>
      <c r="G238" s="346">
        <v>495</v>
      </c>
      <c r="H238" s="346">
        <v>3683</v>
      </c>
      <c r="I238" s="345">
        <v>3188</v>
      </c>
      <c r="J238" s="345">
        <v>0</v>
      </c>
      <c r="K238" s="347">
        <v>102.26</v>
      </c>
      <c r="L238" s="347">
        <v>87.5</v>
      </c>
      <c r="M238" s="347">
        <v>5.05</v>
      </c>
      <c r="N238" s="347">
        <v>106.16</v>
      </c>
      <c r="O238" s="348">
        <v>1867</v>
      </c>
      <c r="P238" s="345">
        <v>91.9</v>
      </c>
      <c r="Q238" s="345">
        <v>80.75</v>
      </c>
      <c r="R238" s="345">
        <v>58.66</v>
      </c>
      <c r="S238" s="345">
        <v>149.29</v>
      </c>
      <c r="T238" s="345">
        <v>465</v>
      </c>
      <c r="U238" s="345">
        <v>110.13</v>
      </c>
      <c r="V238" s="345">
        <v>445</v>
      </c>
      <c r="W238" s="345">
        <v>141.35</v>
      </c>
      <c r="X238" s="345">
        <v>78</v>
      </c>
      <c r="Y238" s="345">
        <v>5</v>
      </c>
      <c r="Z238" s="345">
        <v>3</v>
      </c>
      <c r="AA238" s="345">
        <v>0</v>
      </c>
      <c r="AB238" s="345">
        <v>18</v>
      </c>
      <c r="AC238" s="345">
        <v>15</v>
      </c>
      <c r="AD238" s="349">
        <v>2343</v>
      </c>
      <c r="AE238" s="349">
        <v>3</v>
      </c>
      <c r="AF238" s="349">
        <v>4</v>
      </c>
      <c r="AG238" s="349">
        <v>7</v>
      </c>
    </row>
    <row r="239" spans="1:33" x14ac:dyDescent="0.2">
      <c r="A239" s="344" t="s">
        <v>532</v>
      </c>
      <c r="B239" s="350" t="s">
        <v>533</v>
      </c>
      <c r="C239" s="345">
        <v>4070</v>
      </c>
      <c r="D239" s="345">
        <v>0</v>
      </c>
      <c r="E239" s="345">
        <v>331</v>
      </c>
      <c r="F239" s="345">
        <v>797</v>
      </c>
      <c r="G239" s="345">
        <v>474</v>
      </c>
      <c r="H239" s="345">
        <v>5672</v>
      </c>
      <c r="I239" s="345">
        <v>5198</v>
      </c>
      <c r="J239" s="345">
        <v>7</v>
      </c>
      <c r="K239" s="345">
        <v>96.29</v>
      </c>
      <c r="L239" s="347">
        <v>94.86</v>
      </c>
      <c r="M239" s="347">
        <v>4.38</v>
      </c>
      <c r="N239" s="347">
        <v>99.87</v>
      </c>
      <c r="O239" s="348">
        <v>3284</v>
      </c>
      <c r="P239" s="345">
        <v>92.26</v>
      </c>
      <c r="Q239" s="345">
        <v>38.229999999999997</v>
      </c>
      <c r="R239" s="345">
        <v>35.64</v>
      </c>
      <c r="S239" s="345">
        <v>127.73</v>
      </c>
      <c r="T239" s="345">
        <v>1005</v>
      </c>
      <c r="U239" s="345">
        <v>113.2</v>
      </c>
      <c r="V239" s="345">
        <v>379</v>
      </c>
      <c r="W239" s="345">
        <v>0</v>
      </c>
      <c r="X239" s="345">
        <v>0</v>
      </c>
      <c r="Y239" s="345">
        <v>8</v>
      </c>
      <c r="Z239" s="345">
        <v>8</v>
      </c>
      <c r="AA239" s="345">
        <v>14</v>
      </c>
      <c r="AB239" s="345">
        <v>29</v>
      </c>
      <c r="AC239" s="345">
        <v>11</v>
      </c>
      <c r="AD239" s="345">
        <v>3672</v>
      </c>
      <c r="AE239" s="345">
        <v>7</v>
      </c>
      <c r="AF239" s="345">
        <v>9</v>
      </c>
      <c r="AG239" s="345">
        <v>16</v>
      </c>
    </row>
    <row r="240" spans="1:33" x14ac:dyDescent="0.2">
      <c r="A240" s="344" t="s">
        <v>534</v>
      </c>
      <c r="B240" s="350" t="s">
        <v>535</v>
      </c>
      <c r="C240" s="346">
        <v>3197</v>
      </c>
      <c r="D240" s="346">
        <v>0</v>
      </c>
      <c r="E240" s="346">
        <v>393</v>
      </c>
      <c r="F240" s="346">
        <v>181</v>
      </c>
      <c r="G240" s="346">
        <v>1130</v>
      </c>
      <c r="H240" s="346">
        <v>4901</v>
      </c>
      <c r="I240" s="345">
        <v>3771</v>
      </c>
      <c r="J240" s="345">
        <v>10</v>
      </c>
      <c r="K240" s="347">
        <v>111.82</v>
      </c>
      <c r="L240" s="347">
        <v>112.3</v>
      </c>
      <c r="M240" s="347">
        <v>3.25</v>
      </c>
      <c r="N240" s="347">
        <v>114</v>
      </c>
      <c r="O240" s="348">
        <v>2328</v>
      </c>
      <c r="P240" s="345">
        <v>96.52</v>
      </c>
      <c r="Q240" s="345">
        <v>97.27</v>
      </c>
      <c r="R240" s="345">
        <v>42.41</v>
      </c>
      <c r="S240" s="345">
        <v>131.06</v>
      </c>
      <c r="T240" s="345">
        <v>264</v>
      </c>
      <c r="U240" s="345">
        <v>144.4</v>
      </c>
      <c r="V240" s="345">
        <v>449</v>
      </c>
      <c r="W240" s="345">
        <v>162.72</v>
      </c>
      <c r="X240" s="345">
        <v>79</v>
      </c>
      <c r="Y240" s="345">
        <v>0</v>
      </c>
      <c r="Z240" s="345">
        <v>1</v>
      </c>
      <c r="AA240" s="345">
        <v>2</v>
      </c>
      <c r="AB240" s="345">
        <v>50</v>
      </c>
      <c r="AC240" s="345">
        <v>34</v>
      </c>
      <c r="AD240" s="349">
        <v>2921</v>
      </c>
      <c r="AE240" s="349">
        <v>29</v>
      </c>
      <c r="AF240" s="349">
        <v>5</v>
      </c>
      <c r="AG240" s="349">
        <v>34</v>
      </c>
    </row>
    <row r="241" spans="1:33" x14ac:dyDescent="0.2">
      <c r="A241" s="344" t="s">
        <v>536</v>
      </c>
      <c r="B241" s="350" t="s">
        <v>537</v>
      </c>
      <c r="C241" s="346">
        <v>1221</v>
      </c>
      <c r="D241" s="346">
        <v>0</v>
      </c>
      <c r="E241" s="346">
        <v>110</v>
      </c>
      <c r="F241" s="346">
        <v>21</v>
      </c>
      <c r="G241" s="346">
        <v>171</v>
      </c>
      <c r="H241" s="346">
        <v>1523</v>
      </c>
      <c r="I241" s="345">
        <v>1352</v>
      </c>
      <c r="J241" s="345">
        <v>0</v>
      </c>
      <c r="K241" s="347">
        <v>92.87</v>
      </c>
      <c r="L241" s="347">
        <v>92.23</v>
      </c>
      <c r="M241" s="347">
        <v>5.08</v>
      </c>
      <c r="N241" s="347">
        <v>96.39</v>
      </c>
      <c r="O241" s="348">
        <v>1033</v>
      </c>
      <c r="P241" s="345">
        <v>106.03</v>
      </c>
      <c r="Q241" s="345">
        <v>109.14</v>
      </c>
      <c r="R241" s="345">
        <v>73.27</v>
      </c>
      <c r="S241" s="345">
        <v>179.3</v>
      </c>
      <c r="T241" s="345">
        <v>105</v>
      </c>
      <c r="U241" s="345">
        <v>98.77</v>
      </c>
      <c r="V241" s="345">
        <v>177</v>
      </c>
      <c r="W241" s="345">
        <v>186.98</v>
      </c>
      <c r="X241" s="345">
        <v>20</v>
      </c>
      <c r="Y241" s="345">
        <v>0</v>
      </c>
      <c r="Z241" s="345">
        <v>0</v>
      </c>
      <c r="AA241" s="345">
        <v>0</v>
      </c>
      <c r="AB241" s="345">
        <v>25</v>
      </c>
      <c r="AC241" s="345">
        <v>7</v>
      </c>
      <c r="AD241" s="349">
        <v>1212</v>
      </c>
      <c r="AE241" s="349">
        <v>26</v>
      </c>
      <c r="AF241" s="349">
        <v>15</v>
      </c>
      <c r="AG241" s="349">
        <v>41</v>
      </c>
    </row>
    <row r="242" spans="1:33" x14ac:dyDescent="0.2">
      <c r="A242" s="344" t="s">
        <v>538</v>
      </c>
      <c r="B242" s="350" t="s">
        <v>539</v>
      </c>
      <c r="C242" s="346">
        <v>10402</v>
      </c>
      <c r="D242" s="346">
        <v>0</v>
      </c>
      <c r="E242" s="346">
        <v>292</v>
      </c>
      <c r="F242" s="346">
        <v>1757</v>
      </c>
      <c r="G242" s="346">
        <v>639</v>
      </c>
      <c r="H242" s="346">
        <v>13090</v>
      </c>
      <c r="I242" s="345">
        <v>12451</v>
      </c>
      <c r="J242" s="345">
        <v>1</v>
      </c>
      <c r="K242" s="347">
        <v>97.53</v>
      </c>
      <c r="L242" s="347">
        <v>97.98</v>
      </c>
      <c r="M242" s="347">
        <v>5.0199999999999996</v>
      </c>
      <c r="N242" s="347">
        <v>100.3</v>
      </c>
      <c r="O242" s="348">
        <v>9457</v>
      </c>
      <c r="P242" s="345">
        <v>88.46</v>
      </c>
      <c r="Q242" s="345">
        <v>85.09</v>
      </c>
      <c r="R242" s="345">
        <v>19.510000000000002</v>
      </c>
      <c r="S242" s="345">
        <v>107.51</v>
      </c>
      <c r="T242" s="345">
        <v>1876</v>
      </c>
      <c r="U242" s="345">
        <v>135.88</v>
      </c>
      <c r="V242" s="345">
        <v>560</v>
      </c>
      <c r="W242" s="345">
        <v>190.99</v>
      </c>
      <c r="X242" s="345">
        <v>89</v>
      </c>
      <c r="Y242" s="345">
        <v>0</v>
      </c>
      <c r="Z242" s="345">
        <v>27</v>
      </c>
      <c r="AA242" s="345">
        <v>17</v>
      </c>
      <c r="AB242" s="345">
        <v>86</v>
      </c>
      <c r="AC242" s="345">
        <v>13</v>
      </c>
      <c r="AD242" s="349">
        <v>10083</v>
      </c>
      <c r="AE242" s="349">
        <v>46</v>
      </c>
      <c r="AF242" s="349">
        <v>40</v>
      </c>
      <c r="AG242" s="349">
        <v>86</v>
      </c>
    </row>
    <row r="243" spans="1:33" x14ac:dyDescent="0.2">
      <c r="A243" s="344" t="s">
        <v>540</v>
      </c>
      <c r="B243" s="350" t="s">
        <v>541</v>
      </c>
      <c r="C243" s="346">
        <v>4216</v>
      </c>
      <c r="D243" s="346">
        <v>0</v>
      </c>
      <c r="E243" s="346">
        <v>68</v>
      </c>
      <c r="F243" s="346">
        <v>256</v>
      </c>
      <c r="G243" s="346">
        <v>501</v>
      </c>
      <c r="H243" s="346">
        <v>5041</v>
      </c>
      <c r="I243" s="345">
        <v>4540</v>
      </c>
      <c r="J243" s="345">
        <v>18</v>
      </c>
      <c r="K243" s="347">
        <v>92.79</v>
      </c>
      <c r="L243" s="347">
        <v>88.93</v>
      </c>
      <c r="M243" s="347">
        <v>4.18</v>
      </c>
      <c r="N243" s="347">
        <v>96.8</v>
      </c>
      <c r="O243" s="348">
        <v>3678</v>
      </c>
      <c r="P243" s="345">
        <v>83.75</v>
      </c>
      <c r="Q243" s="345">
        <v>73.13</v>
      </c>
      <c r="R243" s="345">
        <v>55.86</v>
      </c>
      <c r="S243" s="345">
        <v>131.94</v>
      </c>
      <c r="T243" s="345">
        <v>182</v>
      </c>
      <c r="U243" s="345">
        <v>123.2</v>
      </c>
      <c r="V243" s="345">
        <v>237</v>
      </c>
      <c r="W243" s="345">
        <v>218.2</v>
      </c>
      <c r="X243" s="345">
        <v>37</v>
      </c>
      <c r="Y243" s="345">
        <v>19</v>
      </c>
      <c r="Z243" s="345">
        <v>8</v>
      </c>
      <c r="AA243" s="345">
        <v>5</v>
      </c>
      <c r="AB243" s="345">
        <v>28</v>
      </c>
      <c r="AC243" s="345">
        <v>3</v>
      </c>
      <c r="AD243" s="349">
        <v>3971</v>
      </c>
      <c r="AE243" s="349">
        <v>5</v>
      </c>
      <c r="AF243" s="349">
        <v>14</v>
      </c>
      <c r="AG243" s="349">
        <v>19</v>
      </c>
    </row>
    <row r="244" spans="1:33" x14ac:dyDescent="0.2">
      <c r="A244" s="344" t="s">
        <v>542</v>
      </c>
      <c r="B244" s="350" t="s">
        <v>543</v>
      </c>
      <c r="C244" s="346">
        <v>970</v>
      </c>
      <c r="D244" s="346">
        <v>0</v>
      </c>
      <c r="E244" s="346">
        <v>104</v>
      </c>
      <c r="F244" s="346">
        <v>0</v>
      </c>
      <c r="G244" s="346">
        <v>225</v>
      </c>
      <c r="H244" s="346">
        <v>1299</v>
      </c>
      <c r="I244" s="345">
        <v>1074</v>
      </c>
      <c r="J244" s="345">
        <v>8</v>
      </c>
      <c r="K244" s="347">
        <v>85.66</v>
      </c>
      <c r="L244" s="347">
        <v>85.42</v>
      </c>
      <c r="M244" s="347">
        <v>4.3899999999999997</v>
      </c>
      <c r="N244" s="347">
        <v>89.17</v>
      </c>
      <c r="O244" s="348">
        <v>752</v>
      </c>
      <c r="P244" s="345">
        <v>108.1</v>
      </c>
      <c r="Q244" s="345">
        <v>72.099999999999994</v>
      </c>
      <c r="R244" s="345">
        <v>90.86</v>
      </c>
      <c r="S244" s="345">
        <v>198.95</v>
      </c>
      <c r="T244" s="345">
        <v>91</v>
      </c>
      <c r="U244" s="345">
        <v>105.64</v>
      </c>
      <c r="V244" s="345">
        <v>135</v>
      </c>
      <c r="W244" s="345">
        <v>0</v>
      </c>
      <c r="X244" s="345">
        <v>0</v>
      </c>
      <c r="Y244" s="345">
        <v>0</v>
      </c>
      <c r="Z244" s="345">
        <v>2</v>
      </c>
      <c r="AA244" s="345">
        <v>0</v>
      </c>
      <c r="AB244" s="345">
        <v>8</v>
      </c>
      <c r="AC244" s="345">
        <v>1</v>
      </c>
      <c r="AD244" s="349">
        <v>905</v>
      </c>
      <c r="AE244" s="349">
        <v>1</v>
      </c>
      <c r="AF244" s="349">
        <v>1</v>
      </c>
      <c r="AG244" s="349">
        <v>2</v>
      </c>
    </row>
    <row r="245" spans="1:33" x14ac:dyDescent="0.2">
      <c r="A245" s="344" t="s">
        <v>544</v>
      </c>
      <c r="B245" s="350" t="s">
        <v>545</v>
      </c>
      <c r="C245" s="346">
        <v>1617</v>
      </c>
      <c r="D245" s="346">
        <v>0</v>
      </c>
      <c r="E245" s="346">
        <v>161</v>
      </c>
      <c r="F245" s="346">
        <v>317</v>
      </c>
      <c r="G245" s="346">
        <v>471</v>
      </c>
      <c r="H245" s="346">
        <v>2566</v>
      </c>
      <c r="I245" s="345">
        <v>2095</v>
      </c>
      <c r="J245" s="345">
        <v>3</v>
      </c>
      <c r="K245" s="347">
        <v>88.32</v>
      </c>
      <c r="L245" s="347">
        <v>86.96</v>
      </c>
      <c r="M245" s="347">
        <v>5.21</v>
      </c>
      <c r="N245" s="347">
        <v>92.71</v>
      </c>
      <c r="O245" s="348">
        <v>1226</v>
      </c>
      <c r="P245" s="345">
        <v>91.9</v>
      </c>
      <c r="Q245" s="345">
        <v>73.03</v>
      </c>
      <c r="R245" s="345">
        <v>30.32</v>
      </c>
      <c r="S245" s="345">
        <v>122.13</v>
      </c>
      <c r="T245" s="345">
        <v>314</v>
      </c>
      <c r="U245" s="345">
        <v>101.91</v>
      </c>
      <c r="V245" s="345">
        <v>155</v>
      </c>
      <c r="W245" s="345">
        <v>115.85</v>
      </c>
      <c r="X245" s="345">
        <v>21</v>
      </c>
      <c r="Y245" s="345">
        <v>59</v>
      </c>
      <c r="Z245" s="345">
        <v>1</v>
      </c>
      <c r="AA245" s="345">
        <v>1</v>
      </c>
      <c r="AB245" s="345">
        <v>48</v>
      </c>
      <c r="AC245" s="345">
        <v>10</v>
      </c>
      <c r="AD245" s="349">
        <v>1562</v>
      </c>
      <c r="AE245" s="349">
        <v>13</v>
      </c>
      <c r="AF245" s="349">
        <v>0</v>
      </c>
      <c r="AG245" s="349">
        <v>13</v>
      </c>
    </row>
    <row r="246" spans="1:33" x14ac:dyDescent="0.2">
      <c r="A246" s="344" t="s">
        <v>546</v>
      </c>
      <c r="B246" s="350" t="s">
        <v>547</v>
      </c>
      <c r="C246" s="346">
        <v>3885</v>
      </c>
      <c r="D246" s="346">
        <v>60</v>
      </c>
      <c r="E246" s="346">
        <v>195</v>
      </c>
      <c r="F246" s="346">
        <v>605</v>
      </c>
      <c r="G246" s="346">
        <v>149</v>
      </c>
      <c r="H246" s="346">
        <v>4894</v>
      </c>
      <c r="I246" s="345">
        <v>4745</v>
      </c>
      <c r="J246" s="345">
        <v>17</v>
      </c>
      <c r="K246" s="347">
        <v>92.2</v>
      </c>
      <c r="L246" s="347">
        <v>90.83</v>
      </c>
      <c r="M246" s="347">
        <v>4.68</v>
      </c>
      <c r="N246" s="347">
        <v>93.36</v>
      </c>
      <c r="O246" s="348">
        <v>3542</v>
      </c>
      <c r="P246" s="345">
        <v>83.61</v>
      </c>
      <c r="Q246" s="345">
        <v>81.790000000000006</v>
      </c>
      <c r="R246" s="345">
        <v>37.770000000000003</v>
      </c>
      <c r="S246" s="345">
        <v>120.76</v>
      </c>
      <c r="T246" s="345">
        <v>674</v>
      </c>
      <c r="U246" s="345">
        <v>115.38</v>
      </c>
      <c r="V246" s="345">
        <v>361</v>
      </c>
      <c r="W246" s="345">
        <v>205.32</v>
      </c>
      <c r="X246" s="345">
        <v>8</v>
      </c>
      <c r="Y246" s="345">
        <v>0</v>
      </c>
      <c r="Z246" s="345">
        <v>20</v>
      </c>
      <c r="AA246" s="345">
        <v>0</v>
      </c>
      <c r="AB246" s="345">
        <v>3</v>
      </c>
      <c r="AC246" s="345">
        <v>11</v>
      </c>
      <c r="AD246" s="349">
        <v>3840</v>
      </c>
      <c r="AE246" s="349">
        <v>14</v>
      </c>
      <c r="AF246" s="349">
        <v>0</v>
      </c>
      <c r="AG246" s="349">
        <v>14</v>
      </c>
    </row>
    <row r="247" spans="1:33" x14ac:dyDescent="0.2">
      <c r="A247" s="344" t="s">
        <v>548</v>
      </c>
      <c r="B247" s="350" t="s">
        <v>549</v>
      </c>
      <c r="C247" s="346">
        <v>6025</v>
      </c>
      <c r="D247" s="346">
        <v>0</v>
      </c>
      <c r="E247" s="346">
        <v>219</v>
      </c>
      <c r="F247" s="346">
        <v>924</v>
      </c>
      <c r="G247" s="346">
        <v>547</v>
      </c>
      <c r="H247" s="346">
        <v>7715</v>
      </c>
      <c r="I247" s="345">
        <v>7168</v>
      </c>
      <c r="J247" s="345">
        <v>0</v>
      </c>
      <c r="K247" s="347">
        <v>89.02</v>
      </c>
      <c r="L247" s="347">
        <v>88.78</v>
      </c>
      <c r="M247" s="347">
        <v>4.58</v>
      </c>
      <c r="N247" s="347">
        <v>90.11</v>
      </c>
      <c r="O247" s="348">
        <v>4557</v>
      </c>
      <c r="P247" s="345">
        <v>86.9</v>
      </c>
      <c r="Q247" s="345">
        <v>81.63</v>
      </c>
      <c r="R247" s="345">
        <v>32.340000000000003</v>
      </c>
      <c r="S247" s="345">
        <v>116.81</v>
      </c>
      <c r="T247" s="345">
        <v>1102</v>
      </c>
      <c r="U247" s="345">
        <v>111.55</v>
      </c>
      <c r="V247" s="345">
        <v>1391</v>
      </c>
      <c r="W247" s="345">
        <v>0</v>
      </c>
      <c r="X247" s="345">
        <v>0</v>
      </c>
      <c r="Y247" s="345">
        <v>0</v>
      </c>
      <c r="Z247" s="345">
        <v>24</v>
      </c>
      <c r="AA247" s="345">
        <v>1</v>
      </c>
      <c r="AB247" s="345">
        <v>57</v>
      </c>
      <c r="AC247" s="345">
        <v>6</v>
      </c>
      <c r="AD247" s="349">
        <v>6020</v>
      </c>
      <c r="AE247" s="349">
        <v>66</v>
      </c>
      <c r="AF247" s="349">
        <v>54</v>
      </c>
      <c r="AG247" s="349">
        <v>120</v>
      </c>
    </row>
    <row r="248" spans="1:33" x14ac:dyDescent="0.2">
      <c r="A248" s="344" t="s">
        <v>550</v>
      </c>
      <c r="B248" s="350" t="s">
        <v>551</v>
      </c>
      <c r="C248" s="346">
        <v>5990</v>
      </c>
      <c r="D248" s="346">
        <v>0</v>
      </c>
      <c r="E248" s="346">
        <v>219</v>
      </c>
      <c r="F248" s="346">
        <v>812</v>
      </c>
      <c r="G248" s="346">
        <v>746</v>
      </c>
      <c r="H248" s="346">
        <v>7767</v>
      </c>
      <c r="I248" s="345">
        <v>7021</v>
      </c>
      <c r="J248" s="345">
        <v>0</v>
      </c>
      <c r="K248" s="347">
        <v>111.3</v>
      </c>
      <c r="L248" s="347">
        <v>110.12</v>
      </c>
      <c r="M248" s="347">
        <v>5.27</v>
      </c>
      <c r="N248" s="347">
        <v>113.23</v>
      </c>
      <c r="O248" s="348">
        <v>5242</v>
      </c>
      <c r="P248" s="345">
        <v>97.65</v>
      </c>
      <c r="Q248" s="345">
        <v>92.38</v>
      </c>
      <c r="R248" s="345">
        <v>26</v>
      </c>
      <c r="S248" s="345">
        <v>121.23</v>
      </c>
      <c r="T248" s="345">
        <v>866</v>
      </c>
      <c r="U248" s="345">
        <v>165.61</v>
      </c>
      <c r="V248" s="345">
        <v>536</v>
      </c>
      <c r="W248" s="345">
        <v>163.19</v>
      </c>
      <c r="X248" s="345">
        <v>40</v>
      </c>
      <c r="Y248" s="345">
        <v>0</v>
      </c>
      <c r="Z248" s="345">
        <v>10</v>
      </c>
      <c r="AA248" s="345">
        <v>18</v>
      </c>
      <c r="AB248" s="345">
        <v>34</v>
      </c>
      <c r="AC248" s="345">
        <v>13</v>
      </c>
      <c r="AD248" s="349">
        <v>5804</v>
      </c>
      <c r="AE248" s="349">
        <v>20</v>
      </c>
      <c r="AF248" s="349">
        <v>18</v>
      </c>
      <c r="AG248" s="349">
        <v>38</v>
      </c>
    </row>
    <row r="249" spans="1:33" x14ac:dyDescent="0.2">
      <c r="A249" s="344" t="s">
        <v>552</v>
      </c>
      <c r="B249" s="350" t="s">
        <v>553</v>
      </c>
      <c r="C249" s="346">
        <v>3848</v>
      </c>
      <c r="D249" s="346">
        <v>3</v>
      </c>
      <c r="E249" s="346">
        <v>260</v>
      </c>
      <c r="F249" s="346">
        <v>1123</v>
      </c>
      <c r="G249" s="346">
        <v>180</v>
      </c>
      <c r="H249" s="346">
        <v>5414</v>
      </c>
      <c r="I249" s="345">
        <v>5234</v>
      </c>
      <c r="J249" s="345">
        <v>28</v>
      </c>
      <c r="K249" s="347">
        <v>87.81</v>
      </c>
      <c r="L249" s="347">
        <v>87.11</v>
      </c>
      <c r="M249" s="347">
        <v>2.69</v>
      </c>
      <c r="N249" s="347">
        <v>90.4</v>
      </c>
      <c r="O249" s="348">
        <v>3528</v>
      </c>
      <c r="P249" s="345">
        <v>87.37</v>
      </c>
      <c r="Q249" s="345">
        <v>80.62</v>
      </c>
      <c r="R249" s="345">
        <v>24.38</v>
      </c>
      <c r="S249" s="345">
        <v>111.71</v>
      </c>
      <c r="T249" s="345">
        <v>1297</v>
      </c>
      <c r="U249" s="345">
        <v>99.66</v>
      </c>
      <c r="V249" s="345">
        <v>306</v>
      </c>
      <c r="W249" s="345">
        <v>0</v>
      </c>
      <c r="X249" s="345">
        <v>0</v>
      </c>
      <c r="Y249" s="345">
        <v>0</v>
      </c>
      <c r="Z249" s="345">
        <v>5</v>
      </c>
      <c r="AA249" s="345">
        <v>6</v>
      </c>
      <c r="AB249" s="345">
        <v>9</v>
      </c>
      <c r="AC249" s="345">
        <v>1</v>
      </c>
      <c r="AD249" s="349">
        <v>3848</v>
      </c>
      <c r="AE249" s="349">
        <v>31</v>
      </c>
      <c r="AF249" s="349">
        <v>2</v>
      </c>
      <c r="AG249" s="349">
        <v>33</v>
      </c>
    </row>
    <row r="250" spans="1:33" x14ac:dyDescent="0.2">
      <c r="A250" s="344" t="s">
        <v>554</v>
      </c>
      <c r="B250" s="350" t="s">
        <v>555</v>
      </c>
      <c r="C250" s="346">
        <v>9034</v>
      </c>
      <c r="D250" s="346">
        <v>0</v>
      </c>
      <c r="E250" s="346">
        <v>344</v>
      </c>
      <c r="F250" s="346">
        <v>1695</v>
      </c>
      <c r="G250" s="346">
        <v>595</v>
      </c>
      <c r="H250" s="346">
        <v>11668</v>
      </c>
      <c r="I250" s="345">
        <v>11073</v>
      </c>
      <c r="J250" s="345">
        <v>1</v>
      </c>
      <c r="K250" s="347">
        <v>92.59</v>
      </c>
      <c r="L250" s="347">
        <v>91.99</v>
      </c>
      <c r="M250" s="347">
        <v>4.16</v>
      </c>
      <c r="N250" s="347">
        <v>93.89</v>
      </c>
      <c r="O250" s="348">
        <v>8152</v>
      </c>
      <c r="P250" s="345">
        <v>88.88</v>
      </c>
      <c r="Q250" s="345">
        <v>83.85</v>
      </c>
      <c r="R250" s="345">
        <v>30.18</v>
      </c>
      <c r="S250" s="345">
        <v>118.97</v>
      </c>
      <c r="T250" s="345">
        <v>2010</v>
      </c>
      <c r="U250" s="345">
        <v>113.91</v>
      </c>
      <c r="V250" s="345">
        <v>562</v>
      </c>
      <c r="W250" s="345">
        <v>116.74</v>
      </c>
      <c r="X250" s="345">
        <v>21</v>
      </c>
      <c r="Y250" s="345">
        <v>0</v>
      </c>
      <c r="Z250" s="345">
        <v>30</v>
      </c>
      <c r="AA250" s="345">
        <v>31</v>
      </c>
      <c r="AB250" s="345">
        <v>27</v>
      </c>
      <c r="AC250" s="345">
        <v>16</v>
      </c>
      <c r="AD250" s="349">
        <v>8935</v>
      </c>
      <c r="AE250" s="349">
        <v>38</v>
      </c>
      <c r="AF250" s="349">
        <v>9</v>
      </c>
      <c r="AG250" s="349">
        <v>47</v>
      </c>
    </row>
    <row r="251" spans="1:33" x14ac:dyDescent="0.2">
      <c r="A251" s="344" t="s">
        <v>556</v>
      </c>
      <c r="B251" s="350" t="s">
        <v>557</v>
      </c>
      <c r="C251" s="346">
        <v>5680</v>
      </c>
      <c r="D251" s="346">
        <v>0</v>
      </c>
      <c r="E251" s="346">
        <v>258</v>
      </c>
      <c r="F251" s="346">
        <v>673</v>
      </c>
      <c r="G251" s="346">
        <v>282</v>
      </c>
      <c r="H251" s="346">
        <v>6893</v>
      </c>
      <c r="I251" s="345">
        <v>6611</v>
      </c>
      <c r="J251" s="345">
        <v>0</v>
      </c>
      <c r="K251" s="347">
        <v>88.68</v>
      </c>
      <c r="L251" s="347">
        <v>84.99</v>
      </c>
      <c r="M251" s="347">
        <v>4.5199999999999996</v>
      </c>
      <c r="N251" s="347">
        <v>89.92</v>
      </c>
      <c r="O251" s="348">
        <v>5536</v>
      </c>
      <c r="P251" s="345">
        <v>81.91</v>
      </c>
      <c r="Q251" s="345">
        <v>81.739999999999995</v>
      </c>
      <c r="R251" s="345">
        <v>37.630000000000003</v>
      </c>
      <c r="S251" s="345">
        <v>119.3</v>
      </c>
      <c r="T251" s="345">
        <v>801</v>
      </c>
      <c r="U251" s="345">
        <v>108.01</v>
      </c>
      <c r="V251" s="345">
        <v>106</v>
      </c>
      <c r="W251" s="345">
        <v>171.27</v>
      </c>
      <c r="X251" s="345">
        <v>130</v>
      </c>
      <c r="Y251" s="345">
        <v>0</v>
      </c>
      <c r="Z251" s="345">
        <v>6</v>
      </c>
      <c r="AA251" s="345">
        <v>1</v>
      </c>
      <c r="AB251" s="345">
        <v>23</v>
      </c>
      <c r="AC251" s="345">
        <v>3</v>
      </c>
      <c r="AD251" s="349">
        <v>5680</v>
      </c>
      <c r="AE251" s="349">
        <v>21</v>
      </c>
      <c r="AF251" s="349">
        <v>15</v>
      </c>
      <c r="AG251" s="349">
        <v>36</v>
      </c>
    </row>
    <row r="252" spans="1:33" x14ac:dyDescent="0.2">
      <c r="A252" s="344" t="s">
        <v>558</v>
      </c>
      <c r="B252" s="350" t="s">
        <v>559</v>
      </c>
      <c r="C252" s="346">
        <v>3791</v>
      </c>
      <c r="D252" s="346">
        <v>30</v>
      </c>
      <c r="E252" s="346">
        <v>426</v>
      </c>
      <c r="F252" s="346">
        <v>842</v>
      </c>
      <c r="G252" s="346">
        <v>181</v>
      </c>
      <c r="H252" s="346">
        <v>5270</v>
      </c>
      <c r="I252" s="345">
        <v>5089</v>
      </c>
      <c r="J252" s="345">
        <v>0</v>
      </c>
      <c r="K252" s="347">
        <v>81.27</v>
      </c>
      <c r="L252" s="347">
        <v>77.92</v>
      </c>
      <c r="M252" s="347">
        <v>3.17</v>
      </c>
      <c r="N252" s="347">
        <v>83.58</v>
      </c>
      <c r="O252" s="348">
        <v>3156</v>
      </c>
      <c r="P252" s="345">
        <v>84.39</v>
      </c>
      <c r="Q252" s="345">
        <v>77.66</v>
      </c>
      <c r="R252" s="345">
        <v>60.13</v>
      </c>
      <c r="S252" s="345">
        <v>142.58000000000001</v>
      </c>
      <c r="T252" s="345">
        <v>930</v>
      </c>
      <c r="U252" s="345">
        <v>95.98</v>
      </c>
      <c r="V252" s="345">
        <v>562</v>
      </c>
      <c r="W252" s="345">
        <v>109.28</v>
      </c>
      <c r="X252" s="345">
        <v>248</v>
      </c>
      <c r="Y252" s="345">
        <v>0</v>
      </c>
      <c r="Z252" s="345">
        <v>0</v>
      </c>
      <c r="AA252" s="345">
        <v>18</v>
      </c>
      <c r="AB252" s="345">
        <v>2</v>
      </c>
      <c r="AC252" s="345">
        <v>5</v>
      </c>
      <c r="AD252" s="349">
        <v>3638</v>
      </c>
      <c r="AE252" s="349">
        <v>52</v>
      </c>
      <c r="AF252" s="349">
        <v>6</v>
      </c>
      <c r="AG252" s="349">
        <v>58</v>
      </c>
    </row>
    <row r="253" spans="1:33" x14ac:dyDescent="0.2">
      <c r="A253" s="344" t="s">
        <v>560</v>
      </c>
      <c r="B253" s="350" t="s">
        <v>561</v>
      </c>
      <c r="C253" s="346">
        <v>5882</v>
      </c>
      <c r="D253" s="346">
        <v>64</v>
      </c>
      <c r="E253" s="346">
        <v>857</v>
      </c>
      <c r="F253" s="346">
        <v>1064</v>
      </c>
      <c r="G253" s="346">
        <v>971</v>
      </c>
      <c r="H253" s="346">
        <v>8838</v>
      </c>
      <c r="I253" s="345">
        <v>7867</v>
      </c>
      <c r="J253" s="345">
        <v>52</v>
      </c>
      <c r="K253" s="347">
        <v>105.97</v>
      </c>
      <c r="L253" s="347">
        <v>104.15</v>
      </c>
      <c r="M253" s="347">
        <v>7.08</v>
      </c>
      <c r="N253" s="347">
        <v>112.01</v>
      </c>
      <c r="O253" s="348">
        <v>4642</v>
      </c>
      <c r="P253" s="345">
        <v>92.13</v>
      </c>
      <c r="Q253" s="345">
        <v>89.69</v>
      </c>
      <c r="R253" s="345">
        <v>38.729999999999997</v>
      </c>
      <c r="S253" s="345">
        <v>129.59</v>
      </c>
      <c r="T253" s="345">
        <v>1639</v>
      </c>
      <c r="U253" s="345">
        <v>143.04</v>
      </c>
      <c r="V253" s="345">
        <v>771</v>
      </c>
      <c r="W253" s="345">
        <v>122.05</v>
      </c>
      <c r="X253" s="345">
        <v>2</v>
      </c>
      <c r="Y253" s="345">
        <v>82</v>
      </c>
      <c r="Z253" s="345">
        <v>3</v>
      </c>
      <c r="AA253" s="345">
        <v>13</v>
      </c>
      <c r="AB253" s="345">
        <v>10</v>
      </c>
      <c r="AC253" s="345">
        <v>43</v>
      </c>
      <c r="AD253" s="349">
        <v>5667</v>
      </c>
      <c r="AE253" s="349">
        <v>20</v>
      </c>
      <c r="AF253" s="349">
        <v>18</v>
      </c>
      <c r="AG253" s="349">
        <v>38</v>
      </c>
    </row>
    <row r="254" spans="1:33" x14ac:dyDescent="0.2">
      <c r="A254" s="344" t="s">
        <v>562</v>
      </c>
      <c r="B254" s="350" t="s">
        <v>563</v>
      </c>
      <c r="C254" s="346">
        <v>2796</v>
      </c>
      <c r="D254" s="346">
        <v>0</v>
      </c>
      <c r="E254" s="346">
        <v>461</v>
      </c>
      <c r="F254" s="346">
        <v>325</v>
      </c>
      <c r="G254" s="346">
        <v>331</v>
      </c>
      <c r="H254" s="346">
        <v>3913</v>
      </c>
      <c r="I254" s="345">
        <v>3582</v>
      </c>
      <c r="J254" s="345">
        <v>18</v>
      </c>
      <c r="K254" s="347">
        <v>98.57</v>
      </c>
      <c r="L254" s="347">
        <v>96.9</v>
      </c>
      <c r="M254" s="347">
        <v>10.99</v>
      </c>
      <c r="N254" s="347">
        <v>107.33</v>
      </c>
      <c r="O254" s="348">
        <v>2475</v>
      </c>
      <c r="P254" s="345">
        <v>90.46</v>
      </c>
      <c r="Q254" s="345">
        <v>86.67</v>
      </c>
      <c r="R254" s="345">
        <v>56.26</v>
      </c>
      <c r="S254" s="345">
        <v>144.37</v>
      </c>
      <c r="T254" s="345">
        <v>504</v>
      </c>
      <c r="U254" s="345">
        <v>149.05000000000001</v>
      </c>
      <c r="V254" s="345">
        <v>303</v>
      </c>
      <c r="W254" s="345">
        <v>0</v>
      </c>
      <c r="X254" s="345">
        <v>0</v>
      </c>
      <c r="Y254" s="345">
        <v>0</v>
      </c>
      <c r="Z254" s="345">
        <v>0</v>
      </c>
      <c r="AA254" s="345">
        <v>3</v>
      </c>
      <c r="AB254" s="345">
        <v>32</v>
      </c>
      <c r="AC254" s="345">
        <v>2</v>
      </c>
      <c r="AD254" s="349">
        <v>2796</v>
      </c>
      <c r="AE254" s="349">
        <v>11</v>
      </c>
      <c r="AF254" s="349">
        <v>23</v>
      </c>
      <c r="AG254" s="349">
        <v>34</v>
      </c>
    </row>
    <row r="255" spans="1:33" x14ac:dyDescent="0.2">
      <c r="A255" s="344" t="s">
        <v>564</v>
      </c>
      <c r="B255" s="350" t="s">
        <v>565</v>
      </c>
      <c r="C255" s="346">
        <v>14654</v>
      </c>
      <c r="D255" s="346">
        <v>261</v>
      </c>
      <c r="E255" s="346">
        <v>1551</v>
      </c>
      <c r="F255" s="346">
        <v>648</v>
      </c>
      <c r="G255" s="346">
        <v>2972</v>
      </c>
      <c r="H255" s="346">
        <v>20086</v>
      </c>
      <c r="I255" s="345">
        <v>17114</v>
      </c>
      <c r="J255" s="345">
        <v>253</v>
      </c>
      <c r="K255" s="347">
        <v>123.27</v>
      </c>
      <c r="L255" s="347">
        <v>124.19</v>
      </c>
      <c r="M255" s="347">
        <v>12.24</v>
      </c>
      <c r="N255" s="347">
        <v>132.51</v>
      </c>
      <c r="O255" s="348">
        <v>12197</v>
      </c>
      <c r="P255" s="345">
        <v>107.88</v>
      </c>
      <c r="Q255" s="345">
        <v>106.09</v>
      </c>
      <c r="R255" s="345">
        <v>66.03</v>
      </c>
      <c r="S255" s="345">
        <v>161.47</v>
      </c>
      <c r="T255" s="345">
        <v>2079</v>
      </c>
      <c r="U255" s="345">
        <v>198.36</v>
      </c>
      <c r="V255" s="345">
        <v>995</v>
      </c>
      <c r="W255" s="345">
        <v>187.65</v>
      </c>
      <c r="X255" s="345">
        <v>25</v>
      </c>
      <c r="Y255" s="345">
        <v>115</v>
      </c>
      <c r="Z255" s="345">
        <v>8</v>
      </c>
      <c r="AA255" s="345">
        <v>25</v>
      </c>
      <c r="AB255" s="345">
        <v>215</v>
      </c>
      <c r="AC255" s="345">
        <v>62</v>
      </c>
      <c r="AD255" s="349">
        <v>13864</v>
      </c>
      <c r="AE255" s="349">
        <v>19</v>
      </c>
      <c r="AF255" s="349">
        <v>75</v>
      </c>
      <c r="AG255" s="349">
        <v>94</v>
      </c>
    </row>
    <row r="256" spans="1:33" x14ac:dyDescent="0.2">
      <c r="A256" s="344" t="s">
        <v>566</v>
      </c>
      <c r="B256" s="350" t="s">
        <v>567</v>
      </c>
      <c r="C256" s="346">
        <v>4909</v>
      </c>
      <c r="D256" s="346">
        <v>0</v>
      </c>
      <c r="E256" s="346">
        <v>111</v>
      </c>
      <c r="F256" s="346">
        <v>338</v>
      </c>
      <c r="G256" s="346">
        <v>423</v>
      </c>
      <c r="H256" s="346">
        <v>5781</v>
      </c>
      <c r="I256" s="345">
        <v>5358</v>
      </c>
      <c r="J256" s="345">
        <v>1</v>
      </c>
      <c r="K256" s="347">
        <v>116.66</v>
      </c>
      <c r="L256" s="347">
        <v>111.61</v>
      </c>
      <c r="M256" s="347">
        <v>5.13</v>
      </c>
      <c r="N256" s="347">
        <v>121.24</v>
      </c>
      <c r="O256" s="348">
        <v>4777</v>
      </c>
      <c r="P256" s="345">
        <v>109.54</v>
      </c>
      <c r="Q256" s="345">
        <v>101.33</v>
      </c>
      <c r="R256" s="345">
        <v>67.599999999999994</v>
      </c>
      <c r="S256" s="345">
        <v>176.18</v>
      </c>
      <c r="T256" s="345">
        <v>353</v>
      </c>
      <c r="U256" s="345">
        <v>214.3</v>
      </c>
      <c r="V256" s="345">
        <v>156</v>
      </c>
      <c r="W256" s="345">
        <v>134.85</v>
      </c>
      <c r="X256" s="345">
        <v>4</v>
      </c>
      <c r="Y256" s="345">
        <v>0</v>
      </c>
      <c r="Z256" s="345">
        <v>2</v>
      </c>
      <c r="AA256" s="345">
        <v>2</v>
      </c>
      <c r="AB256" s="345">
        <v>8</v>
      </c>
      <c r="AC256" s="345">
        <v>16</v>
      </c>
      <c r="AD256" s="349">
        <v>4903</v>
      </c>
      <c r="AE256" s="349">
        <v>8</v>
      </c>
      <c r="AF256" s="349">
        <v>8</v>
      </c>
      <c r="AG256" s="349">
        <v>16</v>
      </c>
    </row>
    <row r="257" spans="1:33" x14ac:dyDescent="0.2">
      <c r="A257" s="344" t="s">
        <v>568</v>
      </c>
      <c r="B257" s="350" t="s">
        <v>569</v>
      </c>
      <c r="C257" s="346">
        <v>1957</v>
      </c>
      <c r="D257" s="346">
        <v>91</v>
      </c>
      <c r="E257" s="346">
        <v>249</v>
      </c>
      <c r="F257" s="346">
        <v>192</v>
      </c>
      <c r="G257" s="346">
        <v>217</v>
      </c>
      <c r="H257" s="346">
        <v>2706</v>
      </c>
      <c r="I257" s="345">
        <v>2489</v>
      </c>
      <c r="J257" s="345">
        <v>1</v>
      </c>
      <c r="K257" s="347">
        <v>122.44</v>
      </c>
      <c r="L257" s="347">
        <v>118.34</v>
      </c>
      <c r="M257" s="347">
        <v>6.33</v>
      </c>
      <c r="N257" s="347">
        <v>128.02000000000001</v>
      </c>
      <c r="O257" s="348">
        <v>1609</v>
      </c>
      <c r="P257" s="345">
        <v>113.61</v>
      </c>
      <c r="Q257" s="345">
        <v>103.57</v>
      </c>
      <c r="R257" s="345">
        <v>36.76</v>
      </c>
      <c r="S257" s="345">
        <v>148.94999999999999</v>
      </c>
      <c r="T257" s="345">
        <v>361</v>
      </c>
      <c r="U257" s="345">
        <v>184.93</v>
      </c>
      <c r="V257" s="345">
        <v>241</v>
      </c>
      <c r="W257" s="345">
        <v>187.72</v>
      </c>
      <c r="X257" s="345">
        <v>36</v>
      </c>
      <c r="Y257" s="345">
        <v>0</v>
      </c>
      <c r="Z257" s="345">
        <v>0</v>
      </c>
      <c r="AA257" s="345">
        <v>1</v>
      </c>
      <c r="AB257" s="345">
        <v>10</v>
      </c>
      <c r="AC257" s="345">
        <v>5</v>
      </c>
      <c r="AD257" s="349">
        <v>1952</v>
      </c>
      <c r="AE257" s="349">
        <v>28</v>
      </c>
      <c r="AF257" s="349">
        <v>6</v>
      </c>
      <c r="AG257" s="349">
        <v>34</v>
      </c>
    </row>
    <row r="258" spans="1:33" x14ac:dyDescent="0.2">
      <c r="A258" s="344" t="s">
        <v>570</v>
      </c>
      <c r="B258" s="350" t="s">
        <v>571</v>
      </c>
      <c r="C258" s="346">
        <v>14455</v>
      </c>
      <c r="D258" s="346">
        <v>0</v>
      </c>
      <c r="E258" s="346">
        <v>642</v>
      </c>
      <c r="F258" s="346">
        <v>2076</v>
      </c>
      <c r="G258" s="346">
        <v>463</v>
      </c>
      <c r="H258" s="346">
        <v>17636</v>
      </c>
      <c r="I258" s="345">
        <v>17173</v>
      </c>
      <c r="J258" s="345">
        <v>3</v>
      </c>
      <c r="K258" s="347">
        <v>89.02</v>
      </c>
      <c r="L258" s="347">
        <v>88.71</v>
      </c>
      <c r="M258" s="347">
        <v>1.83</v>
      </c>
      <c r="N258" s="347">
        <v>90.67</v>
      </c>
      <c r="O258" s="348">
        <v>13339</v>
      </c>
      <c r="P258" s="345">
        <v>91.84</v>
      </c>
      <c r="Q258" s="345">
        <v>84.67</v>
      </c>
      <c r="R258" s="345">
        <v>33.46</v>
      </c>
      <c r="S258" s="345">
        <v>124.88</v>
      </c>
      <c r="T258" s="345">
        <v>2521</v>
      </c>
      <c r="U258" s="345">
        <v>100.17</v>
      </c>
      <c r="V258" s="345">
        <v>1043</v>
      </c>
      <c r="W258" s="345">
        <v>107.42</v>
      </c>
      <c r="X258" s="345">
        <v>1</v>
      </c>
      <c r="Y258" s="345">
        <v>215</v>
      </c>
      <c r="Z258" s="345">
        <v>63</v>
      </c>
      <c r="AA258" s="345">
        <v>49</v>
      </c>
      <c r="AB258" s="345">
        <v>0</v>
      </c>
      <c r="AC258" s="345">
        <v>5</v>
      </c>
      <c r="AD258" s="349">
        <v>14409</v>
      </c>
      <c r="AE258" s="349">
        <v>138</v>
      </c>
      <c r="AF258" s="349">
        <v>107</v>
      </c>
      <c r="AG258" s="349">
        <v>245</v>
      </c>
    </row>
    <row r="259" spans="1:33" x14ac:dyDescent="0.2">
      <c r="A259" s="344" t="s">
        <v>572</v>
      </c>
      <c r="B259" s="350" t="s">
        <v>573</v>
      </c>
      <c r="C259" s="346">
        <v>6196</v>
      </c>
      <c r="D259" s="346">
        <v>1</v>
      </c>
      <c r="E259" s="346">
        <v>271</v>
      </c>
      <c r="F259" s="346">
        <v>1677</v>
      </c>
      <c r="G259" s="346">
        <v>359</v>
      </c>
      <c r="H259" s="346">
        <v>8504</v>
      </c>
      <c r="I259" s="345">
        <v>8145</v>
      </c>
      <c r="J259" s="345">
        <v>3</v>
      </c>
      <c r="K259" s="347">
        <v>83.73</v>
      </c>
      <c r="L259" s="347">
        <v>82.09</v>
      </c>
      <c r="M259" s="347">
        <v>4.37</v>
      </c>
      <c r="N259" s="347">
        <v>86.28</v>
      </c>
      <c r="O259" s="348">
        <v>5659</v>
      </c>
      <c r="P259" s="345">
        <v>79.459999999999994</v>
      </c>
      <c r="Q259" s="345">
        <v>78.38</v>
      </c>
      <c r="R259" s="345">
        <v>19.190000000000001</v>
      </c>
      <c r="S259" s="345">
        <v>98.07</v>
      </c>
      <c r="T259" s="345">
        <v>1780</v>
      </c>
      <c r="U259" s="345">
        <v>102.73</v>
      </c>
      <c r="V259" s="345">
        <v>533</v>
      </c>
      <c r="W259" s="345">
        <v>156.41</v>
      </c>
      <c r="X259" s="345">
        <v>132</v>
      </c>
      <c r="Y259" s="345">
        <v>0</v>
      </c>
      <c r="Z259" s="345">
        <v>23</v>
      </c>
      <c r="AA259" s="345">
        <v>0</v>
      </c>
      <c r="AB259" s="345">
        <v>41</v>
      </c>
      <c r="AC259" s="345">
        <v>16</v>
      </c>
      <c r="AD259" s="349">
        <v>6196</v>
      </c>
      <c r="AE259" s="349">
        <v>17</v>
      </c>
      <c r="AF259" s="349">
        <v>28</v>
      </c>
      <c r="AG259" s="349">
        <v>45</v>
      </c>
    </row>
    <row r="260" spans="1:33" x14ac:dyDescent="0.2">
      <c r="A260" s="344" t="s">
        <v>574</v>
      </c>
      <c r="B260" s="350" t="s">
        <v>575</v>
      </c>
      <c r="C260" s="346">
        <v>2700</v>
      </c>
      <c r="D260" s="346">
        <v>2</v>
      </c>
      <c r="E260" s="346">
        <v>134</v>
      </c>
      <c r="F260" s="346">
        <v>949</v>
      </c>
      <c r="G260" s="346">
        <v>69</v>
      </c>
      <c r="H260" s="346">
        <v>3854</v>
      </c>
      <c r="I260" s="345">
        <v>3785</v>
      </c>
      <c r="J260" s="345">
        <v>0</v>
      </c>
      <c r="K260" s="347">
        <v>86.19</v>
      </c>
      <c r="L260" s="347">
        <v>82.81</v>
      </c>
      <c r="M260" s="347">
        <v>5.86</v>
      </c>
      <c r="N260" s="347">
        <v>87.7</v>
      </c>
      <c r="O260" s="348">
        <v>2442</v>
      </c>
      <c r="P260" s="345">
        <v>83.19</v>
      </c>
      <c r="Q260" s="345">
        <v>76.930000000000007</v>
      </c>
      <c r="R260" s="345">
        <v>21.05</v>
      </c>
      <c r="S260" s="345">
        <v>103.64</v>
      </c>
      <c r="T260" s="345">
        <v>985</v>
      </c>
      <c r="U260" s="345">
        <v>97.97</v>
      </c>
      <c r="V260" s="345">
        <v>202</v>
      </c>
      <c r="W260" s="345">
        <v>194.47</v>
      </c>
      <c r="X260" s="345">
        <v>74</v>
      </c>
      <c r="Y260" s="345">
        <v>0</v>
      </c>
      <c r="Z260" s="345">
        <v>19</v>
      </c>
      <c r="AA260" s="345">
        <v>8</v>
      </c>
      <c r="AB260" s="345">
        <v>5</v>
      </c>
      <c r="AC260" s="345">
        <v>2</v>
      </c>
      <c r="AD260" s="349">
        <v>2539</v>
      </c>
      <c r="AE260" s="349">
        <v>12</v>
      </c>
      <c r="AF260" s="349">
        <v>3</v>
      </c>
      <c r="AG260" s="349">
        <v>15</v>
      </c>
    </row>
    <row r="261" spans="1:33" x14ac:dyDescent="0.2">
      <c r="A261" s="344" t="s">
        <v>576</v>
      </c>
      <c r="B261" s="350" t="s">
        <v>577</v>
      </c>
      <c r="C261" s="346">
        <v>1668</v>
      </c>
      <c r="D261" s="346">
        <v>3</v>
      </c>
      <c r="E261" s="346">
        <v>166</v>
      </c>
      <c r="F261" s="346">
        <v>313</v>
      </c>
      <c r="G261" s="346">
        <v>406</v>
      </c>
      <c r="H261" s="346">
        <v>2556</v>
      </c>
      <c r="I261" s="345">
        <v>2150</v>
      </c>
      <c r="J261" s="345">
        <v>0</v>
      </c>
      <c r="K261" s="347">
        <v>116</v>
      </c>
      <c r="L261" s="347">
        <v>112.52</v>
      </c>
      <c r="M261" s="347">
        <v>7.09</v>
      </c>
      <c r="N261" s="347">
        <v>122.36</v>
      </c>
      <c r="O261" s="348">
        <v>1382</v>
      </c>
      <c r="P261" s="345">
        <v>102.78</v>
      </c>
      <c r="Q261" s="345">
        <v>89.96</v>
      </c>
      <c r="R261" s="345">
        <v>35.79</v>
      </c>
      <c r="S261" s="345">
        <v>138.57</v>
      </c>
      <c r="T261" s="345">
        <v>402</v>
      </c>
      <c r="U261" s="345">
        <v>134.04</v>
      </c>
      <c r="V261" s="345">
        <v>137</v>
      </c>
      <c r="W261" s="345">
        <v>0</v>
      </c>
      <c r="X261" s="345">
        <v>0</v>
      </c>
      <c r="Y261" s="345">
        <v>0</v>
      </c>
      <c r="Z261" s="345">
        <v>0</v>
      </c>
      <c r="AA261" s="345">
        <v>0</v>
      </c>
      <c r="AB261" s="345">
        <v>8</v>
      </c>
      <c r="AC261" s="345">
        <v>6</v>
      </c>
      <c r="AD261" s="349">
        <v>1541</v>
      </c>
      <c r="AE261" s="349">
        <v>7</v>
      </c>
      <c r="AF261" s="349">
        <v>1</v>
      </c>
      <c r="AG261" s="349">
        <v>8</v>
      </c>
    </row>
    <row r="262" spans="1:33" x14ac:dyDescent="0.2">
      <c r="A262" s="344" t="s">
        <v>578</v>
      </c>
      <c r="B262" s="350" t="s">
        <v>579</v>
      </c>
      <c r="C262" s="346">
        <v>4436</v>
      </c>
      <c r="D262" s="346">
        <v>4</v>
      </c>
      <c r="E262" s="346">
        <v>410</v>
      </c>
      <c r="F262" s="346">
        <v>1377</v>
      </c>
      <c r="G262" s="346">
        <v>1123</v>
      </c>
      <c r="H262" s="346">
        <v>7350</v>
      </c>
      <c r="I262" s="345">
        <v>6227</v>
      </c>
      <c r="J262" s="345">
        <v>40</v>
      </c>
      <c r="K262" s="347">
        <v>83.63</v>
      </c>
      <c r="L262" s="347">
        <v>82.42</v>
      </c>
      <c r="M262" s="347">
        <v>7.75</v>
      </c>
      <c r="N262" s="347">
        <v>87.93</v>
      </c>
      <c r="O262" s="348">
        <v>3832</v>
      </c>
      <c r="P262" s="345">
        <v>83.12</v>
      </c>
      <c r="Q262" s="345">
        <v>77.400000000000006</v>
      </c>
      <c r="R262" s="345">
        <v>28.39</v>
      </c>
      <c r="S262" s="345">
        <v>110.78</v>
      </c>
      <c r="T262" s="345">
        <v>1675</v>
      </c>
      <c r="U262" s="345">
        <v>109.17</v>
      </c>
      <c r="V262" s="345">
        <v>436</v>
      </c>
      <c r="W262" s="345">
        <v>148.25</v>
      </c>
      <c r="X262" s="345">
        <v>64</v>
      </c>
      <c r="Y262" s="345">
        <v>29</v>
      </c>
      <c r="Z262" s="345">
        <v>13</v>
      </c>
      <c r="AA262" s="345">
        <v>0</v>
      </c>
      <c r="AB262" s="345">
        <v>45</v>
      </c>
      <c r="AC262" s="345">
        <v>13</v>
      </c>
      <c r="AD262" s="349">
        <v>4211</v>
      </c>
      <c r="AE262" s="349">
        <v>30</v>
      </c>
      <c r="AF262" s="349">
        <v>4</v>
      </c>
      <c r="AG262" s="349">
        <v>34</v>
      </c>
    </row>
    <row r="263" spans="1:33" x14ac:dyDescent="0.2">
      <c r="A263" s="344" t="s">
        <v>580</v>
      </c>
      <c r="B263" s="350" t="s">
        <v>581</v>
      </c>
      <c r="C263" s="346">
        <v>12799</v>
      </c>
      <c r="D263" s="346">
        <v>4</v>
      </c>
      <c r="E263" s="346">
        <v>330</v>
      </c>
      <c r="F263" s="346">
        <v>811</v>
      </c>
      <c r="G263" s="346">
        <v>200</v>
      </c>
      <c r="H263" s="346">
        <v>14144</v>
      </c>
      <c r="I263" s="345">
        <v>13944</v>
      </c>
      <c r="J263" s="345">
        <v>6</v>
      </c>
      <c r="K263" s="347">
        <v>81.260000000000005</v>
      </c>
      <c r="L263" s="347">
        <v>80.709999999999994</v>
      </c>
      <c r="M263" s="347">
        <v>10.73</v>
      </c>
      <c r="N263" s="347">
        <v>84.22</v>
      </c>
      <c r="O263" s="348">
        <v>11102</v>
      </c>
      <c r="P263" s="345">
        <v>84.8</v>
      </c>
      <c r="Q263" s="345">
        <v>77.19</v>
      </c>
      <c r="R263" s="345">
        <v>47.44</v>
      </c>
      <c r="S263" s="345">
        <v>130.54</v>
      </c>
      <c r="T263" s="345">
        <v>1060</v>
      </c>
      <c r="U263" s="345">
        <v>97.82</v>
      </c>
      <c r="V263" s="345">
        <v>1600</v>
      </c>
      <c r="W263" s="345">
        <v>167.71</v>
      </c>
      <c r="X263" s="345">
        <v>56</v>
      </c>
      <c r="Y263" s="345">
        <v>0</v>
      </c>
      <c r="Z263" s="345">
        <v>39</v>
      </c>
      <c r="AA263" s="345">
        <v>2</v>
      </c>
      <c r="AB263" s="345">
        <v>26</v>
      </c>
      <c r="AC263" s="345">
        <v>0</v>
      </c>
      <c r="AD263" s="349">
        <v>12769</v>
      </c>
      <c r="AE263" s="349">
        <v>133</v>
      </c>
      <c r="AF263" s="349">
        <v>144</v>
      </c>
      <c r="AG263" s="349">
        <v>277</v>
      </c>
    </row>
    <row r="264" spans="1:33" x14ac:dyDescent="0.2">
      <c r="A264" s="344" t="s">
        <v>582</v>
      </c>
      <c r="B264" s="350" t="s">
        <v>583</v>
      </c>
      <c r="C264" s="346">
        <v>5909</v>
      </c>
      <c r="D264" s="346">
        <v>14</v>
      </c>
      <c r="E264" s="346">
        <v>743</v>
      </c>
      <c r="F264" s="346">
        <v>1492</v>
      </c>
      <c r="G264" s="346">
        <v>260</v>
      </c>
      <c r="H264" s="346">
        <v>8418</v>
      </c>
      <c r="I264" s="345">
        <v>8158</v>
      </c>
      <c r="J264" s="345">
        <v>11</v>
      </c>
      <c r="K264" s="347">
        <v>77.61</v>
      </c>
      <c r="L264" s="347">
        <v>75.34</v>
      </c>
      <c r="M264" s="347">
        <v>4.6900000000000004</v>
      </c>
      <c r="N264" s="347">
        <v>80.849999999999994</v>
      </c>
      <c r="O264" s="348">
        <v>4878</v>
      </c>
      <c r="P264" s="345">
        <v>93.51</v>
      </c>
      <c r="Q264" s="345">
        <v>79.34</v>
      </c>
      <c r="R264" s="345">
        <v>55.84</v>
      </c>
      <c r="S264" s="345">
        <v>148.85</v>
      </c>
      <c r="T264" s="345">
        <v>1799</v>
      </c>
      <c r="U264" s="345">
        <v>92.2</v>
      </c>
      <c r="V264" s="345">
        <v>493</v>
      </c>
      <c r="W264" s="345">
        <v>184.33</v>
      </c>
      <c r="X264" s="345">
        <v>129</v>
      </c>
      <c r="Y264" s="345">
        <v>6</v>
      </c>
      <c r="Z264" s="345">
        <v>4</v>
      </c>
      <c r="AA264" s="345">
        <v>38</v>
      </c>
      <c r="AB264" s="345">
        <v>3</v>
      </c>
      <c r="AC264" s="345">
        <v>8</v>
      </c>
      <c r="AD264" s="349">
        <v>5346</v>
      </c>
      <c r="AE264" s="349">
        <v>36</v>
      </c>
      <c r="AF264" s="349">
        <v>41</v>
      </c>
      <c r="AG264" s="349">
        <v>77</v>
      </c>
    </row>
    <row r="265" spans="1:33" x14ac:dyDescent="0.2">
      <c r="A265" s="344" t="s">
        <v>584</v>
      </c>
      <c r="B265" s="350" t="s">
        <v>585</v>
      </c>
      <c r="C265" s="346">
        <v>6753</v>
      </c>
      <c r="D265" s="346">
        <v>2</v>
      </c>
      <c r="E265" s="346">
        <v>110</v>
      </c>
      <c r="F265" s="346">
        <v>661</v>
      </c>
      <c r="G265" s="346">
        <v>675</v>
      </c>
      <c r="H265" s="346">
        <v>8201</v>
      </c>
      <c r="I265" s="345">
        <v>7526</v>
      </c>
      <c r="J265" s="345">
        <v>36</v>
      </c>
      <c r="K265" s="347">
        <v>105.15</v>
      </c>
      <c r="L265" s="347">
        <v>99.37</v>
      </c>
      <c r="M265" s="347">
        <v>4.8</v>
      </c>
      <c r="N265" s="347">
        <v>106.92</v>
      </c>
      <c r="O265" s="348">
        <v>6206</v>
      </c>
      <c r="P265" s="345">
        <v>89</v>
      </c>
      <c r="Q265" s="345">
        <v>88.67</v>
      </c>
      <c r="R265" s="345">
        <v>29.61</v>
      </c>
      <c r="S265" s="345">
        <v>118.18</v>
      </c>
      <c r="T265" s="345">
        <v>677</v>
      </c>
      <c r="U265" s="345">
        <v>132.82</v>
      </c>
      <c r="V265" s="345">
        <v>200</v>
      </c>
      <c r="W265" s="345">
        <v>162.57</v>
      </c>
      <c r="X265" s="345">
        <v>11</v>
      </c>
      <c r="Y265" s="345">
        <v>0</v>
      </c>
      <c r="Z265" s="345">
        <v>9</v>
      </c>
      <c r="AA265" s="345">
        <v>37</v>
      </c>
      <c r="AB265" s="345">
        <v>106</v>
      </c>
      <c r="AC265" s="345">
        <v>23</v>
      </c>
      <c r="AD265" s="349">
        <v>6383</v>
      </c>
      <c r="AE265" s="349">
        <v>26</v>
      </c>
      <c r="AF265" s="349">
        <v>46</v>
      </c>
      <c r="AG265" s="349">
        <v>72</v>
      </c>
    </row>
    <row r="266" spans="1:33" x14ac:dyDescent="0.2">
      <c r="A266" s="344" t="s">
        <v>586</v>
      </c>
      <c r="B266" s="350" t="s">
        <v>587</v>
      </c>
      <c r="C266" s="346">
        <v>1444</v>
      </c>
      <c r="D266" s="346">
        <v>0</v>
      </c>
      <c r="E266" s="346">
        <v>150</v>
      </c>
      <c r="F266" s="346">
        <v>146</v>
      </c>
      <c r="G266" s="346">
        <v>315</v>
      </c>
      <c r="H266" s="346">
        <v>2055</v>
      </c>
      <c r="I266" s="345">
        <v>1740</v>
      </c>
      <c r="J266" s="345">
        <v>0</v>
      </c>
      <c r="K266" s="347">
        <v>98.95</v>
      </c>
      <c r="L266" s="347">
        <v>90.03</v>
      </c>
      <c r="M266" s="347">
        <v>4.7699999999999996</v>
      </c>
      <c r="N266" s="347">
        <v>102.78</v>
      </c>
      <c r="O266" s="348">
        <v>1026</v>
      </c>
      <c r="P266" s="345">
        <v>104.37</v>
      </c>
      <c r="Q266" s="345">
        <v>77.45</v>
      </c>
      <c r="R266" s="345">
        <v>44.01</v>
      </c>
      <c r="S266" s="345">
        <v>143.93</v>
      </c>
      <c r="T266" s="345">
        <v>267</v>
      </c>
      <c r="U266" s="345">
        <v>118.91</v>
      </c>
      <c r="V266" s="345">
        <v>333</v>
      </c>
      <c r="W266" s="345">
        <v>0</v>
      </c>
      <c r="X266" s="345">
        <v>0</v>
      </c>
      <c r="Y266" s="345">
        <v>2</v>
      </c>
      <c r="Z266" s="345">
        <v>0</v>
      </c>
      <c r="AA266" s="345">
        <v>12</v>
      </c>
      <c r="AB266" s="345">
        <v>21</v>
      </c>
      <c r="AC266" s="345">
        <v>9</v>
      </c>
      <c r="AD266" s="349">
        <v>1372</v>
      </c>
      <c r="AE266" s="349">
        <v>13</v>
      </c>
      <c r="AF266" s="349">
        <v>1</v>
      </c>
      <c r="AG266" s="349">
        <v>14</v>
      </c>
    </row>
    <row r="267" spans="1:33" x14ac:dyDescent="0.2">
      <c r="A267" s="344" t="s">
        <v>588</v>
      </c>
      <c r="B267" s="350" t="s">
        <v>589</v>
      </c>
      <c r="C267" s="346">
        <v>31717</v>
      </c>
      <c r="D267" s="346">
        <v>38</v>
      </c>
      <c r="E267" s="346">
        <v>509</v>
      </c>
      <c r="F267" s="346">
        <v>2000</v>
      </c>
      <c r="G267" s="346">
        <v>275</v>
      </c>
      <c r="H267" s="346">
        <v>34539</v>
      </c>
      <c r="I267" s="345">
        <v>34264</v>
      </c>
      <c r="J267" s="345">
        <v>773</v>
      </c>
      <c r="K267" s="347">
        <v>79.61</v>
      </c>
      <c r="L267" s="347">
        <v>79.7</v>
      </c>
      <c r="M267" s="347">
        <v>6.95</v>
      </c>
      <c r="N267" s="347">
        <v>80.94</v>
      </c>
      <c r="O267" s="348">
        <v>29599</v>
      </c>
      <c r="P267" s="345">
        <v>84.08</v>
      </c>
      <c r="Q267" s="345">
        <v>77.77</v>
      </c>
      <c r="R267" s="345">
        <v>37.96</v>
      </c>
      <c r="S267" s="345">
        <v>120.42</v>
      </c>
      <c r="T267" s="345">
        <v>2024</v>
      </c>
      <c r="U267" s="345">
        <v>97.56</v>
      </c>
      <c r="V267" s="345">
        <v>1788</v>
      </c>
      <c r="W267" s="345">
        <v>167.7</v>
      </c>
      <c r="X267" s="345">
        <v>434</v>
      </c>
      <c r="Y267" s="345">
        <v>0</v>
      </c>
      <c r="Z267" s="345">
        <v>162</v>
      </c>
      <c r="AA267" s="345">
        <v>32</v>
      </c>
      <c r="AB267" s="345">
        <v>5</v>
      </c>
      <c r="AC267" s="345">
        <v>11</v>
      </c>
      <c r="AD267" s="349">
        <v>31415</v>
      </c>
      <c r="AE267" s="349">
        <v>362</v>
      </c>
      <c r="AF267" s="349">
        <v>66</v>
      </c>
      <c r="AG267" s="349">
        <v>428</v>
      </c>
    </row>
    <row r="268" spans="1:33" x14ac:dyDescent="0.2">
      <c r="A268" s="344" t="s">
        <v>590</v>
      </c>
      <c r="B268" s="350" t="s">
        <v>591</v>
      </c>
      <c r="C268" s="346">
        <v>3018</v>
      </c>
      <c r="D268" s="346">
        <v>1</v>
      </c>
      <c r="E268" s="346">
        <v>152</v>
      </c>
      <c r="F268" s="346">
        <v>307</v>
      </c>
      <c r="G268" s="346">
        <v>258</v>
      </c>
      <c r="H268" s="346">
        <v>3736</v>
      </c>
      <c r="I268" s="345">
        <v>3478</v>
      </c>
      <c r="J268" s="345">
        <v>176</v>
      </c>
      <c r="K268" s="347">
        <v>112.37</v>
      </c>
      <c r="L268" s="347">
        <v>109.21</v>
      </c>
      <c r="M268" s="347">
        <v>6.39</v>
      </c>
      <c r="N268" s="347">
        <v>115.74</v>
      </c>
      <c r="O268" s="348">
        <v>2981</v>
      </c>
      <c r="P268" s="345">
        <v>113.98</v>
      </c>
      <c r="Q268" s="345">
        <v>88.71</v>
      </c>
      <c r="R268" s="345">
        <v>34.07</v>
      </c>
      <c r="S268" s="345">
        <v>147.72999999999999</v>
      </c>
      <c r="T268" s="345">
        <v>429</v>
      </c>
      <c r="U268" s="345">
        <v>229.31</v>
      </c>
      <c r="V268" s="345">
        <v>35</v>
      </c>
      <c r="W268" s="345">
        <v>0</v>
      </c>
      <c r="X268" s="345">
        <v>0</v>
      </c>
      <c r="Y268" s="345">
        <v>0</v>
      </c>
      <c r="Z268" s="345">
        <v>0</v>
      </c>
      <c r="AA268" s="345">
        <v>0</v>
      </c>
      <c r="AB268" s="345">
        <v>12</v>
      </c>
      <c r="AC268" s="345">
        <v>14</v>
      </c>
      <c r="AD268" s="349">
        <v>3018</v>
      </c>
      <c r="AE268" s="349">
        <v>18</v>
      </c>
      <c r="AF268" s="349">
        <v>2</v>
      </c>
      <c r="AG268" s="349">
        <v>20</v>
      </c>
    </row>
    <row r="269" spans="1:33" x14ac:dyDescent="0.2">
      <c r="A269" s="344" t="s">
        <v>592</v>
      </c>
      <c r="B269" s="350" t="s">
        <v>593</v>
      </c>
      <c r="C269" s="346">
        <v>4614</v>
      </c>
      <c r="D269" s="346">
        <v>0</v>
      </c>
      <c r="E269" s="346">
        <v>396</v>
      </c>
      <c r="F269" s="346">
        <v>901</v>
      </c>
      <c r="G269" s="346">
        <v>671</v>
      </c>
      <c r="H269" s="346">
        <v>6582</v>
      </c>
      <c r="I269" s="345">
        <v>5911</v>
      </c>
      <c r="J269" s="345">
        <v>58</v>
      </c>
      <c r="K269" s="347">
        <v>117.93</v>
      </c>
      <c r="L269" s="347">
        <v>117.45</v>
      </c>
      <c r="M269" s="347">
        <v>7.71</v>
      </c>
      <c r="N269" s="347">
        <v>124.94</v>
      </c>
      <c r="O269" s="348">
        <v>4102</v>
      </c>
      <c r="P269" s="345">
        <v>112.65</v>
      </c>
      <c r="Q269" s="345">
        <v>104.43</v>
      </c>
      <c r="R269" s="345">
        <v>43.82</v>
      </c>
      <c r="S269" s="345">
        <v>151.97999999999999</v>
      </c>
      <c r="T269" s="345">
        <v>761</v>
      </c>
      <c r="U269" s="345">
        <v>178.84</v>
      </c>
      <c r="V269" s="345">
        <v>330</v>
      </c>
      <c r="W269" s="345">
        <v>216.98</v>
      </c>
      <c r="X269" s="345">
        <v>90</v>
      </c>
      <c r="Y269" s="345">
        <v>0</v>
      </c>
      <c r="Z269" s="345">
        <v>6</v>
      </c>
      <c r="AA269" s="345">
        <v>1</v>
      </c>
      <c r="AB269" s="345">
        <v>102</v>
      </c>
      <c r="AC269" s="345">
        <v>18</v>
      </c>
      <c r="AD269" s="349">
        <v>4452</v>
      </c>
      <c r="AE269" s="349">
        <v>13</v>
      </c>
      <c r="AF269" s="349">
        <v>14</v>
      </c>
      <c r="AG269" s="349">
        <v>27</v>
      </c>
    </row>
    <row r="270" spans="1:33" x14ac:dyDescent="0.2">
      <c r="A270" s="344" t="s">
        <v>594</v>
      </c>
      <c r="B270" s="350" t="s">
        <v>595</v>
      </c>
      <c r="C270" s="346">
        <v>7648</v>
      </c>
      <c r="D270" s="346">
        <v>0</v>
      </c>
      <c r="E270" s="346">
        <v>287</v>
      </c>
      <c r="F270" s="346">
        <v>438</v>
      </c>
      <c r="G270" s="346">
        <v>617</v>
      </c>
      <c r="H270" s="346">
        <v>8990</v>
      </c>
      <c r="I270" s="345">
        <v>8373</v>
      </c>
      <c r="J270" s="345">
        <v>4</v>
      </c>
      <c r="K270" s="347">
        <v>98.39</v>
      </c>
      <c r="L270" s="347">
        <v>97.7</v>
      </c>
      <c r="M270" s="347">
        <v>5.52</v>
      </c>
      <c r="N270" s="347">
        <v>100.92</v>
      </c>
      <c r="O270" s="348">
        <v>6523</v>
      </c>
      <c r="P270" s="345">
        <v>88.2</v>
      </c>
      <c r="Q270" s="345">
        <v>82.82</v>
      </c>
      <c r="R270" s="345">
        <v>47.49</v>
      </c>
      <c r="S270" s="345">
        <v>135.55000000000001</v>
      </c>
      <c r="T270" s="345">
        <v>655</v>
      </c>
      <c r="U270" s="345">
        <v>127.23</v>
      </c>
      <c r="V270" s="345">
        <v>1014</v>
      </c>
      <c r="W270" s="345">
        <v>0</v>
      </c>
      <c r="X270" s="345">
        <v>0</v>
      </c>
      <c r="Y270" s="345">
        <v>0</v>
      </c>
      <c r="Z270" s="345">
        <v>6</v>
      </c>
      <c r="AA270" s="345">
        <v>9</v>
      </c>
      <c r="AB270" s="345">
        <v>61</v>
      </c>
      <c r="AC270" s="345">
        <v>14</v>
      </c>
      <c r="AD270" s="349">
        <v>7559</v>
      </c>
      <c r="AE270" s="349">
        <v>20</v>
      </c>
      <c r="AF270" s="349">
        <v>19</v>
      </c>
      <c r="AG270" s="349">
        <v>39</v>
      </c>
    </row>
    <row r="271" spans="1:33" x14ac:dyDescent="0.2">
      <c r="A271" s="344" t="s">
        <v>596</v>
      </c>
      <c r="B271" s="350" t="s">
        <v>597</v>
      </c>
      <c r="C271" s="346">
        <v>3912</v>
      </c>
      <c r="D271" s="346">
        <v>12</v>
      </c>
      <c r="E271" s="346">
        <v>509</v>
      </c>
      <c r="F271" s="346">
        <v>804</v>
      </c>
      <c r="G271" s="346">
        <v>991</v>
      </c>
      <c r="H271" s="346">
        <v>6228</v>
      </c>
      <c r="I271" s="345">
        <v>5237</v>
      </c>
      <c r="J271" s="345">
        <v>0</v>
      </c>
      <c r="K271" s="347">
        <v>96.92</v>
      </c>
      <c r="L271" s="347">
        <v>93.41</v>
      </c>
      <c r="M271" s="347">
        <v>7.84</v>
      </c>
      <c r="N271" s="347">
        <v>103.07</v>
      </c>
      <c r="O271" s="348">
        <v>3151</v>
      </c>
      <c r="P271" s="345">
        <v>83.83</v>
      </c>
      <c r="Q271" s="345">
        <v>80.5</v>
      </c>
      <c r="R271" s="345">
        <v>45.98</v>
      </c>
      <c r="S271" s="345">
        <v>128.06</v>
      </c>
      <c r="T271" s="345">
        <v>1185</v>
      </c>
      <c r="U271" s="345">
        <v>127.3</v>
      </c>
      <c r="V271" s="345">
        <v>516</v>
      </c>
      <c r="W271" s="345">
        <v>169.77</v>
      </c>
      <c r="X271" s="345">
        <v>79</v>
      </c>
      <c r="Y271" s="345">
        <v>25</v>
      </c>
      <c r="Z271" s="345">
        <v>2</v>
      </c>
      <c r="AA271" s="345">
        <v>2</v>
      </c>
      <c r="AB271" s="345">
        <v>57</v>
      </c>
      <c r="AC271" s="345">
        <v>32</v>
      </c>
      <c r="AD271" s="349">
        <v>3795</v>
      </c>
      <c r="AE271" s="349">
        <v>22</v>
      </c>
      <c r="AF271" s="349">
        <v>8</v>
      </c>
      <c r="AG271" s="349">
        <v>30</v>
      </c>
    </row>
    <row r="272" spans="1:33" x14ac:dyDescent="0.2">
      <c r="A272" s="344" t="s">
        <v>598</v>
      </c>
      <c r="B272" s="350" t="s">
        <v>599</v>
      </c>
      <c r="C272" s="346">
        <v>20123</v>
      </c>
      <c r="D272" s="346">
        <v>0</v>
      </c>
      <c r="E272" s="346">
        <v>551</v>
      </c>
      <c r="F272" s="346">
        <v>1576</v>
      </c>
      <c r="G272" s="346">
        <v>174</v>
      </c>
      <c r="H272" s="346">
        <v>22424</v>
      </c>
      <c r="I272" s="345">
        <v>22250</v>
      </c>
      <c r="J272" s="345">
        <v>24</v>
      </c>
      <c r="K272" s="347">
        <v>82.34</v>
      </c>
      <c r="L272" s="347">
        <v>79.47</v>
      </c>
      <c r="M272" s="347">
        <v>3.49</v>
      </c>
      <c r="N272" s="347">
        <v>85.51</v>
      </c>
      <c r="O272" s="348">
        <v>16968</v>
      </c>
      <c r="P272" s="345">
        <v>81.680000000000007</v>
      </c>
      <c r="Q272" s="345">
        <v>72.58</v>
      </c>
      <c r="R272" s="345">
        <v>33.76</v>
      </c>
      <c r="S272" s="345">
        <v>112.7</v>
      </c>
      <c r="T272" s="345">
        <v>1970</v>
      </c>
      <c r="U272" s="345">
        <v>104.02</v>
      </c>
      <c r="V272" s="345">
        <v>2088</v>
      </c>
      <c r="W272" s="345">
        <v>107.7</v>
      </c>
      <c r="X272" s="345">
        <v>22</v>
      </c>
      <c r="Y272" s="345">
        <v>76</v>
      </c>
      <c r="Z272" s="345">
        <v>49</v>
      </c>
      <c r="AA272" s="345">
        <v>11</v>
      </c>
      <c r="AB272" s="345">
        <v>0</v>
      </c>
      <c r="AC272" s="345">
        <v>6</v>
      </c>
      <c r="AD272" s="349">
        <v>19084</v>
      </c>
      <c r="AE272" s="349">
        <v>60</v>
      </c>
      <c r="AF272" s="349">
        <v>67</v>
      </c>
      <c r="AG272" s="349">
        <v>127</v>
      </c>
    </row>
    <row r="273" spans="1:33" x14ac:dyDescent="0.2">
      <c r="A273" s="344" t="s">
        <v>600</v>
      </c>
      <c r="B273" s="350" t="s">
        <v>601</v>
      </c>
      <c r="C273" s="346">
        <v>1470</v>
      </c>
      <c r="D273" s="346">
        <v>0</v>
      </c>
      <c r="E273" s="346">
        <v>126</v>
      </c>
      <c r="F273" s="346">
        <v>109</v>
      </c>
      <c r="G273" s="346">
        <v>142</v>
      </c>
      <c r="H273" s="346">
        <v>1847</v>
      </c>
      <c r="I273" s="345">
        <v>1705</v>
      </c>
      <c r="J273" s="345">
        <v>0</v>
      </c>
      <c r="K273" s="347">
        <v>89.83</v>
      </c>
      <c r="L273" s="347">
        <v>81.81</v>
      </c>
      <c r="M273" s="347">
        <v>5.45</v>
      </c>
      <c r="N273" s="347">
        <v>94.23</v>
      </c>
      <c r="O273" s="348">
        <v>1232</v>
      </c>
      <c r="P273" s="345">
        <v>83.21</v>
      </c>
      <c r="Q273" s="345">
        <v>78.099999999999994</v>
      </c>
      <c r="R273" s="345">
        <v>30.04</v>
      </c>
      <c r="S273" s="345">
        <v>112.65</v>
      </c>
      <c r="T273" s="345">
        <v>201</v>
      </c>
      <c r="U273" s="345">
        <v>107.8</v>
      </c>
      <c r="V273" s="345">
        <v>222</v>
      </c>
      <c r="W273" s="345">
        <v>0</v>
      </c>
      <c r="X273" s="345">
        <v>0</v>
      </c>
      <c r="Y273" s="345">
        <v>0</v>
      </c>
      <c r="Z273" s="345">
        <v>0</v>
      </c>
      <c r="AA273" s="345">
        <v>0</v>
      </c>
      <c r="AB273" s="345">
        <v>29</v>
      </c>
      <c r="AC273" s="345">
        <v>8</v>
      </c>
      <c r="AD273" s="349">
        <v>1470</v>
      </c>
      <c r="AE273" s="349">
        <v>18</v>
      </c>
      <c r="AF273" s="349">
        <v>2</v>
      </c>
      <c r="AG273" s="349">
        <v>20</v>
      </c>
    </row>
    <row r="274" spans="1:33" x14ac:dyDescent="0.2">
      <c r="A274" s="344" t="s">
        <v>602</v>
      </c>
      <c r="B274" s="350" t="s">
        <v>603</v>
      </c>
      <c r="C274" s="346">
        <v>1063</v>
      </c>
      <c r="D274" s="346">
        <v>0</v>
      </c>
      <c r="E274" s="346">
        <v>116</v>
      </c>
      <c r="F274" s="346">
        <v>103</v>
      </c>
      <c r="G274" s="346">
        <v>234</v>
      </c>
      <c r="H274" s="346">
        <v>1516</v>
      </c>
      <c r="I274" s="345">
        <v>1282</v>
      </c>
      <c r="J274" s="345">
        <v>0</v>
      </c>
      <c r="K274" s="347">
        <v>124.49</v>
      </c>
      <c r="L274" s="347">
        <v>122.71</v>
      </c>
      <c r="M274" s="347">
        <v>7.48</v>
      </c>
      <c r="N274" s="347">
        <v>131.59</v>
      </c>
      <c r="O274" s="348">
        <v>685</v>
      </c>
      <c r="P274" s="345">
        <v>132.94999999999999</v>
      </c>
      <c r="Q274" s="345">
        <v>111.06</v>
      </c>
      <c r="R274" s="345">
        <v>54.55</v>
      </c>
      <c r="S274" s="345">
        <v>187.5</v>
      </c>
      <c r="T274" s="345">
        <v>87</v>
      </c>
      <c r="U274" s="345">
        <v>176.86</v>
      </c>
      <c r="V274" s="345">
        <v>299</v>
      </c>
      <c r="W274" s="345">
        <v>132.13</v>
      </c>
      <c r="X274" s="345">
        <v>7</v>
      </c>
      <c r="Y274" s="345">
        <v>0</v>
      </c>
      <c r="Z274" s="345">
        <v>0</v>
      </c>
      <c r="AA274" s="345">
        <v>0</v>
      </c>
      <c r="AB274" s="345">
        <v>23</v>
      </c>
      <c r="AC274" s="345">
        <v>1</v>
      </c>
      <c r="AD274" s="349">
        <v>1040</v>
      </c>
      <c r="AE274" s="349">
        <v>2</v>
      </c>
      <c r="AF274" s="349">
        <v>0</v>
      </c>
      <c r="AG274" s="349">
        <v>2</v>
      </c>
    </row>
    <row r="275" spans="1:33" x14ac:dyDescent="0.2">
      <c r="A275" s="344" t="s">
        <v>604</v>
      </c>
      <c r="B275" s="350" t="s">
        <v>605</v>
      </c>
      <c r="C275" s="346">
        <v>4116</v>
      </c>
      <c r="D275" s="346">
        <v>0</v>
      </c>
      <c r="E275" s="346">
        <v>184</v>
      </c>
      <c r="F275" s="346">
        <v>1400</v>
      </c>
      <c r="G275" s="346">
        <v>627</v>
      </c>
      <c r="H275" s="346">
        <v>6327</v>
      </c>
      <c r="I275" s="345">
        <v>5700</v>
      </c>
      <c r="J275" s="345">
        <v>1</v>
      </c>
      <c r="K275" s="347">
        <v>86.78</v>
      </c>
      <c r="L275" s="347">
        <v>86.01</v>
      </c>
      <c r="M275" s="347">
        <v>3.89</v>
      </c>
      <c r="N275" s="347">
        <v>90.5</v>
      </c>
      <c r="O275" s="348">
        <v>3403</v>
      </c>
      <c r="P275" s="345">
        <v>83.81</v>
      </c>
      <c r="Q275" s="345">
        <v>79.92</v>
      </c>
      <c r="R275" s="345">
        <v>18.5</v>
      </c>
      <c r="S275" s="345">
        <v>101.79</v>
      </c>
      <c r="T275" s="345">
        <v>1283</v>
      </c>
      <c r="U275" s="345">
        <v>126.8</v>
      </c>
      <c r="V275" s="345">
        <v>632</v>
      </c>
      <c r="W275" s="345">
        <v>96.97</v>
      </c>
      <c r="X275" s="345">
        <v>11</v>
      </c>
      <c r="Y275" s="345">
        <v>0</v>
      </c>
      <c r="Z275" s="345">
        <v>12</v>
      </c>
      <c r="AA275" s="345">
        <v>22</v>
      </c>
      <c r="AB275" s="345">
        <v>14</v>
      </c>
      <c r="AC275" s="345">
        <v>12</v>
      </c>
      <c r="AD275" s="349">
        <v>4089</v>
      </c>
      <c r="AE275" s="349">
        <v>6</v>
      </c>
      <c r="AF275" s="349">
        <v>22</v>
      </c>
      <c r="AG275" s="349">
        <v>28</v>
      </c>
    </row>
    <row r="276" spans="1:33" x14ac:dyDescent="0.2">
      <c r="A276" s="344" t="s">
        <v>606</v>
      </c>
      <c r="B276" s="350" t="s">
        <v>607</v>
      </c>
      <c r="C276" s="346">
        <v>11251</v>
      </c>
      <c r="D276" s="346">
        <v>0</v>
      </c>
      <c r="E276" s="346">
        <v>340</v>
      </c>
      <c r="F276" s="346">
        <v>1853</v>
      </c>
      <c r="G276" s="346">
        <v>432</v>
      </c>
      <c r="H276" s="346">
        <v>13876</v>
      </c>
      <c r="I276" s="345">
        <v>13444</v>
      </c>
      <c r="J276" s="345">
        <v>19</v>
      </c>
      <c r="K276" s="347">
        <v>89.67</v>
      </c>
      <c r="L276" s="347">
        <v>86.78</v>
      </c>
      <c r="M276" s="347">
        <v>6.01</v>
      </c>
      <c r="N276" s="347">
        <v>91.99</v>
      </c>
      <c r="O276" s="348">
        <v>10070</v>
      </c>
      <c r="P276" s="345">
        <v>88.54</v>
      </c>
      <c r="Q276" s="345">
        <v>85.46</v>
      </c>
      <c r="R276" s="345">
        <v>37.26</v>
      </c>
      <c r="S276" s="345">
        <v>125.44</v>
      </c>
      <c r="T276" s="345">
        <v>1897</v>
      </c>
      <c r="U276" s="345">
        <v>111.5</v>
      </c>
      <c r="V276" s="345">
        <v>904</v>
      </c>
      <c r="W276" s="345">
        <v>179.38</v>
      </c>
      <c r="X276" s="345">
        <v>210</v>
      </c>
      <c r="Y276" s="345">
        <v>14</v>
      </c>
      <c r="Z276" s="345">
        <v>49</v>
      </c>
      <c r="AA276" s="345">
        <v>210</v>
      </c>
      <c r="AB276" s="345">
        <v>20</v>
      </c>
      <c r="AC276" s="345">
        <v>3</v>
      </c>
      <c r="AD276" s="349">
        <v>11211</v>
      </c>
      <c r="AE276" s="349">
        <v>43</v>
      </c>
      <c r="AF276" s="349">
        <v>165</v>
      </c>
      <c r="AG276" s="349">
        <v>208</v>
      </c>
    </row>
    <row r="277" spans="1:33" x14ac:dyDescent="0.2">
      <c r="A277" s="344" t="s">
        <v>608</v>
      </c>
      <c r="B277" s="350" t="s">
        <v>609</v>
      </c>
      <c r="C277" s="346">
        <v>1935</v>
      </c>
      <c r="D277" s="346">
        <v>0</v>
      </c>
      <c r="E277" s="346">
        <v>242</v>
      </c>
      <c r="F277" s="346">
        <v>681</v>
      </c>
      <c r="G277" s="346">
        <v>82</v>
      </c>
      <c r="H277" s="346">
        <v>2940</v>
      </c>
      <c r="I277" s="345">
        <v>2858</v>
      </c>
      <c r="J277" s="345">
        <v>0</v>
      </c>
      <c r="K277" s="347">
        <v>99.76</v>
      </c>
      <c r="L277" s="347">
        <v>98.11</v>
      </c>
      <c r="M277" s="347">
        <v>4.6900000000000004</v>
      </c>
      <c r="N277" s="347">
        <v>103.55</v>
      </c>
      <c r="O277" s="348">
        <v>1688</v>
      </c>
      <c r="P277" s="345">
        <v>89.58</v>
      </c>
      <c r="Q277" s="345">
        <v>82.47</v>
      </c>
      <c r="R277" s="345">
        <v>35.14</v>
      </c>
      <c r="S277" s="345">
        <v>124.12</v>
      </c>
      <c r="T277" s="345">
        <v>761</v>
      </c>
      <c r="U277" s="345">
        <v>123.38</v>
      </c>
      <c r="V277" s="345">
        <v>186</v>
      </c>
      <c r="W277" s="345">
        <v>247.49</v>
      </c>
      <c r="X277" s="345">
        <v>130</v>
      </c>
      <c r="Y277" s="345">
        <v>0</v>
      </c>
      <c r="Z277" s="345">
        <v>0</v>
      </c>
      <c r="AA277" s="345">
        <v>1</v>
      </c>
      <c r="AB277" s="345">
        <v>4</v>
      </c>
      <c r="AC277" s="345">
        <v>2</v>
      </c>
      <c r="AD277" s="349">
        <v>1923</v>
      </c>
      <c r="AE277" s="349">
        <v>11</v>
      </c>
      <c r="AF277" s="349">
        <v>7</v>
      </c>
      <c r="AG277" s="349">
        <v>18</v>
      </c>
    </row>
    <row r="278" spans="1:33" x14ac:dyDescent="0.2">
      <c r="A278" s="344" t="s">
        <v>610</v>
      </c>
      <c r="B278" s="350" t="s">
        <v>611</v>
      </c>
      <c r="C278" s="346">
        <v>7142</v>
      </c>
      <c r="D278" s="346">
        <v>0</v>
      </c>
      <c r="E278" s="346">
        <v>336</v>
      </c>
      <c r="F278" s="346">
        <v>364</v>
      </c>
      <c r="G278" s="346">
        <v>727</v>
      </c>
      <c r="H278" s="346">
        <v>8569</v>
      </c>
      <c r="I278" s="345">
        <v>7842</v>
      </c>
      <c r="J278" s="345">
        <v>0</v>
      </c>
      <c r="K278" s="347">
        <v>107.5</v>
      </c>
      <c r="L278" s="347">
        <v>106.74</v>
      </c>
      <c r="M278" s="347">
        <v>2.98</v>
      </c>
      <c r="N278" s="347">
        <v>110.1</v>
      </c>
      <c r="O278" s="348">
        <v>6233</v>
      </c>
      <c r="P278" s="345">
        <v>94.66</v>
      </c>
      <c r="Q278" s="345">
        <v>99.48</v>
      </c>
      <c r="R278" s="345">
        <v>34.96</v>
      </c>
      <c r="S278" s="345">
        <v>128.13999999999999</v>
      </c>
      <c r="T278" s="345">
        <v>568</v>
      </c>
      <c r="U278" s="345">
        <v>141.35</v>
      </c>
      <c r="V278" s="345">
        <v>652</v>
      </c>
      <c r="W278" s="345">
        <v>137.44</v>
      </c>
      <c r="X278" s="345">
        <v>1</v>
      </c>
      <c r="Y278" s="345">
        <v>49</v>
      </c>
      <c r="Z278" s="345">
        <v>12</v>
      </c>
      <c r="AA278" s="345">
        <v>12</v>
      </c>
      <c r="AB278" s="345">
        <v>63</v>
      </c>
      <c r="AC278" s="345">
        <v>19</v>
      </c>
      <c r="AD278" s="349">
        <v>6970</v>
      </c>
      <c r="AE278" s="349">
        <v>30</v>
      </c>
      <c r="AF278" s="349">
        <v>19</v>
      </c>
      <c r="AG278" s="349">
        <v>49</v>
      </c>
    </row>
    <row r="279" spans="1:33" x14ac:dyDescent="0.2">
      <c r="A279" s="344" t="s">
        <v>612</v>
      </c>
      <c r="B279" s="350" t="s">
        <v>613</v>
      </c>
      <c r="C279" s="346">
        <v>4354</v>
      </c>
      <c r="D279" s="346">
        <v>0</v>
      </c>
      <c r="E279" s="346">
        <v>81</v>
      </c>
      <c r="F279" s="346">
        <v>559</v>
      </c>
      <c r="G279" s="346">
        <v>618</v>
      </c>
      <c r="H279" s="346">
        <v>5612</v>
      </c>
      <c r="I279" s="345">
        <v>4994</v>
      </c>
      <c r="J279" s="345">
        <v>0</v>
      </c>
      <c r="K279" s="347">
        <v>95.74</v>
      </c>
      <c r="L279" s="347">
        <v>92.06</v>
      </c>
      <c r="M279" s="347">
        <v>4.26</v>
      </c>
      <c r="N279" s="347">
        <v>98.07</v>
      </c>
      <c r="O279" s="348">
        <v>3837</v>
      </c>
      <c r="P279" s="345">
        <v>88.41</v>
      </c>
      <c r="Q279" s="345">
        <v>83.72</v>
      </c>
      <c r="R279" s="345">
        <v>36.89</v>
      </c>
      <c r="S279" s="345">
        <v>125.3</v>
      </c>
      <c r="T279" s="345">
        <v>631</v>
      </c>
      <c r="U279" s="345">
        <v>132.19</v>
      </c>
      <c r="V279" s="345">
        <v>508</v>
      </c>
      <c r="W279" s="345">
        <v>151.97999999999999</v>
      </c>
      <c r="X279" s="345">
        <v>4</v>
      </c>
      <c r="Y279" s="345">
        <v>0</v>
      </c>
      <c r="Z279" s="345">
        <v>10</v>
      </c>
      <c r="AA279" s="345">
        <v>6</v>
      </c>
      <c r="AB279" s="345">
        <v>53</v>
      </c>
      <c r="AC279" s="345">
        <v>15</v>
      </c>
      <c r="AD279" s="349">
        <v>4348</v>
      </c>
      <c r="AE279" s="349">
        <v>37</v>
      </c>
      <c r="AF279" s="349">
        <v>1</v>
      </c>
      <c r="AG279" s="349">
        <v>38</v>
      </c>
    </row>
    <row r="280" spans="1:33" x14ac:dyDescent="0.2">
      <c r="A280" s="344" t="s">
        <v>614</v>
      </c>
      <c r="B280" s="350" t="s">
        <v>615</v>
      </c>
      <c r="C280" s="346">
        <v>3968</v>
      </c>
      <c r="D280" s="346">
        <v>0</v>
      </c>
      <c r="E280" s="346">
        <v>157</v>
      </c>
      <c r="F280" s="346">
        <v>656</v>
      </c>
      <c r="G280" s="346">
        <v>125</v>
      </c>
      <c r="H280" s="346">
        <v>4906</v>
      </c>
      <c r="I280" s="345">
        <v>4781</v>
      </c>
      <c r="J280" s="345">
        <v>22</v>
      </c>
      <c r="K280" s="347">
        <v>92.22</v>
      </c>
      <c r="L280" s="347">
        <v>88.71</v>
      </c>
      <c r="M280" s="347">
        <v>7.41</v>
      </c>
      <c r="N280" s="347">
        <v>97.64</v>
      </c>
      <c r="O280" s="348">
        <v>3656</v>
      </c>
      <c r="P280" s="345">
        <v>94.17</v>
      </c>
      <c r="Q280" s="345">
        <v>79.930000000000007</v>
      </c>
      <c r="R280" s="345">
        <v>32.56</v>
      </c>
      <c r="S280" s="345">
        <v>126.48</v>
      </c>
      <c r="T280" s="345">
        <v>783</v>
      </c>
      <c r="U280" s="345">
        <v>116.81</v>
      </c>
      <c r="V280" s="345">
        <v>282</v>
      </c>
      <c r="W280" s="345">
        <v>0</v>
      </c>
      <c r="X280" s="345">
        <v>0</v>
      </c>
      <c r="Y280" s="345">
        <v>386</v>
      </c>
      <c r="Z280" s="345">
        <v>2</v>
      </c>
      <c r="AA280" s="345">
        <v>40</v>
      </c>
      <c r="AB280" s="345">
        <v>15</v>
      </c>
      <c r="AC280" s="345">
        <v>3</v>
      </c>
      <c r="AD280" s="349">
        <v>3968</v>
      </c>
      <c r="AE280" s="349">
        <v>20</v>
      </c>
      <c r="AF280" s="349">
        <v>27</v>
      </c>
      <c r="AG280" s="349">
        <v>47</v>
      </c>
    </row>
    <row r="281" spans="1:33" x14ac:dyDescent="0.2">
      <c r="A281" s="344" t="s">
        <v>616</v>
      </c>
      <c r="B281" s="350" t="s">
        <v>617</v>
      </c>
      <c r="C281" s="346">
        <v>4681</v>
      </c>
      <c r="D281" s="346">
        <v>46</v>
      </c>
      <c r="E281" s="346">
        <v>74</v>
      </c>
      <c r="F281" s="346">
        <v>871</v>
      </c>
      <c r="G281" s="346">
        <v>200</v>
      </c>
      <c r="H281" s="346">
        <v>5872</v>
      </c>
      <c r="I281" s="345">
        <v>5672</v>
      </c>
      <c r="J281" s="345">
        <v>45</v>
      </c>
      <c r="K281" s="347">
        <v>113.38</v>
      </c>
      <c r="L281" s="347">
        <v>112.5</v>
      </c>
      <c r="M281" s="347">
        <v>6.59</v>
      </c>
      <c r="N281" s="347">
        <v>116.32</v>
      </c>
      <c r="O281" s="348">
        <v>4419</v>
      </c>
      <c r="P281" s="345">
        <v>102.67</v>
      </c>
      <c r="Q281" s="345">
        <v>99.05</v>
      </c>
      <c r="R281" s="345">
        <v>31.39</v>
      </c>
      <c r="S281" s="345">
        <v>113.67</v>
      </c>
      <c r="T281" s="345">
        <v>919</v>
      </c>
      <c r="U281" s="345">
        <v>163.57</v>
      </c>
      <c r="V281" s="345">
        <v>178</v>
      </c>
      <c r="W281" s="345">
        <v>0</v>
      </c>
      <c r="X281" s="345">
        <v>0</v>
      </c>
      <c r="Y281" s="345">
        <v>96</v>
      </c>
      <c r="Z281" s="345">
        <v>12</v>
      </c>
      <c r="AA281" s="345">
        <v>0</v>
      </c>
      <c r="AB281" s="345">
        <v>6</v>
      </c>
      <c r="AC281" s="345">
        <v>7</v>
      </c>
      <c r="AD281" s="349">
        <v>4659</v>
      </c>
      <c r="AE281" s="349">
        <v>63</v>
      </c>
      <c r="AF281" s="349">
        <v>48</v>
      </c>
      <c r="AG281" s="349">
        <v>111</v>
      </c>
    </row>
    <row r="282" spans="1:33" x14ac:dyDescent="0.2">
      <c r="A282" s="344" t="s">
        <v>618</v>
      </c>
      <c r="B282" s="350" t="s">
        <v>619</v>
      </c>
      <c r="C282" s="346">
        <v>1828</v>
      </c>
      <c r="D282" s="346">
        <v>0</v>
      </c>
      <c r="E282" s="346">
        <v>82</v>
      </c>
      <c r="F282" s="346">
        <v>91</v>
      </c>
      <c r="G282" s="346">
        <v>343</v>
      </c>
      <c r="H282" s="346">
        <v>2344</v>
      </c>
      <c r="I282" s="345">
        <v>2001</v>
      </c>
      <c r="J282" s="345">
        <v>3</v>
      </c>
      <c r="K282" s="347">
        <v>107.2</v>
      </c>
      <c r="L282" s="347">
        <v>104.9</v>
      </c>
      <c r="M282" s="347">
        <v>7.76</v>
      </c>
      <c r="N282" s="347">
        <v>112.26</v>
      </c>
      <c r="O282" s="348">
        <v>1279</v>
      </c>
      <c r="P282" s="345">
        <v>108.39</v>
      </c>
      <c r="Q282" s="345">
        <v>104.7</v>
      </c>
      <c r="R282" s="345">
        <v>61.72</v>
      </c>
      <c r="S282" s="345">
        <v>162.44</v>
      </c>
      <c r="T282" s="345">
        <v>137</v>
      </c>
      <c r="U282" s="345">
        <v>156.51</v>
      </c>
      <c r="V282" s="345">
        <v>480</v>
      </c>
      <c r="W282" s="345">
        <v>0</v>
      </c>
      <c r="X282" s="345">
        <v>0</v>
      </c>
      <c r="Y282" s="345">
        <v>0</v>
      </c>
      <c r="Z282" s="345">
        <v>0</v>
      </c>
      <c r="AA282" s="345">
        <v>1</v>
      </c>
      <c r="AB282" s="345">
        <v>33</v>
      </c>
      <c r="AC282" s="345">
        <v>4</v>
      </c>
      <c r="AD282" s="349">
        <v>1811</v>
      </c>
      <c r="AE282" s="349">
        <v>13</v>
      </c>
      <c r="AF282" s="349">
        <v>13</v>
      </c>
      <c r="AG282" s="349">
        <v>26</v>
      </c>
    </row>
    <row r="283" spans="1:33" x14ac:dyDescent="0.2">
      <c r="A283" s="344" t="s">
        <v>620</v>
      </c>
      <c r="B283" s="350" t="s">
        <v>621</v>
      </c>
      <c r="C283" s="346">
        <v>7568</v>
      </c>
      <c r="D283" s="346">
        <v>50</v>
      </c>
      <c r="E283" s="346">
        <v>55</v>
      </c>
      <c r="F283" s="346">
        <v>522</v>
      </c>
      <c r="G283" s="346">
        <v>1033</v>
      </c>
      <c r="H283" s="346">
        <v>9228</v>
      </c>
      <c r="I283" s="345">
        <v>8195</v>
      </c>
      <c r="J283" s="345">
        <v>0</v>
      </c>
      <c r="K283" s="347">
        <v>114.81</v>
      </c>
      <c r="L283" s="347">
        <v>117.72</v>
      </c>
      <c r="M283" s="347">
        <v>7.16</v>
      </c>
      <c r="N283" s="347">
        <v>115.87</v>
      </c>
      <c r="O283" s="348">
        <v>6467</v>
      </c>
      <c r="P283" s="345">
        <v>97.46</v>
      </c>
      <c r="Q283" s="345">
        <v>97.74</v>
      </c>
      <c r="R283" s="345">
        <v>25</v>
      </c>
      <c r="S283" s="345">
        <v>118.62</v>
      </c>
      <c r="T283" s="345">
        <v>567</v>
      </c>
      <c r="U283" s="345">
        <v>142.05000000000001</v>
      </c>
      <c r="V283" s="345">
        <v>1062</v>
      </c>
      <c r="W283" s="345">
        <v>0</v>
      </c>
      <c r="X283" s="345">
        <v>0</v>
      </c>
      <c r="Y283" s="345">
        <v>0</v>
      </c>
      <c r="Z283" s="345">
        <v>7</v>
      </c>
      <c r="AA283" s="345">
        <v>1</v>
      </c>
      <c r="AB283" s="345">
        <v>65</v>
      </c>
      <c r="AC283" s="345">
        <v>17</v>
      </c>
      <c r="AD283" s="349">
        <v>7546</v>
      </c>
      <c r="AE283" s="349">
        <v>1</v>
      </c>
      <c r="AF283" s="349">
        <v>1</v>
      </c>
      <c r="AG283" s="349">
        <v>2</v>
      </c>
    </row>
    <row r="284" spans="1:33" x14ac:dyDescent="0.2">
      <c r="A284" s="344" t="s">
        <v>622</v>
      </c>
      <c r="B284" s="350" t="s">
        <v>623</v>
      </c>
      <c r="C284" s="346">
        <v>4179</v>
      </c>
      <c r="D284" s="346">
        <v>26</v>
      </c>
      <c r="E284" s="346">
        <v>297</v>
      </c>
      <c r="F284" s="346">
        <v>938</v>
      </c>
      <c r="G284" s="346">
        <v>522</v>
      </c>
      <c r="H284" s="346">
        <v>5962</v>
      </c>
      <c r="I284" s="345">
        <v>5440</v>
      </c>
      <c r="J284" s="345">
        <v>10</v>
      </c>
      <c r="K284" s="347">
        <v>89.55</v>
      </c>
      <c r="L284" s="347">
        <v>86.64</v>
      </c>
      <c r="M284" s="347">
        <v>8.6199999999999992</v>
      </c>
      <c r="N284" s="347">
        <v>96.84</v>
      </c>
      <c r="O284" s="348">
        <v>3760</v>
      </c>
      <c r="P284" s="345">
        <v>85.99</v>
      </c>
      <c r="Q284" s="345">
        <v>79.959999999999994</v>
      </c>
      <c r="R284" s="345">
        <v>45.14</v>
      </c>
      <c r="S284" s="345">
        <v>128.43</v>
      </c>
      <c r="T284" s="345">
        <v>953</v>
      </c>
      <c r="U284" s="345">
        <v>115.44</v>
      </c>
      <c r="V284" s="345">
        <v>419</v>
      </c>
      <c r="W284" s="345">
        <v>152.33000000000001</v>
      </c>
      <c r="X284" s="345">
        <v>4</v>
      </c>
      <c r="Y284" s="345">
        <v>0</v>
      </c>
      <c r="Z284" s="345">
        <v>10</v>
      </c>
      <c r="AA284" s="345">
        <v>0</v>
      </c>
      <c r="AB284" s="345">
        <v>16</v>
      </c>
      <c r="AC284" s="345">
        <v>12</v>
      </c>
      <c r="AD284" s="349">
        <v>4179</v>
      </c>
      <c r="AE284" s="349">
        <v>24</v>
      </c>
      <c r="AF284" s="349">
        <v>21</v>
      </c>
      <c r="AG284" s="349">
        <v>45</v>
      </c>
    </row>
    <row r="285" spans="1:33" x14ac:dyDescent="0.2">
      <c r="A285" s="344" t="s">
        <v>624</v>
      </c>
      <c r="B285" s="350" t="s">
        <v>625</v>
      </c>
      <c r="C285" s="346">
        <v>2342</v>
      </c>
      <c r="D285" s="346">
        <v>0</v>
      </c>
      <c r="E285" s="346">
        <v>45</v>
      </c>
      <c r="F285" s="346">
        <v>353</v>
      </c>
      <c r="G285" s="346">
        <v>188</v>
      </c>
      <c r="H285" s="346">
        <v>2928</v>
      </c>
      <c r="I285" s="345">
        <v>2740</v>
      </c>
      <c r="J285" s="345">
        <v>2</v>
      </c>
      <c r="K285" s="347">
        <v>83.85</v>
      </c>
      <c r="L285" s="347">
        <v>80.45</v>
      </c>
      <c r="M285" s="347">
        <v>4.62</v>
      </c>
      <c r="N285" s="347">
        <v>86.34</v>
      </c>
      <c r="O285" s="348">
        <v>2230</v>
      </c>
      <c r="P285" s="345">
        <v>81.09</v>
      </c>
      <c r="Q285" s="345">
        <v>65.760000000000005</v>
      </c>
      <c r="R285" s="345">
        <v>38.479999999999997</v>
      </c>
      <c r="S285" s="345">
        <v>109.15</v>
      </c>
      <c r="T285" s="345">
        <v>325</v>
      </c>
      <c r="U285" s="345">
        <v>107.57</v>
      </c>
      <c r="V285" s="345">
        <v>112</v>
      </c>
      <c r="W285" s="345">
        <v>146.43</v>
      </c>
      <c r="X285" s="345">
        <v>41</v>
      </c>
      <c r="Y285" s="345">
        <v>1</v>
      </c>
      <c r="Z285" s="345">
        <v>3</v>
      </c>
      <c r="AA285" s="345">
        <v>3</v>
      </c>
      <c r="AB285" s="345">
        <v>1</v>
      </c>
      <c r="AC285" s="345">
        <v>6</v>
      </c>
      <c r="AD285" s="349">
        <v>2330</v>
      </c>
      <c r="AE285" s="349">
        <v>2</v>
      </c>
      <c r="AF285" s="349">
        <v>8</v>
      </c>
      <c r="AG285" s="349">
        <v>10</v>
      </c>
    </row>
    <row r="286" spans="1:33" x14ac:dyDescent="0.2">
      <c r="A286" s="344" t="s">
        <v>626</v>
      </c>
      <c r="B286" s="350" t="s">
        <v>627</v>
      </c>
      <c r="C286" s="346">
        <v>29234</v>
      </c>
      <c r="D286" s="346">
        <v>103</v>
      </c>
      <c r="E286" s="346">
        <v>1516</v>
      </c>
      <c r="F286" s="346">
        <v>859</v>
      </c>
      <c r="G286" s="346">
        <v>2950</v>
      </c>
      <c r="H286" s="346">
        <v>34662</v>
      </c>
      <c r="I286" s="345">
        <v>31712</v>
      </c>
      <c r="J286" s="345">
        <v>43</v>
      </c>
      <c r="K286" s="347">
        <v>125.17</v>
      </c>
      <c r="L286" s="347">
        <v>130.97</v>
      </c>
      <c r="M286" s="347">
        <v>15.66</v>
      </c>
      <c r="N286" s="347">
        <v>137.88</v>
      </c>
      <c r="O286" s="348">
        <v>25516</v>
      </c>
      <c r="P286" s="345">
        <v>109.64</v>
      </c>
      <c r="Q286" s="345">
        <v>111.52</v>
      </c>
      <c r="R286" s="345">
        <v>72.14</v>
      </c>
      <c r="S286" s="345">
        <v>168.75</v>
      </c>
      <c r="T286" s="345">
        <v>1938</v>
      </c>
      <c r="U286" s="345">
        <v>204.97</v>
      </c>
      <c r="V286" s="345">
        <v>2051</v>
      </c>
      <c r="W286" s="345">
        <v>190.84</v>
      </c>
      <c r="X286" s="345">
        <v>119</v>
      </c>
      <c r="Y286" s="345">
        <v>89</v>
      </c>
      <c r="Z286" s="345">
        <v>52</v>
      </c>
      <c r="AA286" s="345">
        <v>50</v>
      </c>
      <c r="AB286" s="345">
        <v>114</v>
      </c>
      <c r="AC286" s="345">
        <v>82</v>
      </c>
      <c r="AD286" s="349">
        <v>27977</v>
      </c>
      <c r="AE286" s="349">
        <v>181</v>
      </c>
      <c r="AF286" s="349">
        <v>149</v>
      </c>
      <c r="AG286" s="349">
        <v>330</v>
      </c>
    </row>
    <row r="287" spans="1:33" x14ac:dyDescent="0.2">
      <c r="A287" s="344" t="s">
        <v>628</v>
      </c>
      <c r="B287" s="350" t="s">
        <v>629</v>
      </c>
      <c r="C287" s="346">
        <v>11758</v>
      </c>
      <c r="D287" s="346">
        <v>4</v>
      </c>
      <c r="E287" s="346">
        <v>481</v>
      </c>
      <c r="F287" s="346">
        <v>3340</v>
      </c>
      <c r="G287" s="346">
        <v>492</v>
      </c>
      <c r="H287" s="346">
        <v>16075</v>
      </c>
      <c r="I287" s="345">
        <v>15583</v>
      </c>
      <c r="J287" s="345">
        <v>11</v>
      </c>
      <c r="K287" s="347">
        <v>88</v>
      </c>
      <c r="L287" s="347">
        <v>88.84</v>
      </c>
      <c r="M287" s="347">
        <v>4.8499999999999996</v>
      </c>
      <c r="N287" s="347">
        <v>91.71</v>
      </c>
      <c r="O287" s="348">
        <v>9869</v>
      </c>
      <c r="P287" s="345">
        <v>89.02</v>
      </c>
      <c r="Q287" s="345">
        <v>86.47</v>
      </c>
      <c r="R287" s="345">
        <v>19.489999999999998</v>
      </c>
      <c r="S287" s="345">
        <v>108.49</v>
      </c>
      <c r="T287" s="345">
        <v>3621</v>
      </c>
      <c r="U287" s="345">
        <v>138.61000000000001</v>
      </c>
      <c r="V287" s="345">
        <v>1842</v>
      </c>
      <c r="W287" s="345">
        <v>137.47999999999999</v>
      </c>
      <c r="X287" s="345">
        <v>136</v>
      </c>
      <c r="Y287" s="345">
        <v>0</v>
      </c>
      <c r="Z287" s="345">
        <v>61</v>
      </c>
      <c r="AA287" s="345">
        <v>2</v>
      </c>
      <c r="AB287" s="345">
        <v>30</v>
      </c>
      <c r="AC287" s="345">
        <v>19</v>
      </c>
      <c r="AD287" s="349">
        <v>11757</v>
      </c>
      <c r="AE287" s="349">
        <v>47</v>
      </c>
      <c r="AF287" s="349">
        <v>56</v>
      </c>
      <c r="AG287" s="349">
        <v>103</v>
      </c>
    </row>
    <row r="288" spans="1:33" x14ac:dyDescent="0.2">
      <c r="A288" s="344" t="s">
        <v>630</v>
      </c>
      <c r="B288" s="350" t="s">
        <v>631</v>
      </c>
      <c r="C288" s="346">
        <v>6224</v>
      </c>
      <c r="D288" s="346">
        <v>0</v>
      </c>
      <c r="E288" s="346">
        <v>186</v>
      </c>
      <c r="F288" s="346">
        <v>827</v>
      </c>
      <c r="G288" s="346">
        <v>434</v>
      </c>
      <c r="H288" s="346">
        <v>7671</v>
      </c>
      <c r="I288" s="345">
        <v>7237</v>
      </c>
      <c r="J288" s="345">
        <v>6</v>
      </c>
      <c r="K288" s="347">
        <v>110.85</v>
      </c>
      <c r="L288" s="347">
        <v>106.05</v>
      </c>
      <c r="M288" s="347">
        <v>4.58</v>
      </c>
      <c r="N288" s="347">
        <v>114.57</v>
      </c>
      <c r="O288" s="348">
        <v>5525</v>
      </c>
      <c r="P288" s="345">
        <v>101.52</v>
      </c>
      <c r="Q288" s="345">
        <v>92.17</v>
      </c>
      <c r="R288" s="345">
        <v>28.16</v>
      </c>
      <c r="S288" s="345">
        <v>128.52000000000001</v>
      </c>
      <c r="T288" s="345">
        <v>703</v>
      </c>
      <c r="U288" s="345">
        <v>153.9</v>
      </c>
      <c r="V288" s="345">
        <v>541</v>
      </c>
      <c r="W288" s="345">
        <v>132.46</v>
      </c>
      <c r="X288" s="345">
        <v>114</v>
      </c>
      <c r="Y288" s="345">
        <v>0</v>
      </c>
      <c r="Z288" s="345">
        <v>1</v>
      </c>
      <c r="AA288" s="345">
        <v>10</v>
      </c>
      <c r="AB288" s="345">
        <v>43</v>
      </c>
      <c r="AC288" s="345">
        <v>10</v>
      </c>
      <c r="AD288" s="349">
        <v>6069</v>
      </c>
      <c r="AE288" s="349">
        <v>17</v>
      </c>
      <c r="AF288" s="349">
        <v>17</v>
      </c>
      <c r="AG288" s="349">
        <v>34</v>
      </c>
    </row>
    <row r="289" spans="1:33" x14ac:dyDescent="0.2">
      <c r="A289" s="344" t="s">
        <v>632</v>
      </c>
      <c r="B289" s="350" t="s">
        <v>633</v>
      </c>
      <c r="C289" s="346">
        <v>1528</v>
      </c>
      <c r="D289" s="346">
        <v>12</v>
      </c>
      <c r="E289" s="346">
        <v>69</v>
      </c>
      <c r="F289" s="346">
        <v>187</v>
      </c>
      <c r="G289" s="346">
        <v>436</v>
      </c>
      <c r="H289" s="346">
        <v>2232</v>
      </c>
      <c r="I289" s="345">
        <v>1796</v>
      </c>
      <c r="J289" s="345">
        <v>4</v>
      </c>
      <c r="K289" s="347">
        <v>108.69</v>
      </c>
      <c r="L289" s="347">
        <v>109.25</v>
      </c>
      <c r="M289" s="347">
        <v>6.12</v>
      </c>
      <c r="N289" s="347">
        <v>112.53</v>
      </c>
      <c r="O289" s="348">
        <v>998</v>
      </c>
      <c r="P289" s="345">
        <v>101.64</v>
      </c>
      <c r="Q289" s="345">
        <v>89.16</v>
      </c>
      <c r="R289" s="345">
        <v>57.41</v>
      </c>
      <c r="S289" s="345">
        <v>158.83000000000001</v>
      </c>
      <c r="T289" s="345">
        <v>254</v>
      </c>
      <c r="U289" s="345">
        <v>152.84</v>
      </c>
      <c r="V289" s="345">
        <v>514</v>
      </c>
      <c r="W289" s="345">
        <v>0</v>
      </c>
      <c r="X289" s="345">
        <v>0</v>
      </c>
      <c r="Y289" s="345">
        <v>6</v>
      </c>
      <c r="Z289" s="345">
        <v>0</v>
      </c>
      <c r="AA289" s="345">
        <v>18</v>
      </c>
      <c r="AB289" s="345">
        <v>61</v>
      </c>
      <c r="AC289" s="345">
        <v>5</v>
      </c>
      <c r="AD289" s="349">
        <v>1477</v>
      </c>
      <c r="AE289" s="349">
        <v>12</v>
      </c>
      <c r="AF289" s="349">
        <v>2</v>
      </c>
      <c r="AG289" s="349">
        <v>14</v>
      </c>
    </row>
    <row r="290" spans="1:33" x14ac:dyDescent="0.2">
      <c r="A290" s="344" t="s">
        <v>634</v>
      </c>
      <c r="B290" s="350" t="s">
        <v>635</v>
      </c>
      <c r="C290" s="346">
        <v>6717</v>
      </c>
      <c r="D290" s="346">
        <v>17</v>
      </c>
      <c r="E290" s="346">
        <v>206</v>
      </c>
      <c r="F290" s="346">
        <v>459</v>
      </c>
      <c r="G290" s="346">
        <v>654</v>
      </c>
      <c r="H290" s="346">
        <v>8053</v>
      </c>
      <c r="I290" s="345">
        <v>7399</v>
      </c>
      <c r="J290" s="345">
        <v>22</v>
      </c>
      <c r="K290" s="347">
        <v>107.72</v>
      </c>
      <c r="L290" s="347">
        <v>108.51</v>
      </c>
      <c r="M290" s="347">
        <v>6.15</v>
      </c>
      <c r="N290" s="347">
        <v>108.83</v>
      </c>
      <c r="O290" s="348">
        <v>5503</v>
      </c>
      <c r="P290" s="345">
        <v>102.21</v>
      </c>
      <c r="Q290" s="345">
        <v>98.52</v>
      </c>
      <c r="R290" s="345">
        <v>28.47</v>
      </c>
      <c r="S290" s="345">
        <v>126.88</v>
      </c>
      <c r="T290" s="345">
        <v>614</v>
      </c>
      <c r="U290" s="345">
        <v>163.62</v>
      </c>
      <c r="V290" s="345">
        <v>1171</v>
      </c>
      <c r="W290" s="345">
        <v>185.41</v>
      </c>
      <c r="X290" s="345">
        <v>26</v>
      </c>
      <c r="Y290" s="345">
        <v>0</v>
      </c>
      <c r="Z290" s="345">
        <v>20</v>
      </c>
      <c r="AA290" s="345">
        <v>3</v>
      </c>
      <c r="AB290" s="345">
        <v>77</v>
      </c>
      <c r="AC290" s="345">
        <v>21</v>
      </c>
      <c r="AD290" s="349">
        <v>6659</v>
      </c>
      <c r="AE290" s="349">
        <v>34</v>
      </c>
      <c r="AF290" s="349">
        <v>19</v>
      </c>
      <c r="AG290" s="349">
        <v>53</v>
      </c>
    </row>
    <row r="291" spans="1:33" x14ac:dyDescent="0.2">
      <c r="A291" s="344" t="s">
        <v>636</v>
      </c>
      <c r="B291" s="350" t="s">
        <v>637</v>
      </c>
      <c r="C291" s="346">
        <v>32461</v>
      </c>
      <c r="D291" s="346">
        <v>2</v>
      </c>
      <c r="E291" s="346">
        <v>2160</v>
      </c>
      <c r="F291" s="346">
        <v>630</v>
      </c>
      <c r="G291" s="346">
        <v>609</v>
      </c>
      <c r="H291" s="346">
        <v>35862</v>
      </c>
      <c r="I291" s="345">
        <v>35253</v>
      </c>
      <c r="J291" s="345">
        <v>1</v>
      </c>
      <c r="K291" s="347">
        <v>82.87</v>
      </c>
      <c r="L291" s="347">
        <v>83.27</v>
      </c>
      <c r="M291" s="347">
        <v>5.69</v>
      </c>
      <c r="N291" s="347">
        <v>83.6</v>
      </c>
      <c r="O291" s="348">
        <v>30026</v>
      </c>
      <c r="P291" s="345">
        <v>79.569999999999993</v>
      </c>
      <c r="Q291" s="345">
        <v>77.56</v>
      </c>
      <c r="R291" s="345">
        <v>36.409999999999997</v>
      </c>
      <c r="S291" s="345">
        <v>113.66</v>
      </c>
      <c r="T291" s="345">
        <v>2648</v>
      </c>
      <c r="U291" s="345">
        <v>97.45</v>
      </c>
      <c r="V291" s="345">
        <v>2050</v>
      </c>
      <c r="W291" s="345">
        <v>0</v>
      </c>
      <c r="X291" s="345">
        <v>0</v>
      </c>
      <c r="Y291" s="345">
        <v>0</v>
      </c>
      <c r="Z291" s="345">
        <v>168</v>
      </c>
      <c r="AA291" s="345">
        <v>9</v>
      </c>
      <c r="AB291" s="345">
        <v>95</v>
      </c>
      <c r="AC291" s="345">
        <v>19</v>
      </c>
      <c r="AD291" s="349">
        <v>32422</v>
      </c>
      <c r="AE291" s="349">
        <v>107</v>
      </c>
      <c r="AF291" s="349">
        <v>76</v>
      </c>
      <c r="AG291" s="349">
        <v>183</v>
      </c>
    </row>
    <row r="292" spans="1:33" x14ac:dyDescent="0.2">
      <c r="A292" s="344" t="s">
        <v>638</v>
      </c>
      <c r="B292" s="350" t="s">
        <v>639</v>
      </c>
      <c r="C292" s="346">
        <v>26814</v>
      </c>
      <c r="D292" s="346">
        <v>11</v>
      </c>
      <c r="E292" s="346">
        <v>398</v>
      </c>
      <c r="F292" s="346">
        <v>786</v>
      </c>
      <c r="G292" s="346">
        <v>490</v>
      </c>
      <c r="H292" s="346">
        <v>28499</v>
      </c>
      <c r="I292" s="345">
        <v>28009</v>
      </c>
      <c r="J292" s="345">
        <v>7</v>
      </c>
      <c r="K292" s="347">
        <v>85.65</v>
      </c>
      <c r="L292" s="347">
        <v>86.17</v>
      </c>
      <c r="M292" s="347">
        <v>8.81</v>
      </c>
      <c r="N292" s="347">
        <v>89.98</v>
      </c>
      <c r="O292" s="348">
        <v>24629</v>
      </c>
      <c r="P292" s="345">
        <v>108.59</v>
      </c>
      <c r="Q292" s="345">
        <v>101.58</v>
      </c>
      <c r="R292" s="345">
        <v>47.66</v>
      </c>
      <c r="S292" s="345">
        <v>152.22</v>
      </c>
      <c r="T292" s="345">
        <v>1039</v>
      </c>
      <c r="U292" s="345">
        <v>105.85</v>
      </c>
      <c r="V292" s="345">
        <v>1941</v>
      </c>
      <c r="W292" s="345">
        <v>137.57</v>
      </c>
      <c r="X292" s="345">
        <v>129</v>
      </c>
      <c r="Y292" s="345">
        <v>0</v>
      </c>
      <c r="Z292" s="345">
        <v>160</v>
      </c>
      <c r="AA292" s="345">
        <v>33</v>
      </c>
      <c r="AB292" s="345">
        <v>0</v>
      </c>
      <c r="AC292" s="345">
        <v>21</v>
      </c>
      <c r="AD292" s="349">
        <v>26757</v>
      </c>
      <c r="AE292" s="349">
        <v>140</v>
      </c>
      <c r="AF292" s="349">
        <v>11</v>
      </c>
      <c r="AG292" s="349">
        <v>151</v>
      </c>
    </row>
    <row r="293" spans="1:33" x14ac:dyDescent="0.2">
      <c r="A293" s="344" t="s">
        <v>640</v>
      </c>
      <c r="B293" s="350" t="s">
        <v>641</v>
      </c>
      <c r="C293" s="346">
        <v>10715</v>
      </c>
      <c r="D293" s="346">
        <v>9</v>
      </c>
      <c r="E293" s="346">
        <v>1005</v>
      </c>
      <c r="F293" s="346">
        <v>790</v>
      </c>
      <c r="G293" s="346">
        <v>1393</v>
      </c>
      <c r="H293" s="346">
        <v>13912</v>
      </c>
      <c r="I293" s="345">
        <v>12519</v>
      </c>
      <c r="J293" s="345">
        <v>19</v>
      </c>
      <c r="K293" s="347">
        <v>121.72</v>
      </c>
      <c r="L293" s="347">
        <v>115.82</v>
      </c>
      <c r="M293" s="347">
        <v>10.67</v>
      </c>
      <c r="N293" s="347">
        <v>126.66</v>
      </c>
      <c r="O293" s="348">
        <v>8881</v>
      </c>
      <c r="P293" s="345">
        <v>101.36</v>
      </c>
      <c r="Q293" s="345">
        <v>96.56</v>
      </c>
      <c r="R293" s="345">
        <v>38.78</v>
      </c>
      <c r="S293" s="345">
        <v>127.45</v>
      </c>
      <c r="T293" s="345">
        <v>1241</v>
      </c>
      <c r="U293" s="345">
        <v>176.52</v>
      </c>
      <c r="V293" s="345">
        <v>1403</v>
      </c>
      <c r="W293" s="345">
        <v>222.2</v>
      </c>
      <c r="X293" s="345">
        <v>10</v>
      </c>
      <c r="Y293" s="345">
        <v>0</v>
      </c>
      <c r="Z293" s="345">
        <v>13</v>
      </c>
      <c r="AA293" s="345">
        <v>16</v>
      </c>
      <c r="AB293" s="345">
        <v>77</v>
      </c>
      <c r="AC293" s="345">
        <v>22</v>
      </c>
      <c r="AD293" s="349">
        <v>10338</v>
      </c>
      <c r="AE293" s="349">
        <v>11</v>
      </c>
      <c r="AF293" s="349">
        <v>41</v>
      </c>
      <c r="AG293" s="349">
        <v>52</v>
      </c>
    </row>
    <row r="294" spans="1:33" x14ac:dyDescent="0.2">
      <c r="A294" s="344" t="s">
        <v>642</v>
      </c>
      <c r="B294" s="350" t="s">
        <v>643</v>
      </c>
      <c r="C294" s="346">
        <v>8591</v>
      </c>
      <c r="D294" s="346">
        <v>60</v>
      </c>
      <c r="E294" s="346">
        <v>1147</v>
      </c>
      <c r="F294" s="346">
        <v>1001</v>
      </c>
      <c r="G294" s="346">
        <v>2212</v>
      </c>
      <c r="H294" s="346">
        <v>13011</v>
      </c>
      <c r="I294" s="345">
        <v>10799</v>
      </c>
      <c r="J294" s="345">
        <v>404</v>
      </c>
      <c r="K294" s="347">
        <v>129.53</v>
      </c>
      <c r="L294" s="347">
        <v>125.98</v>
      </c>
      <c r="M294" s="347">
        <v>8.11</v>
      </c>
      <c r="N294" s="347">
        <v>133.91999999999999</v>
      </c>
      <c r="O294" s="348">
        <v>7573</v>
      </c>
      <c r="P294" s="345">
        <v>123.78</v>
      </c>
      <c r="Q294" s="345">
        <v>115.97</v>
      </c>
      <c r="R294" s="345">
        <v>48.82</v>
      </c>
      <c r="S294" s="345">
        <v>165.58</v>
      </c>
      <c r="T294" s="345">
        <v>2018</v>
      </c>
      <c r="U294" s="345">
        <v>202.98</v>
      </c>
      <c r="V294" s="345">
        <v>659</v>
      </c>
      <c r="W294" s="345">
        <v>178.12</v>
      </c>
      <c r="X294" s="345">
        <v>18</v>
      </c>
      <c r="Y294" s="345">
        <v>1</v>
      </c>
      <c r="Z294" s="345">
        <v>0</v>
      </c>
      <c r="AA294" s="345">
        <v>13</v>
      </c>
      <c r="AB294" s="345">
        <v>135</v>
      </c>
      <c r="AC294" s="345">
        <v>53</v>
      </c>
      <c r="AD294" s="349">
        <v>8302</v>
      </c>
      <c r="AE294" s="349">
        <v>16</v>
      </c>
      <c r="AF294" s="349">
        <v>37</v>
      </c>
      <c r="AG294" s="349">
        <v>53</v>
      </c>
    </row>
    <row r="295" spans="1:33" x14ac:dyDescent="0.2">
      <c r="A295" s="344" t="s">
        <v>644</v>
      </c>
      <c r="B295" s="350" t="s">
        <v>645</v>
      </c>
      <c r="C295" s="346">
        <v>11651</v>
      </c>
      <c r="D295" s="346">
        <v>0</v>
      </c>
      <c r="E295" s="346">
        <v>405</v>
      </c>
      <c r="F295" s="346">
        <v>2361</v>
      </c>
      <c r="G295" s="346">
        <v>642</v>
      </c>
      <c r="H295" s="346">
        <v>15059</v>
      </c>
      <c r="I295" s="345">
        <v>14417</v>
      </c>
      <c r="J295" s="345">
        <v>0</v>
      </c>
      <c r="K295" s="347">
        <v>84.35</v>
      </c>
      <c r="L295" s="347">
        <v>85.69</v>
      </c>
      <c r="M295" s="347">
        <v>5.39</v>
      </c>
      <c r="N295" s="347">
        <v>86.01</v>
      </c>
      <c r="O295" s="348">
        <v>10980</v>
      </c>
      <c r="P295" s="345">
        <v>82.24</v>
      </c>
      <c r="Q295" s="345">
        <v>82.41</v>
      </c>
      <c r="R295" s="345">
        <v>24.11</v>
      </c>
      <c r="S295" s="345">
        <v>101.98</v>
      </c>
      <c r="T295" s="345">
        <v>2720</v>
      </c>
      <c r="U295" s="345">
        <v>105.4</v>
      </c>
      <c r="V295" s="345">
        <v>620</v>
      </c>
      <c r="W295" s="345">
        <v>101.27</v>
      </c>
      <c r="X295" s="345">
        <v>2</v>
      </c>
      <c r="Y295" s="345">
        <v>0</v>
      </c>
      <c r="Z295" s="345">
        <v>74</v>
      </c>
      <c r="AA295" s="345">
        <v>1</v>
      </c>
      <c r="AB295" s="345">
        <v>10</v>
      </c>
      <c r="AC295" s="345">
        <v>14</v>
      </c>
      <c r="AD295" s="349">
        <v>11651</v>
      </c>
      <c r="AE295" s="349">
        <v>50</v>
      </c>
      <c r="AF295" s="349">
        <v>41</v>
      </c>
      <c r="AG295" s="349">
        <v>91</v>
      </c>
    </row>
    <row r="296" spans="1:33" x14ac:dyDescent="0.2">
      <c r="A296" s="344" t="s">
        <v>646</v>
      </c>
      <c r="B296" s="350" t="s">
        <v>647</v>
      </c>
      <c r="C296" s="346">
        <v>2645</v>
      </c>
      <c r="D296" s="346">
        <v>0</v>
      </c>
      <c r="E296" s="346">
        <v>158</v>
      </c>
      <c r="F296" s="346">
        <v>601</v>
      </c>
      <c r="G296" s="346">
        <v>658</v>
      </c>
      <c r="H296" s="346">
        <v>4062</v>
      </c>
      <c r="I296" s="345">
        <v>3404</v>
      </c>
      <c r="J296" s="345">
        <v>7</v>
      </c>
      <c r="K296" s="347">
        <v>103.85</v>
      </c>
      <c r="L296" s="347">
        <v>94.66</v>
      </c>
      <c r="M296" s="347">
        <v>7.2</v>
      </c>
      <c r="N296" s="347">
        <v>110.03</v>
      </c>
      <c r="O296" s="348">
        <v>2122</v>
      </c>
      <c r="P296" s="345">
        <v>102.24</v>
      </c>
      <c r="Q296" s="345">
        <v>87.19</v>
      </c>
      <c r="R296" s="345">
        <v>41.01</v>
      </c>
      <c r="S296" s="345">
        <v>141.97999999999999</v>
      </c>
      <c r="T296" s="345">
        <v>581</v>
      </c>
      <c r="U296" s="345">
        <v>137.38</v>
      </c>
      <c r="V296" s="345">
        <v>429</v>
      </c>
      <c r="W296" s="345">
        <v>185.93</v>
      </c>
      <c r="X296" s="345">
        <v>126</v>
      </c>
      <c r="Y296" s="345">
        <v>6</v>
      </c>
      <c r="Z296" s="345">
        <v>0</v>
      </c>
      <c r="AA296" s="345">
        <v>14</v>
      </c>
      <c r="AB296" s="345">
        <v>103</v>
      </c>
      <c r="AC296" s="345">
        <v>14</v>
      </c>
      <c r="AD296" s="349">
        <v>2581</v>
      </c>
      <c r="AE296" s="349">
        <v>36</v>
      </c>
      <c r="AF296" s="349">
        <v>13</v>
      </c>
      <c r="AG296" s="349">
        <v>49</v>
      </c>
    </row>
    <row r="297" spans="1:33" x14ac:dyDescent="0.2">
      <c r="A297" s="344" t="s">
        <v>648</v>
      </c>
      <c r="B297" s="350" t="s">
        <v>649</v>
      </c>
      <c r="C297" s="346">
        <v>5425</v>
      </c>
      <c r="D297" s="346">
        <v>105</v>
      </c>
      <c r="E297" s="346">
        <v>379</v>
      </c>
      <c r="F297" s="346">
        <v>589</v>
      </c>
      <c r="G297" s="346">
        <v>339</v>
      </c>
      <c r="H297" s="346">
        <v>6837</v>
      </c>
      <c r="I297" s="345">
        <v>6498</v>
      </c>
      <c r="J297" s="345">
        <v>55</v>
      </c>
      <c r="K297" s="347">
        <v>113.65</v>
      </c>
      <c r="L297" s="347">
        <v>117.7</v>
      </c>
      <c r="M297" s="347">
        <v>8.98</v>
      </c>
      <c r="N297" s="347">
        <v>117.87</v>
      </c>
      <c r="O297" s="348">
        <v>4961</v>
      </c>
      <c r="P297" s="345">
        <v>112.14</v>
      </c>
      <c r="Q297" s="345">
        <v>90.98</v>
      </c>
      <c r="R297" s="345">
        <v>42.37</v>
      </c>
      <c r="S297" s="345">
        <v>154.34</v>
      </c>
      <c r="T297" s="345">
        <v>765</v>
      </c>
      <c r="U297" s="345">
        <v>175.59</v>
      </c>
      <c r="V297" s="345">
        <v>362</v>
      </c>
      <c r="W297" s="345">
        <v>0</v>
      </c>
      <c r="X297" s="345">
        <v>0</v>
      </c>
      <c r="Y297" s="345">
        <v>0</v>
      </c>
      <c r="Z297" s="345">
        <v>7</v>
      </c>
      <c r="AA297" s="345">
        <v>0</v>
      </c>
      <c r="AB297" s="345">
        <v>8</v>
      </c>
      <c r="AC297" s="345">
        <v>6</v>
      </c>
      <c r="AD297" s="349">
        <v>5412</v>
      </c>
      <c r="AE297" s="349">
        <v>25</v>
      </c>
      <c r="AF297" s="349">
        <v>9</v>
      </c>
      <c r="AG297" s="349">
        <v>34</v>
      </c>
    </row>
    <row r="298" spans="1:33" x14ac:dyDescent="0.2">
      <c r="A298" s="344" t="s">
        <v>650</v>
      </c>
      <c r="B298" s="350" t="s">
        <v>651</v>
      </c>
      <c r="C298" s="346">
        <v>1131</v>
      </c>
      <c r="D298" s="346">
        <v>0</v>
      </c>
      <c r="E298" s="346">
        <v>129</v>
      </c>
      <c r="F298" s="346">
        <v>181</v>
      </c>
      <c r="G298" s="346">
        <v>387</v>
      </c>
      <c r="H298" s="346">
        <v>1828</v>
      </c>
      <c r="I298" s="345">
        <v>1441</v>
      </c>
      <c r="J298" s="345">
        <v>2</v>
      </c>
      <c r="K298" s="347">
        <v>118.23</v>
      </c>
      <c r="L298" s="347">
        <v>117.56</v>
      </c>
      <c r="M298" s="347">
        <v>4.74</v>
      </c>
      <c r="N298" s="347">
        <v>122.63</v>
      </c>
      <c r="O298" s="348">
        <v>908</v>
      </c>
      <c r="P298" s="345">
        <v>110.28</v>
      </c>
      <c r="Q298" s="345">
        <v>96.64</v>
      </c>
      <c r="R298" s="345">
        <v>39.340000000000003</v>
      </c>
      <c r="S298" s="345">
        <v>149.33000000000001</v>
      </c>
      <c r="T298" s="345">
        <v>135</v>
      </c>
      <c r="U298" s="345">
        <v>184.85</v>
      </c>
      <c r="V298" s="345">
        <v>175</v>
      </c>
      <c r="W298" s="345">
        <v>121.1</v>
      </c>
      <c r="X298" s="345">
        <v>3</v>
      </c>
      <c r="Y298" s="345">
        <v>7</v>
      </c>
      <c r="Z298" s="345">
        <v>0</v>
      </c>
      <c r="AA298" s="345">
        <v>4</v>
      </c>
      <c r="AB298" s="345">
        <v>15</v>
      </c>
      <c r="AC298" s="345">
        <v>12</v>
      </c>
      <c r="AD298" s="349">
        <v>1083</v>
      </c>
      <c r="AE298" s="349">
        <v>16</v>
      </c>
      <c r="AF298" s="349">
        <v>1</v>
      </c>
      <c r="AG298" s="349">
        <v>17</v>
      </c>
    </row>
    <row r="299" spans="1:33" x14ac:dyDescent="0.2">
      <c r="A299" s="344" t="s">
        <v>652</v>
      </c>
      <c r="B299" s="350" t="s">
        <v>653</v>
      </c>
      <c r="C299" s="346">
        <v>2175</v>
      </c>
      <c r="D299" s="346">
        <v>0</v>
      </c>
      <c r="E299" s="346">
        <v>89</v>
      </c>
      <c r="F299" s="346">
        <v>224</v>
      </c>
      <c r="G299" s="346">
        <v>477</v>
      </c>
      <c r="H299" s="346">
        <v>2965</v>
      </c>
      <c r="I299" s="345">
        <v>2488</v>
      </c>
      <c r="J299" s="345">
        <v>0</v>
      </c>
      <c r="K299" s="347">
        <v>103.84</v>
      </c>
      <c r="L299" s="347">
        <v>101.48</v>
      </c>
      <c r="M299" s="347">
        <v>5.71</v>
      </c>
      <c r="N299" s="347">
        <v>108.27</v>
      </c>
      <c r="O299" s="348">
        <v>1370</v>
      </c>
      <c r="P299" s="345">
        <v>82.14</v>
      </c>
      <c r="Q299" s="345">
        <v>78.680000000000007</v>
      </c>
      <c r="R299" s="345">
        <v>28.5</v>
      </c>
      <c r="S299" s="345">
        <v>108.5</v>
      </c>
      <c r="T299" s="345">
        <v>226</v>
      </c>
      <c r="U299" s="345">
        <v>145.16</v>
      </c>
      <c r="V299" s="345">
        <v>786</v>
      </c>
      <c r="W299" s="345">
        <v>167.82</v>
      </c>
      <c r="X299" s="345">
        <v>55</v>
      </c>
      <c r="Y299" s="345">
        <v>0</v>
      </c>
      <c r="Z299" s="345">
        <v>0</v>
      </c>
      <c r="AA299" s="345">
        <v>9</v>
      </c>
      <c r="AB299" s="345">
        <v>41</v>
      </c>
      <c r="AC299" s="345">
        <v>6</v>
      </c>
      <c r="AD299" s="349">
        <v>2168</v>
      </c>
      <c r="AE299" s="349">
        <v>6</v>
      </c>
      <c r="AF299" s="349">
        <v>2</v>
      </c>
      <c r="AG299" s="349">
        <v>8</v>
      </c>
    </row>
    <row r="300" spans="1:33" x14ac:dyDescent="0.2">
      <c r="A300" s="344" t="s">
        <v>654</v>
      </c>
      <c r="B300" s="350" t="s">
        <v>655</v>
      </c>
      <c r="C300" s="346">
        <v>2708</v>
      </c>
      <c r="D300" s="346">
        <v>0</v>
      </c>
      <c r="E300" s="346">
        <v>344</v>
      </c>
      <c r="F300" s="346">
        <v>329</v>
      </c>
      <c r="G300" s="346">
        <v>427</v>
      </c>
      <c r="H300" s="346">
        <v>3808</v>
      </c>
      <c r="I300" s="345">
        <v>3381</v>
      </c>
      <c r="J300" s="345">
        <v>131</v>
      </c>
      <c r="K300" s="347">
        <v>111.73</v>
      </c>
      <c r="L300" s="347">
        <v>110.58</v>
      </c>
      <c r="M300" s="347">
        <v>8.19</v>
      </c>
      <c r="N300" s="347">
        <v>117.4</v>
      </c>
      <c r="O300" s="348">
        <v>2170</v>
      </c>
      <c r="P300" s="345">
        <v>105.7</v>
      </c>
      <c r="Q300" s="345">
        <v>94.06</v>
      </c>
      <c r="R300" s="345">
        <v>42.3</v>
      </c>
      <c r="S300" s="345">
        <v>143.52000000000001</v>
      </c>
      <c r="T300" s="345">
        <v>264</v>
      </c>
      <c r="U300" s="345">
        <v>147.94999999999999</v>
      </c>
      <c r="V300" s="345">
        <v>404</v>
      </c>
      <c r="W300" s="345">
        <v>0</v>
      </c>
      <c r="X300" s="345">
        <v>0</v>
      </c>
      <c r="Y300" s="345">
        <v>237</v>
      </c>
      <c r="Z300" s="345">
        <v>0</v>
      </c>
      <c r="AA300" s="345">
        <v>1</v>
      </c>
      <c r="AB300" s="345">
        <v>77</v>
      </c>
      <c r="AC300" s="345">
        <v>14</v>
      </c>
      <c r="AD300" s="349">
        <v>2576</v>
      </c>
      <c r="AE300" s="349">
        <v>9</v>
      </c>
      <c r="AF300" s="349">
        <v>8</v>
      </c>
      <c r="AG300" s="349">
        <v>17</v>
      </c>
    </row>
    <row r="301" spans="1:33" x14ac:dyDescent="0.2">
      <c r="A301" s="344" t="s">
        <v>656</v>
      </c>
      <c r="B301" s="350" t="s">
        <v>657</v>
      </c>
      <c r="C301" s="346">
        <v>7940</v>
      </c>
      <c r="D301" s="346">
        <v>0</v>
      </c>
      <c r="E301" s="346">
        <v>327</v>
      </c>
      <c r="F301" s="346">
        <v>816</v>
      </c>
      <c r="G301" s="346">
        <v>659</v>
      </c>
      <c r="H301" s="346">
        <v>9742</v>
      </c>
      <c r="I301" s="345">
        <v>9083</v>
      </c>
      <c r="J301" s="345">
        <v>0</v>
      </c>
      <c r="K301" s="347">
        <v>117.42</v>
      </c>
      <c r="L301" s="347">
        <v>118.88</v>
      </c>
      <c r="M301" s="347">
        <v>5.05</v>
      </c>
      <c r="N301" s="347">
        <v>120.08</v>
      </c>
      <c r="O301" s="348">
        <v>7559</v>
      </c>
      <c r="P301" s="345">
        <v>113.09</v>
      </c>
      <c r="Q301" s="345">
        <v>108.65</v>
      </c>
      <c r="R301" s="345">
        <v>29.52</v>
      </c>
      <c r="S301" s="345">
        <v>141.66999999999999</v>
      </c>
      <c r="T301" s="345">
        <v>979</v>
      </c>
      <c r="U301" s="345">
        <v>149.38999999999999</v>
      </c>
      <c r="V301" s="345">
        <v>368</v>
      </c>
      <c r="W301" s="345">
        <v>181.55</v>
      </c>
      <c r="X301" s="345">
        <v>81</v>
      </c>
      <c r="Y301" s="345">
        <v>9</v>
      </c>
      <c r="Z301" s="345">
        <v>2</v>
      </c>
      <c r="AA301" s="345">
        <v>3</v>
      </c>
      <c r="AB301" s="345">
        <v>86</v>
      </c>
      <c r="AC301" s="345">
        <v>16</v>
      </c>
      <c r="AD301" s="349">
        <v>7937</v>
      </c>
      <c r="AE301" s="349">
        <v>42</v>
      </c>
      <c r="AF301" s="349">
        <v>22</v>
      </c>
      <c r="AG301" s="349">
        <v>64</v>
      </c>
    </row>
    <row r="302" spans="1:33" x14ac:dyDescent="0.2">
      <c r="A302" s="344" t="s">
        <v>658</v>
      </c>
      <c r="B302" s="350" t="s">
        <v>659</v>
      </c>
      <c r="C302" s="346">
        <v>2272</v>
      </c>
      <c r="D302" s="346">
        <v>8</v>
      </c>
      <c r="E302" s="346">
        <v>40</v>
      </c>
      <c r="F302" s="346">
        <v>148</v>
      </c>
      <c r="G302" s="346">
        <v>115</v>
      </c>
      <c r="H302" s="346">
        <v>2583</v>
      </c>
      <c r="I302" s="345">
        <v>2468</v>
      </c>
      <c r="J302" s="345">
        <v>1</v>
      </c>
      <c r="K302" s="347">
        <v>90.87</v>
      </c>
      <c r="L302" s="347">
        <v>82.17</v>
      </c>
      <c r="M302" s="347">
        <v>7.78</v>
      </c>
      <c r="N302" s="347">
        <v>93.7</v>
      </c>
      <c r="O302" s="348">
        <v>2110</v>
      </c>
      <c r="P302" s="345">
        <v>90.68</v>
      </c>
      <c r="Q302" s="345">
        <v>80.760000000000005</v>
      </c>
      <c r="R302" s="345">
        <v>34.130000000000003</v>
      </c>
      <c r="S302" s="345">
        <v>122.37</v>
      </c>
      <c r="T302" s="345">
        <v>112</v>
      </c>
      <c r="U302" s="345">
        <v>114.66</v>
      </c>
      <c r="V302" s="345">
        <v>109</v>
      </c>
      <c r="W302" s="345">
        <v>83.63</v>
      </c>
      <c r="X302" s="345">
        <v>4</v>
      </c>
      <c r="Y302" s="345">
        <v>0</v>
      </c>
      <c r="Z302" s="345">
        <v>2</v>
      </c>
      <c r="AA302" s="345">
        <v>2</v>
      </c>
      <c r="AB302" s="345">
        <v>8</v>
      </c>
      <c r="AC302" s="345">
        <v>2</v>
      </c>
      <c r="AD302" s="349">
        <v>2183</v>
      </c>
      <c r="AE302" s="349">
        <v>4</v>
      </c>
      <c r="AF302" s="349">
        <v>9</v>
      </c>
      <c r="AG302" s="349">
        <v>13</v>
      </c>
    </row>
    <row r="303" spans="1:33" x14ac:dyDescent="0.2">
      <c r="A303" s="344" t="s">
        <v>660</v>
      </c>
      <c r="B303" s="350" t="s">
        <v>661</v>
      </c>
      <c r="C303" s="346">
        <v>770</v>
      </c>
      <c r="D303" s="346">
        <v>4</v>
      </c>
      <c r="E303" s="346">
        <v>196</v>
      </c>
      <c r="F303" s="346">
        <v>374</v>
      </c>
      <c r="G303" s="346">
        <v>316</v>
      </c>
      <c r="H303" s="346">
        <v>1660</v>
      </c>
      <c r="I303" s="345">
        <v>1344</v>
      </c>
      <c r="J303" s="345">
        <v>0</v>
      </c>
      <c r="K303" s="347">
        <v>93.25</v>
      </c>
      <c r="L303" s="347">
        <v>91.23</v>
      </c>
      <c r="M303" s="347">
        <v>5.0999999999999996</v>
      </c>
      <c r="N303" s="347">
        <v>96.7</v>
      </c>
      <c r="O303" s="348">
        <v>571</v>
      </c>
      <c r="P303" s="345">
        <v>100.44</v>
      </c>
      <c r="Q303" s="345">
        <v>91.44</v>
      </c>
      <c r="R303" s="345">
        <v>39.07</v>
      </c>
      <c r="S303" s="345">
        <v>139.28</v>
      </c>
      <c r="T303" s="345">
        <v>488</v>
      </c>
      <c r="U303" s="345">
        <v>104.83</v>
      </c>
      <c r="V303" s="345">
        <v>174</v>
      </c>
      <c r="W303" s="345">
        <v>0</v>
      </c>
      <c r="X303" s="345">
        <v>0</v>
      </c>
      <c r="Y303" s="345">
        <v>41</v>
      </c>
      <c r="Z303" s="345">
        <v>0</v>
      </c>
      <c r="AA303" s="345">
        <v>0</v>
      </c>
      <c r="AB303" s="345">
        <v>20</v>
      </c>
      <c r="AC303" s="345">
        <v>0</v>
      </c>
      <c r="AD303" s="349">
        <v>759</v>
      </c>
      <c r="AE303" s="349">
        <v>4</v>
      </c>
      <c r="AF303" s="349">
        <v>2</v>
      </c>
      <c r="AG303" s="349">
        <v>6</v>
      </c>
    </row>
    <row r="304" spans="1:33" x14ac:dyDescent="0.2">
      <c r="A304" s="344" t="s">
        <v>662</v>
      </c>
      <c r="B304" s="350" t="s">
        <v>663</v>
      </c>
      <c r="C304" s="346">
        <v>4200</v>
      </c>
      <c r="D304" s="346">
        <v>0</v>
      </c>
      <c r="E304" s="346">
        <v>69</v>
      </c>
      <c r="F304" s="346">
        <v>430</v>
      </c>
      <c r="G304" s="346">
        <v>306</v>
      </c>
      <c r="H304" s="346">
        <v>5005</v>
      </c>
      <c r="I304" s="345">
        <v>4699</v>
      </c>
      <c r="J304" s="345">
        <v>0</v>
      </c>
      <c r="K304" s="347">
        <v>79.87</v>
      </c>
      <c r="L304" s="347">
        <v>79.849999999999994</v>
      </c>
      <c r="M304" s="347">
        <v>4.83</v>
      </c>
      <c r="N304" s="347">
        <v>81.25</v>
      </c>
      <c r="O304" s="348">
        <v>4003</v>
      </c>
      <c r="P304" s="345">
        <v>74.92</v>
      </c>
      <c r="Q304" s="345">
        <v>75.08</v>
      </c>
      <c r="R304" s="345">
        <v>29.58</v>
      </c>
      <c r="S304" s="345">
        <v>104.01</v>
      </c>
      <c r="T304" s="345">
        <v>484</v>
      </c>
      <c r="U304" s="345">
        <v>93.08</v>
      </c>
      <c r="V304" s="345">
        <v>172</v>
      </c>
      <c r="W304" s="345">
        <v>113.41</v>
      </c>
      <c r="X304" s="345">
        <v>8</v>
      </c>
      <c r="Y304" s="345">
        <v>0</v>
      </c>
      <c r="Z304" s="345">
        <v>11</v>
      </c>
      <c r="AA304" s="345">
        <v>1</v>
      </c>
      <c r="AB304" s="345">
        <v>6</v>
      </c>
      <c r="AC304" s="345">
        <v>5</v>
      </c>
      <c r="AD304" s="349">
        <v>4189</v>
      </c>
      <c r="AE304" s="349">
        <v>18</v>
      </c>
      <c r="AF304" s="349">
        <v>8</v>
      </c>
      <c r="AG304" s="349">
        <v>26</v>
      </c>
    </row>
    <row r="305" spans="1:33" ht="15" x14ac:dyDescent="0.25">
      <c r="A305" s="351" t="s">
        <v>800</v>
      </c>
      <c r="B305" s="351" t="s">
        <v>798</v>
      </c>
      <c r="C305" s="345">
        <v>10928</v>
      </c>
      <c r="D305" s="345">
        <v>30</v>
      </c>
      <c r="E305" s="345">
        <v>449</v>
      </c>
      <c r="F305" s="345">
        <v>2454</v>
      </c>
      <c r="G305" s="345">
        <v>2065</v>
      </c>
      <c r="H305" s="345">
        <v>15926</v>
      </c>
      <c r="I305" s="345">
        <v>13861</v>
      </c>
      <c r="J305" s="345">
        <v>3</v>
      </c>
      <c r="K305" s="345">
        <v>97.22</v>
      </c>
      <c r="L305" s="345">
        <v>95.47</v>
      </c>
      <c r="M305" s="345">
        <v>5.74</v>
      </c>
      <c r="N305" s="345">
        <v>100.95</v>
      </c>
      <c r="O305" s="345">
        <v>9279</v>
      </c>
      <c r="P305" s="345">
        <v>94.58</v>
      </c>
      <c r="Q305" s="345">
        <v>91.83</v>
      </c>
      <c r="R305" s="345">
        <v>30.17</v>
      </c>
      <c r="S305" s="345">
        <v>115.74</v>
      </c>
      <c r="T305" s="345">
        <v>2785</v>
      </c>
      <c r="U305" s="345">
        <v>122.18</v>
      </c>
      <c r="V305" s="345">
        <v>1254</v>
      </c>
      <c r="W305" s="345">
        <v>195.93</v>
      </c>
      <c r="X305" s="345">
        <v>77</v>
      </c>
      <c r="Y305" s="345">
        <v>0</v>
      </c>
      <c r="Z305" s="345">
        <v>35</v>
      </c>
      <c r="AA305" s="345">
        <v>12</v>
      </c>
      <c r="AB305" s="345">
        <v>150</v>
      </c>
      <c r="AC305" s="345">
        <v>35</v>
      </c>
      <c r="AD305" s="345">
        <v>10663</v>
      </c>
      <c r="AE305" s="345">
        <v>76</v>
      </c>
      <c r="AF305" s="345">
        <v>21</v>
      </c>
      <c r="AG305" s="345">
        <v>97</v>
      </c>
    </row>
    <row r="306" spans="1:33" x14ac:dyDescent="0.2">
      <c r="A306" s="344" t="s">
        <v>664</v>
      </c>
      <c r="B306" s="350" t="s">
        <v>665</v>
      </c>
      <c r="C306" s="346">
        <v>5582</v>
      </c>
      <c r="D306" s="346">
        <v>2</v>
      </c>
      <c r="E306" s="346">
        <v>127</v>
      </c>
      <c r="F306" s="346">
        <v>159</v>
      </c>
      <c r="G306" s="346">
        <v>584</v>
      </c>
      <c r="H306" s="346">
        <v>6454</v>
      </c>
      <c r="I306" s="345">
        <v>5870</v>
      </c>
      <c r="J306" s="345">
        <v>73</v>
      </c>
      <c r="K306" s="347">
        <v>109.83</v>
      </c>
      <c r="L306" s="347">
        <v>114.01</v>
      </c>
      <c r="M306" s="347">
        <v>4.6399999999999997</v>
      </c>
      <c r="N306" s="347">
        <v>111.61</v>
      </c>
      <c r="O306" s="348">
        <v>4912</v>
      </c>
      <c r="P306" s="345">
        <v>96.54</v>
      </c>
      <c r="Q306" s="345">
        <v>91.81</v>
      </c>
      <c r="R306" s="345">
        <v>52.75</v>
      </c>
      <c r="S306" s="345">
        <v>148.53</v>
      </c>
      <c r="T306" s="345">
        <v>281</v>
      </c>
      <c r="U306" s="345">
        <v>158.03</v>
      </c>
      <c r="V306" s="345">
        <v>518</v>
      </c>
      <c r="W306" s="345">
        <v>0</v>
      </c>
      <c r="X306" s="345">
        <v>0</v>
      </c>
      <c r="Y306" s="345">
        <v>0</v>
      </c>
      <c r="Z306" s="345">
        <v>6</v>
      </c>
      <c r="AA306" s="345">
        <v>20</v>
      </c>
      <c r="AB306" s="345">
        <v>58</v>
      </c>
      <c r="AC306" s="345">
        <v>11</v>
      </c>
      <c r="AD306" s="349">
        <v>5424</v>
      </c>
      <c r="AE306" s="349">
        <v>14</v>
      </c>
      <c r="AF306" s="349">
        <v>44</v>
      </c>
      <c r="AG306" s="349">
        <v>58</v>
      </c>
    </row>
    <row r="307" spans="1:33" x14ac:dyDescent="0.2">
      <c r="A307" s="344" t="s">
        <v>666</v>
      </c>
      <c r="B307" s="350" t="s">
        <v>667</v>
      </c>
      <c r="C307" s="345">
        <v>10583</v>
      </c>
      <c r="D307" s="345">
        <v>0</v>
      </c>
      <c r="E307" s="345">
        <v>455</v>
      </c>
      <c r="F307" s="345">
        <v>1185</v>
      </c>
      <c r="G307" s="345">
        <v>579</v>
      </c>
      <c r="H307" s="345">
        <v>12802</v>
      </c>
      <c r="I307" s="345">
        <v>12223</v>
      </c>
      <c r="J307" s="345">
        <v>2</v>
      </c>
      <c r="K307" s="345">
        <v>91.46</v>
      </c>
      <c r="L307" s="347">
        <v>91.49</v>
      </c>
      <c r="M307" s="347">
        <v>4.8</v>
      </c>
      <c r="N307" s="347">
        <v>92.64</v>
      </c>
      <c r="O307" s="348">
        <v>8903</v>
      </c>
      <c r="P307" s="345">
        <v>88.96</v>
      </c>
      <c r="Q307" s="345">
        <v>85.38</v>
      </c>
      <c r="R307" s="345">
        <v>37.31</v>
      </c>
      <c r="S307" s="345">
        <v>123.74</v>
      </c>
      <c r="T307" s="345">
        <v>1589</v>
      </c>
      <c r="U307" s="345">
        <v>128.78</v>
      </c>
      <c r="V307" s="345">
        <v>1553</v>
      </c>
      <c r="W307" s="345">
        <v>106.88</v>
      </c>
      <c r="X307" s="345">
        <v>23</v>
      </c>
      <c r="Y307" s="345">
        <v>16</v>
      </c>
      <c r="Z307" s="345">
        <v>24</v>
      </c>
      <c r="AA307" s="345">
        <v>24</v>
      </c>
      <c r="AB307" s="345">
        <v>26</v>
      </c>
      <c r="AC307" s="345">
        <v>20</v>
      </c>
      <c r="AD307" s="345">
        <v>10570</v>
      </c>
      <c r="AE307" s="345">
        <v>76</v>
      </c>
      <c r="AF307" s="345">
        <v>58</v>
      </c>
      <c r="AG307" s="345">
        <v>134</v>
      </c>
    </row>
    <row r="308" spans="1:33" x14ac:dyDescent="0.2">
      <c r="A308" s="344" t="s">
        <v>668</v>
      </c>
      <c r="B308" s="350" t="s">
        <v>669</v>
      </c>
      <c r="C308" s="346">
        <v>12064</v>
      </c>
      <c r="D308" s="346">
        <v>944</v>
      </c>
      <c r="E308" s="346">
        <v>1332</v>
      </c>
      <c r="F308" s="346">
        <v>973</v>
      </c>
      <c r="G308" s="346">
        <v>648</v>
      </c>
      <c r="H308" s="346">
        <v>15961</v>
      </c>
      <c r="I308" s="345">
        <v>15313</v>
      </c>
      <c r="J308" s="345">
        <v>210</v>
      </c>
      <c r="K308" s="347">
        <v>149.1</v>
      </c>
      <c r="L308" s="347">
        <v>142.41999999999999</v>
      </c>
      <c r="M308" s="347">
        <v>11.64</v>
      </c>
      <c r="N308" s="347">
        <v>158.13</v>
      </c>
      <c r="O308" s="348">
        <v>10292</v>
      </c>
      <c r="P308" s="345">
        <v>115.66</v>
      </c>
      <c r="Q308" s="345">
        <v>115.1</v>
      </c>
      <c r="R308" s="345">
        <v>65.25</v>
      </c>
      <c r="S308" s="345">
        <v>171.9</v>
      </c>
      <c r="T308" s="345">
        <v>2078</v>
      </c>
      <c r="U308" s="345">
        <v>209.4</v>
      </c>
      <c r="V308" s="345">
        <v>663</v>
      </c>
      <c r="W308" s="345">
        <v>151.28</v>
      </c>
      <c r="X308" s="345">
        <v>1</v>
      </c>
      <c r="Y308" s="345">
        <v>0</v>
      </c>
      <c r="Z308" s="345">
        <v>1</v>
      </c>
      <c r="AA308" s="345">
        <v>3</v>
      </c>
      <c r="AB308" s="345">
        <v>1</v>
      </c>
      <c r="AC308" s="345">
        <v>10</v>
      </c>
      <c r="AD308" s="349">
        <v>10463</v>
      </c>
      <c r="AE308" s="349">
        <v>31</v>
      </c>
      <c r="AF308" s="349">
        <v>110</v>
      </c>
      <c r="AG308" s="349">
        <v>141</v>
      </c>
    </row>
    <row r="309" spans="1:33" x14ac:dyDescent="0.2">
      <c r="A309" s="344" t="s">
        <v>670</v>
      </c>
      <c r="B309" s="350" t="s">
        <v>671</v>
      </c>
      <c r="C309" s="346">
        <v>2070</v>
      </c>
      <c r="D309" s="346">
        <v>0</v>
      </c>
      <c r="E309" s="346">
        <v>709</v>
      </c>
      <c r="F309" s="346">
        <v>1020</v>
      </c>
      <c r="G309" s="346">
        <v>119</v>
      </c>
      <c r="H309" s="346">
        <v>3918</v>
      </c>
      <c r="I309" s="345">
        <v>3799</v>
      </c>
      <c r="J309" s="345">
        <v>3</v>
      </c>
      <c r="K309" s="347">
        <v>79.8</v>
      </c>
      <c r="L309" s="347">
        <v>76.63</v>
      </c>
      <c r="M309" s="347">
        <v>6.95</v>
      </c>
      <c r="N309" s="347">
        <v>83.47</v>
      </c>
      <c r="O309" s="348">
        <v>1601</v>
      </c>
      <c r="P309" s="345">
        <v>83.11</v>
      </c>
      <c r="Q309" s="345">
        <v>71.760000000000005</v>
      </c>
      <c r="R309" s="345">
        <v>49.42</v>
      </c>
      <c r="S309" s="345">
        <v>130.52000000000001</v>
      </c>
      <c r="T309" s="345">
        <v>1450</v>
      </c>
      <c r="U309" s="345">
        <v>97.61</v>
      </c>
      <c r="V309" s="345">
        <v>341</v>
      </c>
      <c r="W309" s="345">
        <v>159.53</v>
      </c>
      <c r="X309" s="345">
        <v>20</v>
      </c>
      <c r="Y309" s="345">
        <v>179</v>
      </c>
      <c r="Z309" s="345">
        <v>1</v>
      </c>
      <c r="AA309" s="345">
        <v>13</v>
      </c>
      <c r="AB309" s="345">
        <v>12</v>
      </c>
      <c r="AC309" s="345">
        <v>2</v>
      </c>
      <c r="AD309" s="349">
        <v>1978</v>
      </c>
      <c r="AE309" s="349">
        <v>26</v>
      </c>
      <c r="AF309" s="349">
        <v>15</v>
      </c>
      <c r="AG309" s="349">
        <v>41</v>
      </c>
    </row>
    <row r="310" spans="1:33" x14ac:dyDescent="0.2">
      <c r="A310" s="344" t="s">
        <v>672</v>
      </c>
      <c r="B310" s="350" t="s">
        <v>673</v>
      </c>
      <c r="C310" s="346">
        <v>21672</v>
      </c>
      <c r="D310" s="346">
        <v>29</v>
      </c>
      <c r="E310" s="346">
        <v>686</v>
      </c>
      <c r="F310" s="346">
        <v>3071</v>
      </c>
      <c r="G310" s="346">
        <v>1522</v>
      </c>
      <c r="H310" s="346">
        <v>26980</v>
      </c>
      <c r="I310" s="345">
        <v>25458</v>
      </c>
      <c r="J310" s="345">
        <v>8</v>
      </c>
      <c r="K310" s="347">
        <v>99.91</v>
      </c>
      <c r="L310" s="347">
        <v>98.86</v>
      </c>
      <c r="M310" s="347">
        <v>3.72</v>
      </c>
      <c r="N310" s="347">
        <v>101.99</v>
      </c>
      <c r="O310" s="348">
        <v>18864</v>
      </c>
      <c r="P310" s="345">
        <v>94.07</v>
      </c>
      <c r="Q310" s="345">
        <v>91.36</v>
      </c>
      <c r="R310" s="345">
        <v>22.95</v>
      </c>
      <c r="S310" s="345">
        <v>116.15</v>
      </c>
      <c r="T310" s="345">
        <v>3372</v>
      </c>
      <c r="U310" s="345">
        <v>126.91</v>
      </c>
      <c r="V310" s="345">
        <v>2318</v>
      </c>
      <c r="W310" s="345">
        <v>120.48</v>
      </c>
      <c r="X310" s="345">
        <v>40</v>
      </c>
      <c r="Y310" s="345">
        <v>206</v>
      </c>
      <c r="Z310" s="345">
        <v>28</v>
      </c>
      <c r="AA310" s="345">
        <v>86</v>
      </c>
      <c r="AB310" s="345">
        <v>141</v>
      </c>
      <c r="AC310" s="345">
        <v>32</v>
      </c>
      <c r="AD310" s="349">
        <v>21200</v>
      </c>
      <c r="AE310" s="349">
        <v>102</v>
      </c>
      <c r="AF310" s="349">
        <v>117</v>
      </c>
      <c r="AG310" s="349">
        <v>219</v>
      </c>
    </row>
    <row r="311" spans="1:33" x14ac:dyDescent="0.2">
      <c r="A311" s="344" t="s">
        <v>674</v>
      </c>
      <c r="B311" s="350" t="s">
        <v>675</v>
      </c>
      <c r="C311" s="346">
        <v>2251</v>
      </c>
      <c r="D311" s="346">
        <v>6</v>
      </c>
      <c r="E311" s="346">
        <v>222</v>
      </c>
      <c r="F311" s="346">
        <v>228</v>
      </c>
      <c r="G311" s="346">
        <v>396</v>
      </c>
      <c r="H311" s="346">
        <v>3103</v>
      </c>
      <c r="I311" s="345">
        <v>2707</v>
      </c>
      <c r="J311" s="345">
        <v>0</v>
      </c>
      <c r="K311" s="347">
        <v>113.87</v>
      </c>
      <c r="L311" s="347">
        <v>110.61</v>
      </c>
      <c r="M311" s="347">
        <v>7.58</v>
      </c>
      <c r="N311" s="347">
        <v>120.87</v>
      </c>
      <c r="O311" s="348">
        <v>1750</v>
      </c>
      <c r="P311" s="345">
        <v>100.3</v>
      </c>
      <c r="Q311" s="345">
        <v>93.15</v>
      </c>
      <c r="R311" s="345">
        <v>38.700000000000003</v>
      </c>
      <c r="S311" s="345">
        <v>134.47999999999999</v>
      </c>
      <c r="T311" s="345">
        <v>420</v>
      </c>
      <c r="U311" s="345">
        <v>165.08</v>
      </c>
      <c r="V311" s="345">
        <v>347</v>
      </c>
      <c r="W311" s="345">
        <v>0</v>
      </c>
      <c r="X311" s="345">
        <v>0</v>
      </c>
      <c r="Y311" s="345">
        <v>49</v>
      </c>
      <c r="Z311" s="345">
        <v>0</v>
      </c>
      <c r="AA311" s="345">
        <v>5</v>
      </c>
      <c r="AB311" s="345">
        <v>45</v>
      </c>
      <c r="AC311" s="345">
        <v>11</v>
      </c>
      <c r="AD311" s="349">
        <v>2116</v>
      </c>
      <c r="AE311" s="349">
        <v>8</v>
      </c>
      <c r="AF311" s="349">
        <v>13</v>
      </c>
      <c r="AG311" s="349">
        <v>21</v>
      </c>
    </row>
    <row r="312" spans="1:33" x14ac:dyDescent="0.2">
      <c r="A312" s="344" t="s">
        <v>676</v>
      </c>
      <c r="B312" s="350" t="s">
        <v>677</v>
      </c>
      <c r="C312" s="346">
        <v>6715</v>
      </c>
      <c r="D312" s="346">
        <v>16</v>
      </c>
      <c r="E312" s="346">
        <v>157</v>
      </c>
      <c r="F312" s="346">
        <v>897</v>
      </c>
      <c r="G312" s="346">
        <v>237</v>
      </c>
      <c r="H312" s="346">
        <v>8022</v>
      </c>
      <c r="I312" s="345">
        <v>7785</v>
      </c>
      <c r="J312" s="345">
        <v>39</v>
      </c>
      <c r="K312" s="347">
        <v>121.78</v>
      </c>
      <c r="L312" s="347">
        <v>123.59</v>
      </c>
      <c r="M312" s="347">
        <v>8.2899999999999991</v>
      </c>
      <c r="N312" s="347">
        <v>125.41</v>
      </c>
      <c r="O312" s="348">
        <v>6386</v>
      </c>
      <c r="P312" s="345">
        <v>109.16</v>
      </c>
      <c r="Q312" s="345">
        <v>108.39</v>
      </c>
      <c r="R312" s="345">
        <v>24.85</v>
      </c>
      <c r="S312" s="345">
        <v>132.84</v>
      </c>
      <c r="T312" s="345">
        <v>1009</v>
      </c>
      <c r="U312" s="345">
        <v>174.78</v>
      </c>
      <c r="V312" s="345">
        <v>294</v>
      </c>
      <c r="W312" s="345">
        <v>146.74</v>
      </c>
      <c r="X312" s="345">
        <v>1</v>
      </c>
      <c r="Y312" s="345">
        <v>49</v>
      </c>
      <c r="Z312" s="345">
        <v>2</v>
      </c>
      <c r="AA312" s="345">
        <v>3</v>
      </c>
      <c r="AB312" s="345">
        <v>9</v>
      </c>
      <c r="AC312" s="345">
        <v>9</v>
      </c>
      <c r="AD312" s="349">
        <v>6712</v>
      </c>
      <c r="AE312" s="349">
        <v>55</v>
      </c>
      <c r="AF312" s="349">
        <v>2</v>
      </c>
      <c r="AG312" s="349">
        <v>57</v>
      </c>
    </row>
    <row r="313" spans="1:33" x14ac:dyDescent="0.2">
      <c r="A313" s="344" t="s">
        <v>678</v>
      </c>
      <c r="B313" s="350" t="s">
        <v>679</v>
      </c>
      <c r="C313" s="346">
        <v>17910</v>
      </c>
      <c r="D313" s="346">
        <v>25</v>
      </c>
      <c r="E313" s="346">
        <v>1185</v>
      </c>
      <c r="F313" s="346">
        <v>3703</v>
      </c>
      <c r="G313" s="346">
        <v>471</v>
      </c>
      <c r="H313" s="346">
        <v>23294</v>
      </c>
      <c r="I313" s="345">
        <v>22823</v>
      </c>
      <c r="J313" s="345">
        <v>0</v>
      </c>
      <c r="K313" s="347">
        <v>86.47</v>
      </c>
      <c r="L313" s="347">
        <v>83.84</v>
      </c>
      <c r="M313" s="347">
        <v>6.7</v>
      </c>
      <c r="N313" s="347">
        <v>88.66</v>
      </c>
      <c r="O313" s="348">
        <v>14099</v>
      </c>
      <c r="P313" s="345">
        <v>84.37</v>
      </c>
      <c r="Q313" s="345">
        <v>77.59</v>
      </c>
      <c r="R313" s="345">
        <v>25.81</v>
      </c>
      <c r="S313" s="345">
        <v>108.49</v>
      </c>
      <c r="T313" s="345">
        <v>3716</v>
      </c>
      <c r="U313" s="345">
        <v>108.26</v>
      </c>
      <c r="V313" s="345">
        <v>2037</v>
      </c>
      <c r="W313" s="345">
        <v>158.32</v>
      </c>
      <c r="X313" s="345">
        <v>200</v>
      </c>
      <c r="Y313" s="345">
        <v>372</v>
      </c>
      <c r="Z313" s="345">
        <v>80</v>
      </c>
      <c r="AA313" s="345">
        <v>83</v>
      </c>
      <c r="AB313" s="345">
        <v>2</v>
      </c>
      <c r="AC313" s="345">
        <v>4</v>
      </c>
      <c r="AD313" s="349">
        <v>15928</v>
      </c>
      <c r="AE313" s="349">
        <v>70</v>
      </c>
      <c r="AF313" s="349">
        <v>290</v>
      </c>
      <c r="AG313" s="349">
        <v>360</v>
      </c>
    </row>
    <row r="314" spans="1:33" x14ac:dyDescent="0.2">
      <c r="A314" s="344" t="s">
        <v>680</v>
      </c>
      <c r="B314" s="350" t="s">
        <v>681</v>
      </c>
      <c r="C314" s="346">
        <v>866</v>
      </c>
      <c r="D314" s="346">
        <v>0</v>
      </c>
      <c r="E314" s="346">
        <v>186</v>
      </c>
      <c r="F314" s="346">
        <v>329</v>
      </c>
      <c r="G314" s="346">
        <v>243</v>
      </c>
      <c r="H314" s="346">
        <v>1624</v>
      </c>
      <c r="I314" s="345">
        <v>1381</v>
      </c>
      <c r="J314" s="345">
        <v>2</v>
      </c>
      <c r="K314" s="347">
        <v>125.2</v>
      </c>
      <c r="L314" s="347">
        <v>120.92</v>
      </c>
      <c r="M314" s="347">
        <v>9.6999999999999993</v>
      </c>
      <c r="N314" s="347">
        <v>133.07</v>
      </c>
      <c r="O314" s="348">
        <v>690</v>
      </c>
      <c r="P314" s="345">
        <v>125.26</v>
      </c>
      <c r="Q314" s="345">
        <v>96.58</v>
      </c>
      <c r="R314" s="345">
        <v>41.63</v>
      </c>
      <c r="S314" s="345">
        <v>166.47</v>
      </c>
      <c r="T314" s="345">
        <v>295</v>
      </c>
      <c r="U314" s="345">
        <v>205.89</v>
      </c>
      <c r="V314" s="345">
        <v>36</v>
      </c>
      <c r="W314" s="345">
        <v>142.01</v>
      </c>
      <c r="X314" s="345">
        <v>4</v>
      </c>
      <c r="Y314" s="345">
        <v>0</v>
      </c>
      <c r="Z314" s="345">
        <v>1</v>
      </c>
      <c r="AA314" s="345">
        <v>7</v>
      </c>
      <c r="AB314" s="345">
        <v>21</v>
      </c>
      <c r="AC314" s="345">
        <v>8</v>
      </c>
      <c r="AD314" s="349">
        <v>750</v>
      </c>
      <c r="AE314" s="349">
        <v>2</v>
      </c>
      <c r="AF314" s="349">
        <v>8</v>
      </c>
      <c r="AG314" s="349">
        <v>10</v>
      </c>
    </row>
    <row r="315" spans="1:33" x14ac:dyDescent="0.2">
      <c r="A315" s="344" t="s">
        <v>682</v>
      </c>
      <c r="B315" s="350" t="s">
        <v>683</v>
      </c>
      <c r="C315" s="346">
        <v>1656</v>
      </c>
      <c r="D315" s="346">
        <v>0</v>
      </c>
      <c r="E315" s="346">
        <v>171</v>
      </c>
      <c r="F315" s="346">
        <v>180</v>
      </c>
      <c r="G315" s="346">
        <v>780</v>
      </c>
      <c r="H315" s="346">
        <v>2787</v>
      </c>
      <c r="I315" s="345">
        <v>2007</v>
      </c>
      <c r="J315" s="345">
        <v>6</v>
      </c>
      <c r="K315" s="347">
        <v>129.33000000000001</v>
      </c>
      <c r="L315" s="347">
        <v>126.82</v>
      </c>
      <c r="M315" s="347">
        <v>6.78</v>
      </c>
      <c r="N315" s="347">
        <v>135.01</v>
      </c>
      <c r="O315" s="348">
        <v>1486</v>
      </c>
      <c r="P315" s="345">
        <v>105.01</v>
      </c>
      <c r="Q315" s="345">
        <v>103.94</v>
      </c>
      <c r="R315" s="345">
        <v>42.75</v>
      </c>
      <c r="S315" s="345">
        <v>145.94</v>
      </c>
      <c r="T315" s="345">
        <v>235</v>
      </c>
      <c r="U315" s="345">
        <v>159.75</v>
      </c>
      <c r="V315" s="345">
        <v>128</v>
      </c>
      <c r="W315" s="345">
        <v>0</v>
      </c>
      <c r="X315" s="345">
        <v>0</v>
      </c>
      <c r="Y315" s="345">
        <v>0</v>
      </c>
      <c r="Z315" s="345">
        <v>0</v>
      </c>
      <c r="AA315" s="345">
        <v>4</v>
      </c>
      <c r="AB315" s="345">
        <v>148</v>
      </c>
      <c r="AC315" s="345">
        <v>14</v>
      </c>
      <c r="AD315" s="349">
        <v>1636</v>
      </c>
      <c r="AE315" s="349">
        <v>7</v>
      </c>
      <c r="AF315" s="349">
        <v>4</v>
      </c>
      <c r="AG315" s="349">
        <v>11</v>
      </c>
    </row>
    <row r="316" spans="1:33" x14ac:dyDescent="0.2">
      <c r="A316" s="344" t="s">
        <v>684</v>
      </c>
      <c r="B316" s="350" t="s">
        <v>685</v>
      </c>
      <c r="C316" s="346">
        <v>4382</v>
      </c>
      <c r="D316" s="346">
        <v>2</v>
      </c>
      <c r="E316" s="346">
        <v>552</v>
      </c>
      <c r="F316" s="346">
        <v>1503</v>
      </c>
      <c r="G316" s="346">
        <v>289</v>
      </c>
      <c r="H316" s="346">
        <v>6728</v>
      </c>
      <c r="I316" s="345">
        <v>6439</v>
      </c>
      <c r="J316" s="345">
        <v>0</v>
      </c>
      <c r="K316" s="347">
        <v>88.81</v>
      </c>
      <c r="L316" s="347">
        <v>78.069999999999993</v>
      </c>
      <c r="M316" s="347">
        <v>6.26</v>
      </c>
      <c r="N316" s="347">
        <v>94.28</v>
      </c>
      <c r="O316" s="348">
        <v>3862</v>
      </c>
      <c r="P316" s="345">
        <v>99.95</v>
      </c>
      <c r="Q316" s="345">
        <v>87.35</v>
      </c>
      <c r="R316" s="345">
        <v>50.9</v>
      </c>
      <c r="S316" s="345">
        <v>148.05000000000001</v>
      </c>
      <c r="T316" s="345">
        <v>1852</v>
      </c>
      <c r="U316" s="345">
        <v>106.31</v>
      </c>
      <c r="V316" s="345">
        <v>364</v>
      </c>
      <c r="W316" s="345">
        <v>169.39</v>
      </c>
      <c r="X316" s="345">
        <v>36</v>
      </c>
      <c r="Y316" s="345">
        <v>0</v>
      </c>
      <c r="Z316" s="345">
        <v>2</v>
      </c>
      <c r="AA316" s="345">
        <v>8</v>
      </c>
      <c r="AB316" s="345">
        <v>5</v>
      </c>
      <c r="AC316" s="345">
        <v>7</v>
      </c>
      <c r="AD316" s="349">
        <v>4382</v>
      </c>
      <c r="AE316" s="349">
        <v>32</v>
      </c>
      <c r="AF316" s="349">
        <v>25</v>
      </c>
      <c r="AG316" s="349">
        <v>57</v>
      </c>
    </row>
    <row r="317" spans="1:33" x14ac:dyDescent="0.2">
      <c r="A317" s="344" t="s">
        <v>686</v>
      </c>
      <c r="B317" s="350" t="s">
        <v>687</v>
      </c>
      <c r="C317" s="346">
        <v>6170</v>
      </c>
      <c r="D317" s="346">
        <v>57</v>
      </c>
      <c r="E317" s="346">
        <v>463</v>
      </c>
      <c r="F317" s="346">
        <v>961</v>
      </c>
      <c r="G317" s="346">
        <v>483</v>
      </c>
      <c r="H317" s="346">
        <v>8134</v>
      </c>
      <c r="I317" s="345">
        <v>7651</v>
      </c>
      <c r="J317" s="345">
        <v>0</v>
      </c>
      <c r="K317" s="347">
        <v>87.13</v>
      </c>
      <c r="L317" s="347">
        <v>87.19</v>
      </c>
      <c r="M317" s="347">
        <v>5.67</v>
      </c>
      <c r="N317" s="347">
        <v>92.38</v>
      </c>
      <c r="O317" s="348">
        <v>5245</v>
      </c>
      <c r="P317" s="345">
        <v>83.6</v>
      </c>
      <c r="Q317" s="345">
        <v>78.98</v>
      </c>
      <c r="R317" s="345">
        <v>40.18</v>
      </c>
      <c r="S317" s="345">
        <v>122.55</v>
      </c>
      <c r="T317" s="345">
        <v>1141</v>
      </c>
      <c r="U317" s="345">
        <v>109.18</v>
      </c>
      <c r="V317" s="345">
        <v>832</v>
      </c>
      <c r="W317" s="345">
        <v>170.54</v>
      </c>
      <c r="X317" s="345">
        <v>160</v>
      </c>
      <c r="Y317" s="345">
        <v>0</v>
      </c>
      <c r="Z317" s="345">
        <v>14</v>
      </c>
      <c r="AA317" s="345">
        <v>0</v>
      </c>
      <c r="AB317" s="345">
        <v>21</v>
      </c>
      <c r="AC317" s="345">
        <v>15</v>
      </c>
      <c r="AD317" s="349">
        <v>6086</v>
      </c>
      <c r="AE317" s="349">
        <v>36</v>
      </c>
      <c r="AF317" s="349">
        <v>14</v>
      </c>
      <c r="AG317" s="349">
        <v>50</v>
      </c>
    </row>
    <row r="318" spans="1:33" x14ac:dyDescent="0.2">
      <c r="A318" s="344" t="s">
        <v>688</v>
      </c>
      <c r="B318" s="350" t="s">
        <v>689</v>
      </c>
      <c r="C318" s="346">
        <v>4040</v>
      </c>
      <c r="D318" s="346">
        <v>35</v>
      </c>
      <c r="E318" s="346">
        <v>246</v>
      </c>
      <c r="F318" s="346">
        <v>490</v>
      </c>
      <c r="G318" s="346">
        <v>141</v>
      </c>
      <c r="H318" s="346">
        <v>4952</v>
      </c>
      <c r="I318" s="345">
        <v>4811</v>
      </c>
      <c r="J318" s="345">
        <v>21</v>
      </c>
      <c r="K318" s="347">
        <v>101.4</v>
      </c>
      <c r="L318" s="347">
        <v>100.14</v>
      </c>
      <c r="M318" s="347">
        <v>6.77</v>
      </c>
      <c r="N318" s="347">
        <v>105.6</v>
      </c>
      <c r="O318" s="348">
        <v>3750</v>
      </c>
      <c r="P318" s="345">
        <v>90.46</v>
      </c>
      <c r="Q318" s="345">
        <v>86.05</v>
      </c>
      <c r="R318" s="345">
        <v>32.89</v>
      </c>
      <c r="S318" s="345">
        <v>121.9</v>
      </c>
      <c r="T318" s="345">
        <v>523</v>
      </c>
      <c r="U318" s="345">
        <v>139.41999999999999</v>
      </c>
      <c r="V318" s="345">
        <v>159</v>
      </c>
      <c r="W318" s="345">
        <v>0</v>
      </c>
      <c r="X318" s="345">
        <v>0</v>
      </c>
      <c r="Y318" s="345">
        <v>0</v>
      </c>
      <c r="Z318" s="345">
        <v>3</v>
      </c>
      <c r="AA318" s="345">
        <v>25</v>
      </c>
      <c r="AB318" s="345">
        <v>14</v>
      </c>
      <c r="AC318" s="345">
        <v>3</v>
      </c>
      <c r="AD318" s="349">
        <v>4011</v>
      </c>
      <c r="AE318" s="349">
        <v>8</v>
      </c>
      <c r="AF318" s="349">
        <v>5</v>
      </c>
      <c r="AG318" s="349">
        <v>13</v>
      </c>
    </row>
    <row r="319" spans="1:33" x14ac:dyDescent="0.2">
      <c r="A319" s="344" t="s">
        <v>690</v>
      </c>
      <c r="B319" s="350" t="s">
        <v>691</v>
      </c>
      <c r="C319" s="346">
        <v>7491</v>
      </c>
      <c r="D319" s="346">
        <v>7</v>
      </c>
      <c r="E319" s="346">
        <v>95</v>
      </c>
      <c r="F319" s="346">
        <v>854</v>
      </c>
      <c r="G319" s="346">
        <v>434</v>
      </c>
      <c r="H319" s="346">
        <v>8881</v>
      </c>
      <c r="I319" s="345">
        <v>8447</v>
      </c>
      <c r="J319" s="345">
        <v>9</v>
      </c>
      <c r="K319" s="347">
        <v>94.55</v>
      </c>
      <c r="L319" s="347">
        <v>91.66</v>
      </c>
      <c r="M319" s="347">
        <v>3.85</v>
      </c>
      <c r="N319" s="347">
        <v>96.52</v>
      </c>
      <c r="O319" s="348">
        <v>6452</v>
      </c>
      <c r="P319" s="345">
        <v>96.6</v>
      </c>
      <c r="Q319" s="345">
        <v>86.74</v>
      </c>
      <c r="R319" s="345">
        <v>35.69</v>
      </c>
      <c r="S319" s="345">
        <v>132.05000000000001</v>
      </c>
      <c r="T319" s="345">
        <v>920</v>
      </c>
      <c r="U319" s="345">
        <v>114.83</v>
      </c>
      <c r="V319" s="345">
        <v>1029</v>
      </c>
      <c r="W319" s="345">
        <v>199</v>
      </c>
      <c r="X319" s="345">
        <v>29</v>
      </c>
      <c r="Y319" s="345">
        <v>0</v>
      </c>
      <c r="Z319" s="345">
        <v>7</v>
      </c>
      <c r="AA319" s="345">
        <v>1</v>
      </c>
      <c r="AB319" s="345">
        <v>74</v>
      </c>
      <c r="AC319" s="345">
        <v>5</v>
      </c>
      <c r="AD319" s="349">
        <v>7491</v>
      </c>
      <c r="AE319" s="349">
        <v>42</v>
      </c>
      <c r="AF319" s="349">
        <v>16</v>
      </c>
      <c r="AG319" s="349">
        <v>58</v>
      </c>
    </row>
    <row r="320" spans="1:33" x14ac:dyDescent="0.2">
      <c r="A320" s="345" t="s">
        <v>692</v>
      </c>
      <c r="B320" s="346" t="s">
        <v>693</v>
      </c>
      <c r="C320" s="350">
        <v>3252</v>
      </c>
      <c r="D320" s="350">
        <v>0</v>
      </c>
      <c r="E320" s="350">
        <v>235</v>
      </c>
      <c r="F320" s="350">
        <v>375</v>
      </c>
      <c r="G320" s="350">
        <v>177</v>
      </c>
      <c r="H320" s="350">
        <v>4039</v>
      </c>
      <c r="I320" s="344">
        <v>3862</v>
      </c>
      <c r="J320" s="344">
        <v>0</v>
      </c>
      <c r="K320" s="353">
        <v>85.74</v>
      </c>
      <c r="L320" s="353">
        <v>85.79</v>
      </c>
      <c r="M320" s="353">
        <v>4.21</v>
      </c>
      <c r="N320" s="353">
        <v>88.11</v>
      </c>
      <c r="O320" s="354">
        <v>2990</v>
      </c>
      <c r="P320" s="344">
        <v>97.61</v>
      </c>
      <c r="Q320" s="344">
        <v>82.31</v>
      </c>
      <c r="R320" s="344">
        <v>34.83</v>
      </c>
      <c r="S320" s="344">
        <v>130.91999999999999</v>
      </c>
      <c r="T320" s="344">
        <v>574</v>
      </c>
      <c r="U320" s="344">
        <v>103.01</v>
      </c>
      <c r="V320" s="344">
        <v>213</v>
      </c>
      <c r="W320" s="344">
        <v>0</v>
      </c>
      <c r="X320" s="344">
        <v>0</v>
      </c>
      <c r="Y320" s="344">
        <v>0</v>
      </c>
      <c r="Z320" s="344">
        <v>1</v>
      </c>
      <c r="AA320" s="344">
        <v>1</v>
      </c>
      <c r="AB320" s="344">
        <v>13</v>
      </c>
      <c r="AC320" s="344">
        <v>4</v>
      </c>
      <c r="AD320" s="355">
        <v>3217</v>
      </c>
      <c r="AE320" s="355">
        <v>36</v>
      </c>
      <c r="AF320" s="355">
        <v>123</v>
      </c>
      <c r="AG320" s="355">
        <v>159</v>
      </c>
    </row>
    <row r="321" spans="1:33" x14ac:dyDescent="0.2">
      <c r="A321" s="344" t="s">
        <v>694</v>
      </c>
      <c r="B321" s="350" t="s">
        <v>695</v>
      </c>
      <c r="C321" s="350">
        <v>4438</v>
      </c>
      <c r="D321" s="350">
        <v>0</v>
      </c>
      <c r="E321" s="350">
        <v>2185</v>
      </c>
      <c r="F321" s="350">
        <v>58</v>
      </c>
      <c r="G321" s="350">
        <v>411</v>
      </c>
      <c r="H321" s="350">
        <v>7092</v>
      </c>
      <c r="I321" s="344">
        <v>6681</v>
      </c>
      <c r="J321" s="344">
        <v>0</v>
      </c>
      <c r="K321" s="353">
        <v>88.41</v>
      </c>
      <c r="L321" s="353">
        <v>84.91</v>
      </c>
      <c r="M321" s="353">
        <v>4.3600000000000003</v>
      </c>
      <c r="N321" s="353">
        <v>92.58</v>
      </c>
      <c r="O321" s="354">
        <v>4106</v>
      </c>
      <c r="P321" s="344">
        <v>85</v>
      </c>
      <c r="Q321" s="344">
        <v>78.98</v>
      </c>
      <c r="R321" s="344">
        <v>15.37</v>
      </c>
      <c r="S321" s="344">
        <v>100.34</v>
      </c>
      <c r="T321" s="344">
        <v>2124</v>
      </c>
      <c r="U321" s="344">
        <v>97.32</v>
      </c>
      <c r="V321" s="344">
        <v>297</v>
      </c>
      <c r="W321" s="344">
        <v>168.39</v>
      </c>
      <c r="X321" s="344">
        <v>115</v>
      </c>
      <c r="Y321" s="344">
        <v>0</v>
      </c>
      <c r="Z321" s="344">
        <v>16</v>
      </c>
      <c r="AA321" s="344">
        <v>6</v>
      </c>
      <c r="AB321" s="344">
        <v>29</v>
      </c>
      <c r="AC321" s="344">
        <v>16</v>
      </c>
      <c r="AD321" s="355">
        <v>4438</v>
      </c>
      <c r="AE321" s="355">
        <v>22</v>
      </c>
      <c r="AF321" s="355">
        <v>8</v>
      </c>
      <c r="AG321" s="355">
        <v>30</v>
      </c>
    </row>
    <row r="322" spans="1:33" x14ac:dyDescent="0.2">
      <c r="A322" s="344" t="s">
        <v>696</v>
      </c>
      <c r="B322" s="350" t="s">
        <v>697</v>
      </c>
      <c r="C322" s="350">
        <v>3900</v>
      </c>
      <c r="D322" s="350">
        <v>10</v>
      </c>
      <c r="E322" s="350">
        <v>359</v>
      </c>
      <c r="F322" s="350">
        <v>678</v>
      </c>
      <c r="G322" s="350">
        <v>415</v>
      </c>
      <c r="H322" s="350">
        <v>5362</v>
      </c>
      <c r="I322" s="344">
        <v>4947</v>
      </c>
      <c r="J322" s="344">
        <v>0</v>
      </c>
      <c r="K322" s="353">
        <v>93.17</v>
      </c>
      <c r="L322" s="353">
        <v>92.04</v>
      </c>
      <c r="M322" s="353">
        <v>7.16</v>
      </c>
      <c r="N322" s="353">
        <v>96.61</v>
      </c>
      <c r="O322" s="354">
        <v>2987</v>
      </c>
      <c r="P322" s="344">
        <v>82.55</v>
      </c>
      <c r="Q322" s="344">
        <v>75.459999999999994</v>
      </c>
      <c r="R322" s="344">
        <v>25.92</v>
      </c>
      <c r="S322" s="344">
        <v>107.71</v>
      </c>
      <c r="T322" s="344">
        <v>678</v>
      </c>
      <c r="U322" s="344">
        <v>108.81</v>
      </c>
      <c r="V322" s="344">
        <v>462</v>
      </c>
      <c r="W322" s="344">
        <v>0</v>
      </c>
      <c r="X322" s="344">
        <v>0</v>
      </c>
      <c r="Y322" s="344">
        <v>0</v>
      </c>
      <c r="Z322" s="344">
        <v>2</v>
      </c>
      <c r="AA322" s="344">
        <v>5</v>
      </c>
      <c r="AB322" s="344">
        <v>3</v>
      </c>
      <c r="AC322" s="344">
        <v>5</v>
      </c>
      <c r="AD322" s="355">
        <v>3552</v>
      </c>
      <c r="AE322" s="355">
        <v>3</v>
      </c>
      <c r="AF322" s="355">
        <v>4</v>
      </c>
      <c r="AG322" s="355">
        <v>7</v>
      </c>
    </row>
  </sheetData>
  <pageMargins left="0.7" right="0.7" top="0.75" bottom="0.75" header="0.3" footer="0.3"/>
  <pageSetup paperSize="9" orientation="portrait" r:id="rId1"/>
  <headerFooter>
    <oddFooter>&amp;C&amp;1#&amp;"Calibri"&amp;12&amp;K0078D7OFFICIAL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412A0-2057-4F66-8269-A351D37FB625}">
  <sheetPr codeName="Sheet6">
    <tabColor rgb="FFFFFF00"/>
  </sheetPr>
  <dimension ref="A1:AG322"/>
  <sheetViews>
    <sheetView zoomScale="80" zoomScaleNormal="80" workbookViewId="0">
      <pane ySplit="4" topLeftCell="A195" activePane="bottomLeft" state="frozen"/>
      <selection sqref="A1:XFD1048576"/>
      <selection pane="bottomLeft" sqref="A1:XFD1048576"/>
    </sheetView>
  </sheetViews>
  <sheetFormatPr defaultColWidth="9.140625" defaultRowHeight="12.75" x14ac:dyDescent="0.2"/>
  <cols>
    <col min="1" max="8" width="9.140625" style="145"/>
    <col min="9" max="10" width="10.42578125" style="145" customWidth="1"/>
    <col min="11" max="11" width="10.42578125" style="145" bestFit="1" customWidth="1"/>
    <col min="12" max="16384" width="9.140625" style="145"/>
  </cols>
  <sheetData>
    <row r="1" spans="1:33" s="144" customFormat="1" x14ac:dyDescent="0.2">
      <c r="A1" s="134"/>
      <c r="B1" s="134"/>
      <c r="C1" s="135" t="s">
        <v>38</v>
      </c>
      <c r="D1" s="135" t="s">
        <v>38</v>
      </c>
      <c r="E1" s="135" t="s">
        <v>38</v>
      </c>
      <c r="F1" s="135" t="s">
        <v>38</v>
      </c>
      <c r="G1" s="135" t="s">
        <v>38</v>
      </c>
      <c r="H1" s="135" t="s">
        <v>38</v>
      </c>
      <c r="I1" s="136" t="s">
        <v>39</v>
      </c>
      <c r="J1" s="136" t="s">
        <v>39</v>
      </c>
      <c r="K1" s="137" t="s">
        <v>40</v>
      </c>
      <c r="L1" s="137" t="s">
        <v>40</v>
      </c>
      <c r="M1" s="137" t="s">
        <v>40</v>
      </c>
      <c r="N1" s="138" t="s">
        <v>40</v>
      </c>
      <c r="O1" s="137" t="s">
        <v>40</v>
      </c>
      <c r="P1" s="139" t="s">
        <v>41</v>
      </c>
      <c r="Q1" s="139" t="s">
        <v>41</v>
      </c>
      <c r="R1" s="139" t="s">
        <v>41</v>
      </c>
      <c r="S1" s="139" t="s">
        <v>41</v>
      </c>
      <c r="T1" s="139" t="s">
        <v>41</v>
      </c>
      <c r="U1" s="140" t="s">
        <v>42</v>
      </c>
      <c r="V1" s="140" t="s">
        <v>42</v>
      </c>
      <c r="W1" s="141" t="s">
        <v>43</v>
      </c>
      <c r="X1" s="141" t="s">
        <v>43</v>
      </c>
      <c r="Y1" s="142" t="s">
        <v>44</v>
      </c>
      <c r="Z1" s="142" t="s">
        <v>44</v>
      </c>
      <c r="AA1" s="142" t="s">
        <v>44</v>
      </c>
      <c r="AB1" s="142" t="s">
        <v>44</v>
      </c>
      <c r="AC1" s="142" t="s">
        <v>44</v>
      </c>
      <c r="AD1" s="143" t="s">
        <v>45</v>
      </c>
      <c r="AE1" s="143" t="s">
        <v>45</v>
      </c>
      <c r="AF1" s="143" t="s">
        <v>45</v>
      </c>
      <c r="AG1" s="143" t="s">
        <v>45</v>
      </c>
    </row>
    <row r="2" spans="1:33" x14ac:dyDescent="0.2">
      <c r="B2" s="146">
        <v>1</v>
      </c>
      <c r="C2" s="146">
        <v>2</v>
      </c>
      <c r="D2" s="146">
        <v>3</v>
      </c>
      <c r="E2" s="146">
        <v>4</v>
      </c>
      <c r="F2" s="146">
        <v>5</v>
      </c>
      <c r="G2" s="146">
        <v>6</v>
      </c>
      <c r="H2" s="146">
        <v>7</v>
      </c>
      <c r="I2" s="146">
        <v>8</v>
      </c>
      <c r="J2" s="146">
        <v>9</v>
      </c>
      <c r="K2" s="146">
        <v>10</v>
      </c>
      <c r="L2" s="146">
        <v>11</v>
      </c>
      <c r="M2" s="146">
        <v>12</v>
      </c>
      <c r="N2" s="146">
        <v>13</v>
      </c>
      <c r="O2" s="146">
        <v>14</v>
      </c>
      <c r="P2" s="146">
        <v>15</v>
      </c>
      <c r="Q2" s="146">
        <v>16</v>
      </c>
      <c r="R2" s="146">
        <v>17</v>
      </c>
      <c r="S2" s="146">
        <v>18</v>
      </c>
      <c r="T2" s="146">
        <v>19</v>
      </c>
      <c r="U2" s="146">
        <v>20</v>
      </c>
      <c r="V2" s="146">
        <v>21</v>
      </c>
      <c r="W2" s="146">
        <v>22</v>
      </c>
      <c r="X2" s="146">
        <v>23</v>
      </c>
      <c r="Y2" s="146">
        <v>24</v>
      </c>
      <c r="Z2" s="146">
        <v>25</v>
      </c>
      <c r="AA2" s="146">
        <v>26</v>
      </c>
      <c r="AB2" s="146">
        <v>27</v>
      </c>
      <c r="AC2" s="146">
        <v>28</v>
      </c>
      <c r="AD2" s="146">
        <v>29</v>
      </c>
      <c r="AE2" s="146">
        <v>30</v>
      </c>
      <c r="AF2" s="146">
        <v>31</v>
      </c>
      <c r="AG2" s="146">
        <v>32</v>
      </c>
    </row>
    <row r="3" spans="1:33" ht="89.25" x14ac:dyDescent="0.2">
      <c r="A3" s="145" t="s">
        <v>46</v>
      </c>
      <c r="B3" s="145" t="s">
        <v>47</v>
      </c>
      <c r="C3" s="147" t="s">
        <v>48</v>
      </c>
      <c r="D3" s="147" t="s">
        <v>49</v>
      </c>
      <c r="E3" s="147" t="s">
        <v>50</v>
      </c>
      <c r="F3" s="147" t="s">
        <v>51</v>
      </c>
      <c r="G3" s="147" t="s">
        <v>52</v>
      </c>
      <c r="H3" s="147" t="s">
        <v>53</v>
      </c>
      <c r="I3" s="148" t="s">
        <v>54</v>
      </c>
      <c r="J3" s="148" t="s">
        <v>55</v>
      </c>
      <c r="K3" s="149" t="s">
        <v>56</v>
      </c>
      <c r="L3" s="149" t="s">
        <v>57</v>
      </c>
      <c r="M3" s="149" t="s">
        <v>58</v>
      </c>
      <c r="N3" s="150" t="s">
        <v>59</v>
      </c>
      <c r="O3" s="149" t="s">
        <v>60</v>
      </c>
      <c r="P3" s="151" t="s">
        <v>61</v>
      </c>
      <c r="Q3" s="151" t="s">
        <v>62</v>
      </c>
      <c r="R3" s="151" t="s">
        <v>58</v>
      </c>
      <c r="S3" s="151" t="s">
        <v>63</v>
      </c>
      <c r="T3" s="151" t="s">
        <v>64</v>
      </c>
      <c r="U3" s="152" t="s">
        <v>65</v>
      </c>
      <c r="V3" s="152" t="s">
        <v>66</v>
      </c>
      <c r="W3" s="153" t="s">
        <v>67</v>
      </c>
      <c r="X3" s="153" t="s">
        <v>68</v>
      </c>
      <c r="Y3" s="154" t="s">
        <v>69</v>
      </c>
      <c r="Z3" s="154" t="s">
        <v>70</v>
      </c>
      <c r="AA3" s="154" t="s">
        <v>71</v>
      </c>
      <c r="AB3" s="154" t="s">
        <v>72</v>
      </c>
      <c r="AC3" s="154" t="s">
        <v>73</v>
      </c>
      <c r="AD3" s="155" t="s">
        <v>74</v>
      </c>
      <c r="AE3" s="155" t="s">
        <v>75</v>
      </c>
      <c r="AF3" s="155" t="s">
        <v>76</v>
      </c>
      <c r="AG3" s="155" t="s">
        <v>77</v>
      </c>
    </row>
    <row r="4" spans="1:33" x14ac:dyDescent="0.2">
      <c r="A4" s="344" t="s">
        <v>13</v>
      </c>
      <c r="B4" s="344" t="s">
        <v>13</v>
      </c>
      <c r="C4" s="345">
        <v>2151274</v>
      </c>
      <c r="D4" s="345">
        <v>12576</v>
      </c>
      <c r="E4" s="345">
        <v>139183</v>
      </c>
      <c r="F4" s="345">
        <v>257960</v>
      </c>
      <c r="G4" s="345">
        <v>180608</v>
      </c>
      <c r="H4" s="346">
        <v>2741601</v>
      </c>
      <c r="I4" s="345">
        <v>2560993</v>
      </c>
      <c r="J4" s="345">
        <v>8896</v>
      </c>
      <c r="K4" s="347">
        <v>95.12</v>
      </c>
      <c r="L4" s="347">
        <v>94.54</v>
      </c>
      <c r="M4" s="347">
        <v>6.88</v>
      </c>
      <c r="N4" s="347">
        <v>99.18</v>
      </c>
      <c r="O4" s="348">
        <v>1842615</v>
      </c>
      <c r="P4" s="345">
        <v>92.78</v>
      </c>
      <c r="Q4" s="345">
        <v>86.8</v>
      </c>
      <c r="R4" s="345">
        <v>41.68</v>
      </c>
      <c r="S4" s="345">
        <v>131.68</v>
      </c>
      <c r="T4" s="345">
        <v>336779</v>
      </c>
      <c r="U4" s="345">
        <v>128.05000000000001</v>
      </c>
      <c r="V4" s="345">
        <v>231212</v>
      </c>
      <c r="W4" s="345">
        <v>169.93</v>
      </c>
      <c r="X4" s="345">
        <v>13668</v>
      </c>
      <c r="Y4" s="345">
        <v>6074</v>
      </c>
      <c r="Z4" s="345">
        <v>4977</v>
      </c>
      <c r="AA4" s="345">
        <v>3110</v>
      </c>
      <c r="AB4" s="345">
        <v>11306</v>
      </c>
      <c r="AC4" s="345">
        <v>4063</v>
      </c>
      <c r="AD4" s="349">
        <v>2093758</v>
      </c>
      <c r="AE4" s="345">
        <v>12562</v>
      </c>
      <c r="AF4" s="345">
        <v>12987</v>
      </c>
      <c r="AG4" s="345">
        <v>25549</v>
      </c>
    </row>
    <row r="5" spans="1:33" x14ac:dyDescent="0.2">
      <c r="A5" s="350" t="s">
        <v>78</v>
      </c>
      <c r="B5" s="350" t="s">
        <v>78</v>
      </c>
      <c r="C5" s="346">
        <v>112630</v>
      </c>
      <c r="D5" s="346">
        <v>364</v>
      </c>
      <c r="E5" s="346">
        <v>8543</v>
      </c>
      <c r="F5" s="346">
        <v>22688</v>
      </c>
      <c r="G5" s="346">
        <v>13156</v>
      </c>
      <c r="H5" s="346">
        <v>157381</v>
      </c>
      <c r="I5" s="345">
        <v>144225</v>
      </c>
      <c r="J5" s="345">
        <v>92</v>
      </c>
      <c r="K5" s="347">
        <v>87.4</v>
      </c>
      <c r="L5" s="347">
        <v>86.52</v>
      </c>
      <c r="M5" s="347">
        <v>5.03</v>
      </c>
      <c r="N5" s="347">
        <v>90.59</v>
      </c>
      <c r="O5" s="348">
        <v>95846</v>
      </c>
      <c r="P5" s="345">
        <v>89.51</v>
      </c>
      <c r="Q5" s="345">
        <v>82.25</v>
      </c>
      <c r="R5" s="345">
        <v>38.18</v>
      </c>
      <c r="S5" s="345">
        <v>125.56</v>
      </c>
      <c r="T5" s="345">
        <v>28062</v>
      </c>
      <c r="U5" s="345">
        <v>104.19</v>
      </c>
      <c r="V5" s="345">
        <v>13176</v>
      </c>
      <c r="W5" s="345">
        <v>161.72</v>
      </c>
      <c r="X5" s="345">
        <v>707</v>
      </c>
      <c r="Y5" s="345">
        <v>949</v>
      </c>
      <c r="Z5" s="345">
        <v>185</v>
      </c>
      <c r="AA5" s="345">
        <v>224</v>
      </c>
      <c r="AB5" s="345">
        <v>977</v>
      </c>
      <c r="AC5" s="345">
        <v>292</v>
      </c>
      <c r="AD5" s="349">
        <v>110969</v>
      </c>
      <c r="AE5" s="345">
        <v>545</v>
      </c>
      <c r="AF5" s="345">
        <v>474</v>
      </c>
      <c r="AG5" s="345">
        <v>1019</v>
      </c>
    </row>
    <row r="6" spans="1:33" x14ac:dyDescent="0.2">
      <c r="A6" s="350" t="s">
        <v>79</v>
      </c>
      <c r="B6" s="350" t="s">
        <v>79</v>
      </c>
      <c r="C6" s="346">
        <v>216625</v>
      </c>
      <c r="D6" s="346">
        <v>1886</v>
      </c>
      <c r="E6" s="346">
        <v>12053</v>
      </c>
      <c r="F6" s="346">
        <v>28069</v>
      </c>
      <c r="G6" s="346">
        <v>19467</v>
      </c>
      <c r="H6" s="346">
        <v>278100</v>
      </c>
      <c r="I6" s="345">
        <v>258633</v>
      </c>
      <c r="J6" s="345">
        <v>1359</v>
      </c>
      <c r="K6" s="347">
        <v>98.99</v>
      </c>
      <c r="L6" s="347">
        <v>98.96</v>
      </c>
      <c r="M6" s="347">
        <v>6.22</v>
      </c>
      <c r="N6" s="347">
        <v>102.07</v>
      </c>
      <c r="O6" s="348">
        <v>184239</v>
      </c>
      <c r="P6" s="345">
        <v>93.46</v>
      </c>
      <c r="Q6" s="345">
        <v>88.01</v>
      </c>
      <c r="R6" s="345">
        <v>38.26</v>
      </c>
      <c r="S6" s="345">
        <v>129.24</v>
      </c>
      <c r="T6" s="345">
        <v>35003</v>
      </c>
      <c r="U6" s="345">
        <v>132.82</v>
      </c>
      <c r="V6" s="345">
        <v>27013</v>
      </c>
      <c r="W6" s="345">
        <v>158.69999999999999</v>
      </c>
      <c r="X6" s="345">
        <v>456</v>
      </c>
      <c r="Y6" s="345">
        <v>606</v>
      </c>
      <c r="Z6" s="345">
        <v>320</v>
      </c>
      <c r="AA6" s="345">
        <v>370</v>
      </c>
      <c r="AB6" s="345">
        <v>1517</v>
      </c>
      <c r="AC6" s="345">
        <v>442</v>
      </c>
      <c r="AD6" s="349">
        <v>214432</v>
      </c>
      <c r="AE6" s="345">
        <v>987</v>
      </c>
      <c r="AF6" s="345">
        <v>1030</v>
      </c>
      <c r="AG6" s="345">
        <v>2017</v>
      </c>
    </row>
    <row r="7" spans="1:33" x14ac:dyDescent="0.2">
      <c r="A7" s="350" t="s">
        <v>80</v>
      </c>
      <c r="B7" s="350" t="s">
        <v>80</v>
      </c>
      <c r="C7" s="346">
        <v>353364</v>
      </c>
      <c r="D7" s="346">
        <v>6870</v>
      </c>
      <c r="E7" s="346">
        <v>25442</v>
      </c>
      <c r="F7" s="346">
        <v>27592</v>
      </c>
      <c r="G7" s="346">
        <v>46693</v>
      </c>
      <c r="H7" s="346">
        <v>459961</v>
      </c>
      <c r="I7" s="345">
        <v>413268</v>
      </c>
      <c r="J7" s="345">
        <v>3466</v>
      </c>
      <c r="K7" s="347">
        <v>121.74</v>
      </c>
      <c r="L7" s="347">
        <v>123.77</v>
      </c>
      <c r="M7" s="347">
        <v>12.27</v>
      </c>
      <c r="N7" s="347">
        <v>130.74</v>
      </c>
      <c r="O7" s="348">
        <v>294197</v>
      </c>
      <c r="P7" s="345">
        <v>112.48</v>
      </c>
      <c r="Q7" s="345">
        <v>107.6</v>
      </c>
      <c r="R7" s="345">
        <v>54.68</v>
      </c>
      <c r="S7" s="345">
        <v>158.19</v>
      </c>
      <c r="T7" s="345">
        <v>42738</v>
      </c>
      <c r="U7" s="345">
        <v>188.35</v>
      </c>
      <c r="V7" s="345">
        <v>31822</v>
      </c>
      <c r="W7" s="345">
        <v>207.27</v>
      </c>
      <c r="X7" s="345">
        <v>1283</v>
      </c>
      <c r="Y7" s="345">
        <v>196</v>
      </c>
      <c r="Z7" s="345">
        <v>266</v>
      </c>
      <c r="AA7" s="345">
        <v>412</v>
      </c>
      <c r="AB7" s="345">
        <v>2137</v>
      </c>
      <c r="AC7" s="345">
        <v>1256</v>
      </c>
      <c r="AD7" s="349">
        <v>331975</v>
      </c>
      <c r="AE7" s="345">
        <v>2108</v>
      </c>
      <c r="AF7" s="345">
        <v>2653</v>
      </c>
      <c r="AG7" s="345">
        <v>4761</v>
      </c>
    </row>
    <row r="8" spans="1:33" x14ac:dyDescent="0.2">
      <c r="A8" s="350" t="s">
        <v>81</v>
      </c>
      <c r="B8" s="350" t="s">
        <v>81</v>
      </c>
      <c r="C8" s="346">
        <v>158196</v>
      </c>
      <c r="D8" s="346">
        <v>446</v>
      </c>
      <c r="E8" s="346">
        <v>8422</v>
      </c>
      <c r="F8" s="346">
        <v>13796</v>
      </c>
      <c r="G8" s="346">
        <v>3188</v>
      </c>
      <c r="H8" s="346">
        <v>184048</v>
      </c>
      <c r="I8" s="345">
        <v>180860</v>
      </c>
      <c r="J8" s="345">
        <v>76</v>
      </c>
      <c r="K8" s="347">
        <v>77.900000000000006</v>
      </c>
      <c r="L8" s="347">
        <v>77</v>
      </c>
      <c r="M8" s="347">
        <v>6.74</v>
      </c>
      <c r="N8" s="347">
        <v>80.069999999999993</v>
      </c>
      <c r="O8" s="348">
        <v>141098</v>
      </c>
      <c r="P8" s="345">
        <v>85.25</v>
      </c>
      <c r="Q8" s="345">
        <v>76.03</v>
      </c>
      <c r="R8" s="345">
        <v>45.83</v>
      </c>
      <c r="S8" s="345">
        <v>126.84</v>
      </c>
      <c r="T8" s="345">
        <v>18551</v>
      </c>
      <c r="U8" s="345">
        <v>95.74</v>
      </c>
      <c r="V8" s="345">
        <v>14364</v>
      </c>
      <c r="W8" s="345">
        <v>159.66999999999999</v>
      </c>
      <c r="X8" s="345">
        <v>2158</v>
      </c>
      <c r="Y8" s="345">
        <v>1293</v>
      </c>
      <c r="Z8" s="345">
        <v>635</v>
      </c>
      <c r="AA8" s="345">
        <v>87</v>
      </c>
      <c r="AB8" s="345">
        <v>169</v>
      </c>
      <c r="AC8" s="345">
        <v>73</v>
      </c>
      <c r="AD8" s="349">
        <v>155188</v>
      </c>
      <c r="AE8" s="345">
        <v>1698</v>
      </c>
      <c r="AF8" s="345">
        <v>997</v>
      </c>
      <c r="AG8" s="345">
        <v>2695</v>
      </c>
    </row>
    <row r="9" spans="1:33" x14ac:dyDescent="0.2">
      <c r="A9" s="350" t="s">
        <v>82</v>
      </c>
      <c r="B9" s="350" t="s">
        <v>82</v>
      </c>
      <c r="C9" s="346">
        <v>429224</v>
      </c>
      <c r="D9" s="346">
        <v>352</v>
      </c>
      <c r="E9" s="346">
        <v>22509</v>
      </c>
      <c r="F9" s="346">
        <v>52564</v>
      </c>
      <c r="G9" s="346">
        <v>13714</v>
      </c>
      <c r="H9" s="346">
        <v>518363</v>
      </c>
      <c r="I9" s="345">
        <v>504649</v>
      </c>
      <c r="J9" s="345">
        <v>1914</v>
      </c>
      <c r="K9" s="347">
        <v>82.14</v>
      </c>
      <c r="L9" s="347">
        <v>81.459999999999994</v>
      </c>
      <c r="M9" s="347">
        <v>4.6100000000000003</v>
      </c>
      <c r="N9" s="347">
        <v>84.69</v>
      </c>
      <c r="O9" s="348">
        <v>372590</v>
      </c>
      <c r="P9" s="345">
        <v>84.25</v>
      </c>
      <c r="Q9" s="345">
        <v>76.7</v>
      </c>
      <c r="R9" s="345">
        <v>35.96</v>
      </c>
      <c r="S9" s="345">
        <v>118.07</v>
      </c>
      <c r="T9" s="345">
        <v>66598</v>
      </c>
      <c r="U9" s="345">
        <v>102.79</v>
      </c>
      <c r="V9" s="345">
        <v>45917</v>
      </c>
      <c r="W9" s="345">
        <v>149.77000000000001</v>
      </c>
      <c r="X9" s="345">
        <v>1845</v>
      </c>
      <c r="Y9" s="345">
        <v>568</v>
      </c>
      <c r="Z9" s="345">
        <v>1979</v>
      </c>
      <c r="AA9" s="345">
        <v>297</v>
      </c>
      <c r="AB9" s="345">
        <v>1027</v>
      </c>
      <c r="AC9" s="345">
        <v>348</v>
      </c>
      <c r="AD9" s="349">
        <v>419037</v>
      </c>
      <c r="AE9" s="345">
        <v>2688</v>
      </c>
      <c r="AF9" s="345">
        <v>2435</v>
      </c>
      <c r="AG9" s="345">
        <v>5123</v>
      </c>
    </row>
    <row r="10" spans="1:33" x14ac:dyDescent="0.2">
      <c r="A10" s="350" t="s">
        <v>83</v>
      </c>
      <c r="B10" s="350" t="s">
        <v>83</v>
      </c>
      <c r="C10" s="346">
        <v>296666</v>
      </c>
      <c r="D10" s="346">
        <v>1258</v>
      </c>
      <c r="E10" s="346">
        <v>15381</v>
      </c>
      <c r="F10" s="346">
        <v>37481</v>
      </c>
      <c r="G10" s="346">
        <v>41610</v>
      </c>
      <c r="H10" s="346">
        <v>392396</v>
      </c>
      <c r="I10" s="345">
        <v>350786</v>
      </c>
      <c r="J10" s="345">
        <v>874</v>
      </c>
      <c r="K10" s="347">
        <v>107.7</v>
      </c>
      <c r="L10" s="347">
        <v>106.15</v>
      </c>
      <c r="M10" s="347">
        <v>6.38</v>
      </c>
      <c r="N10" s="347">
        <v>111.71</v>
      </c>
      <c r="O10" s="348">
        <v>248149</v>
      </c>
      <c r="P10" s="345">
        <v>99.03</v>
      </c>
      <c r="Q10" s="345">
        <v>93.01</v>
      </c>
      <c r="R10" s="345">
        <v>35.89</v>
      </c>
      <c r="S10" s="345">
        <v>132.87</v>
      </c>
      <c r="T10" s="345">
        <v>42074</v>
      </c>
      <c r="U10" s="345">
        <v>151.72</v>
      </c>
      <c r="V10" s="345">
        <v>38536</v>
      </c>
      <c r="W10" s="345">
        <v>169.8</v>
      </c>
      <c r="X10" s="345">
        <v>2238</v>
      </c>
      <c r="Y10" s="345">
        <v>888</v>
      </c>
      <c r="Z10" s="345">
        <v>296</v>
      </c>
      <c r="AA10" s="345">
        <v>503</v>
      </c>
      <c r="AB10" s="345">
        <v>2703</v>
      </c>
      <c r="AC10" s="345">
        <v>735</v>
      </c>
      <c r="AD10" s="349">
        <v>289599</v>
      </c>
      <c r="AE10" s="345">
        <v>1406</v>
      </c>
      <c r="AF10" s="345">
        <v>1339</v>
      </c>
      <c r="AG10" s="345">
        <v>2745</v>
      </c>
    </row>
    <row r="11" spans="1:33" x14ac:dyDescent="0.2">
      <c r="A11" s="350" t="s">
        <v>84</v>
      </c>
      <c r="B11" s="350" t="s">
        <v>84</v>
      </c>
      <c r="C11" s="346">
        <v>196655</v>
      </c>
      <c r="D11" s="346">
        <v>279</v>
      </c>
      <c r="E11" s="346">
        <v>14498</v>
      </c>
      <c r="F11" s="346">
        <v>29798</v>
      </c>
      <c r="G11" s="346">
        <v>19984</v>
      </c>
      <c r="H11" s="346">
        <v>261214</v>
      </c>
      <c r="I11" s="345">
        <v>241230</v>
      </c>
      <c r="J11" s="345">
        <v>344</v>
      </c>
      <c r="K11" s="347">
        <v>92.55</v>
      </c>
      <c r="L11" s="347">
        <v>91.11</v>
      </c>
      <c r="M11" s="347">
        <v>4.8499999999999996</v>
      </c>
      <c r="N11" s="347">
        <v>95.61</v>
      </c>
      <c r="O11" s="348">
        <v>165302</v>
      </c>
      <c r="P11" s="345">
        <v>88.26</v>
      </c>
      <c r="Q11" s="345">
        <v>82.96</v>
      </c>
      <c r="R11" s="345">
        <v>31.74</v>
      </c>
      <c r="S11" s="345">
        <v>119.07</v>
      </c>
      <c r="T11" s="345">
        <v>37663</v>
      </c>
      <c r="U11" s="345">
        <v>121.73</v>
      </c>
      <c r="V11" s="345">
        <v>23446</v>
      </c>
      <c r="W11" s="345">
        <v>156.41999999999999</v>
      </c>
      <c r="X11" s="345">
        <v>1506</v>
      </c>
      <c r="Y11" s="345">
        <v>537</v>
      </c>
      <c r="Z11" s="345">
        <v>335</v>
      </c>
      <c r="AA11" s="345">
        <v>375</v>
      </c>
      <c r="AB11" s="345">
        <v>1306</v>
      </c>
      <c r="AC11" s="345">
        <v>368</v>
      </c>
      <c r="AD11" s="349">
        <v>190494</v>
      </c>
      <c r="AE11" s="345">
        <v>885</v>
      </c>
      <c r="AF11" s="345">
        <v>1070</v>
      </c>
      <c r="AG11" s="345">
        <v>1955</v>
      </c>
    </row>
    <row r="12" spans="1:33" x14ac:dyDescent="0.2">
      <c r="A12" s="350" t="s">
        <v>85</v>
      </c>
      <c r="B12" s="350" t="s">
        <v>85</v>
      </c>
      <c r="C12" s="346">
        <v>220192</v>
      </c>
      <c r="D12" s="346">
        <v>833</v>
      </c>
      <c r="E12" s="346">
        <v>20918</v>
      </c>
      <c r="F12" s="346">
        <v>28565</v>
      </c>
      <c r="G12" s="346">
        <v>15917</v>
      </c>
      <c r="H12" s="346">
        <v>286425</v>
      </c>
      <c r="I12" s="345">
        <v>270508</v>
      </c>
      <c r="J12" s="345">
        <v>362</v>
      </c>
      <c r="K12" s="347">
        <v>88.61</v>
      </c>
      <c r="L12" s="347">
        <v>87.74</v>
      </c>
      <c r="M12" s="347">
        <v>6.04</v>
      </c>
      <c r="N12" s="347">
        <v>92.43</v>
      </c>
      <c r="O12" s="348">
        <v>194093</v>
      </c>
      <c r="P12" s="345">
        <v>91.99</v>
      </c>
      <c r="Q12" s="345">
        <v>90.39</v>
      </c>
      <c r="R12" s="345">
        <v>57.94</v>
      </c>
      <c r="S12" s="345">
        <v>147.38</v>
      </c>
      <c r="T12" s="345">
        <v>41509</v>
      </c>
      <c r="U12" s="345">
        <v>108.77</v>
      </c>
      <c r="V12" s="345">
        <v>19928</v>
      </c>
      <c r="W12" s="345">
        <v>187.59</v>
      </c>
      <c r="X12" s="345">
        <v>2832</v>
      </c>
      <c r="Y12" s="345">
        <v>777</v>
      </c>
      <c r="Z12" s="345">
        <v>495</v>
      </c>
      <c r="AA12" s="345">
        <v>490</v>
      </c>
      <c r="AB12" s="345">
        <v>1026</v>
      </c>
      <c r="AC12" s="345">
        <v>392</v>
      </c>
      <c r="AD12" s="349">
        <v>216083</v>
      </c>
      <c r="AE12" s="345">
        <v>1063</v>
      </c>
      <c r="AF12" s="345">
        <v>1318</v>
      </c>
      <c r="AG12" s="345">
        <v>2381</v>
      </c>
    </row>
    <row r="13" spans="1:33" x14ac:dyDescent="0.2">
      <c r="A13" s="350" t="s">
        <v>788</v>
      </c>
      <c r="B13" s="350" t="s">
        <v>788</v>
      </c>
      <c r="C13" s="346">
        <v>167722</v>
      </c>
      <c r="D13" s="346">
        <v>288</v>
      </c>
      <c r="E13" s="346">
        <v>11417</v>
      </c>
      <c r="F13" s="346">
        <v>17407</v>
      </c>
      <c r="G13" s="346">
        <v>6879</v>
      </c>
      <c r="H13" s="346">
        <v>203713</v>
      </c>
      <c r="I13" s="345">
        <v>196834</v>
      </c>
      <c r="J13" s="345">
        <v>409</v>
      </c>
      <c r="K13" s="347">
        <v>81.59</v>
      </c>
      <c r="L13" s="347">
        <v>81.47</v>
      </c>
      <c r="M13" s="347">
        <v>5.73</v>
      </c>
      <c r="N13" s="347">
        <v>84.87</v>
      </c>
      <c r="O13" s="348">
        <v>147101</v>
      </c>
      <c r="P13" s="345">
        <v>87.61</v>
      </c>
      <c r="Q13" s="345">
        <v>77.59</v>
      </c>
      <c r="R13" s="345">
        <v>40.72</v>
      </c>
      <c r="S13" s="345">
        <v>127.3</v>
      </c>
      <c r="T13" s="345">
        <v>24581</v>
      </c>
      <c r="U13" s="345">
        <v>99.35</v>
      </c>
      <c r="V13" s="345">
        <v>17010</v>
      </c>
      <c r="W13" s="345">
        <v>159</v>
      </c>
      <c r="X13" s="345">
        <v>643</v>
      </c>
      <c r="Y13" s="345">
        <v>260</v>
      </c>
      <c r="Z13" s="345">
        <v>466</v>
      </c>
      <c r="AA13" s="345">
        <v>352</v>
      </c>
      <c r="AB13" s="345">
        <v>444</v>
      </c>
      <c r="AC13" s="345">
        <v>157</v>
      </c>
      <c r="AD13" s="349">
        <v>165981</v>
      </c>
      <c r="AE13" s="345">
        <v>1182</v>
      </c>
      <c r="AF13" s="345">
        <v>1671</v>
      </c>
      <c r="AG13" s="345">
        <v>2853</v>
      </c>
    </row>
    <row r="14" spans="1:33" x14ac:dyDescent="0.2">
      <c r="A14" s="344" t="s">
        <v>86</v>
      </c>
      <c r="B14" s="350" t="s">
        <v>87</v>
      </c>
      <c r="C14" s="346">
        <v>946</v>
      </c>
      <c r="D14" s="346">
        <v>0</v>
      </c>
      <c r="E14" s="346">
        <v>76</v>
      </c>
      <c r="F14" s="346">
        <v>51</v>
      </c>
      <c r="G14" s="346">
        <v>155</v>
      </c>
      <c r="H14" s="346">
        <v>1228</v>
      </c>
      <c r="I14" s="345">
        <v>1073</v>
      </c>
      <c r="J14" s="345">
        <v>3</v>
      </c>
      <c r="K14" s="347">
        <v>108.24</v>
      </c>
      <c r="L14" s="347">
        <v>105.87</v>
      </c>
      <c r="M14" s="347">
        <v>6.46</v>
      </c>
      <c r="N14" s="347">
        <v>113.64</v>
      </c>
      <c r="O14" s="348">
        <v>801</v>
      </c>
      <c r="P14" s="345">
        <v>104.75</v>
      </c>
      <c r="Q14" s="345">
        <v>92.63</v>
      </c>
      <c r="R14" s="345">
        <v>43.6</v>
      </c>
      <c r="S14" s="345">
        <v>146.53</v>
      </c>
      <c r="T14" s="345">
        <v>96</v>
      </c>
      <c r="U14" s="345">
        <v>156.02000000000001</v>
      </c>
      <c r="V14" s="345">
        <v>117</v>
      </c>
      <c r="W14" s="345">
        <v>141.38</v>
      </c>
      <c r="X14" s="345">
        <v>23</v>
      </c>
      <c r="Y14" s="345">
        <v>0</v>
      </c>
      <c r="Z14" s="345">
        <v>3</v>
      </c>
      <c r="AA14" s="345">
        <v>27</v>
      </c>
      <c r="AB14" s="345">
        <v>37</v>
      </c>
      <c r="AC14" s="345">
        <v>6</v>
      </c>
      <c r="AD14" s="349">
        <v>925</v>
      </c>
      <c r="AE14" s="349">
        <v>2</v>
      </c>
      <c r="AF14" s="349">
        <v>8</v>
      </c>
      <c r="AG14" s="349">
        <v>10</v>
      </c>
    </row>
    <row r="15" spans="1:33" x14ac:dyDescent="0.2">
      <c r="A15" s="344" t="s">
        <v>88</v>
      </c>
      <c r="B15" s="350" t="s">
        <v>89</v>
      </c>
      <c r="C15" s="346">
        <v>8279</v>
      </c>
      <c r="D15" s="346">
        <v>44</v>
      </c>
      <c r="E15" s="346">
        <v>138</v>
      </c>
      <c r="F15" s="346">
        <v>396</v>
      </c>
      <c r="G15" s="346">
        <v>116</v>
      </c>
      <c r="H15" s="346">
        <v>8973</v>
      </c>
      <c r="I15" s="345">
        <v>8857</v>
      </c>
      <c r="J15" s="345">
        <v>1</v>
      </c>
      <c r="K15" s="347">
        <v>85.27</v>
      </c>
      <c r="L15" s="347">
        <v>82.11</v>
      </c>
      <c r="M15" s="347">
        <v>2.48</v>
      </c>
      <c r="N15" s="347">
        <v>87.26</v>
      </c>
      <c r="O15" s="348">
        <v>7301</v>
      </c>
      <c r="P15" s="345">
        <v>81.260000000000005</v>
      </c>
      <c r="Q15" s="345">
        <v>73.540000000000006</v>
      </c>
      <c r="R15" s="345">
        <v>42.31</v>
      </c>
      <c r="S15" s="345">
        <v>121.51</v>
      </c>
      <c r="T15" s="345">
        <v>471</v>
      </c>
      <c r="U15" s="345">
        <v>105.51</v>
      </c>
      <c r="V15" s="345">
        <v>463</v>
      </c>
      <c r="W15" s="345">
        <v>132.28</v>
      </c>
      <c r="X15" s="345">
        <v>39</v>
      </c>
      <c r="Y15" s="345">
        <v>0</v>
      </c>
      <c r="Z15" s="345">
        <v>11</v>
      </c>
      <c r="AA15" s="345">
        <v>4</v>
      </c>
      <c r="AB15" s="345">
        <v>6</v>
      </c>
      <c r="AC15" s="345">
        <v>0</v>
      </c>
      <c r="AD15" s="349">
        <v>7585</v>
      </c>
      <c r="AE15" s="349">
        <v>113</v>
      </c>
      <c r="AF15" s="349">
        <v>27</v>
      </c>
      <c r="AG15" s="349">
        <v>140</v>
      </c>
    </row>
    <row r="16" spans="1:33" x14ac:dyDescent="0.2">
      <c r="A16" s="344" t="s">
        <v>90</v>
      </c>
      <c r="B16" s="350" t="s">
        <v>91</v>
      </c>
      <c r="C16" s="346">
        <v>4621</v>
      </c>
      <c r="D16" s="346">
        <v>0</v>
      </c>
      <c r="E16" s="346">
        <v>159</v>
      </c>
      <c r="F16" s="346">
        <v>2438</v>
      </c>
      <c r="G16" s="346">
        <v>173</v>
      </c>
      <c r="H16" s="346">
        <v>7391</v>
      </c>
      <c r="I16" s="345">
        <v>7218</v>
      </c>
      <c r="J16" s="345">
        <v>0</v>
      </c>
      <c r="K16" s="347">
        <v>88.74</v>
      </c>
      <c r="L16" s="347">
        <v>88.32</v>
      </c>
      <c r="M16" s="347">
        <v>2.46</v>
      </c>
      <c r="N16" s="347">
        <v>90.99</v>
      </c>
      <c r="O16" s="348">
        <v>4344</v>
      </c>
      <c r="P16" s="345">
        <v>83.18</v>
      </c>
      <c r="Q16" s="345">
        <v>85.83</v>
      </c>
      <c r="R16" s="345">
        <v>9.09</v>
      </c>
      <c r="S16" s="345">
        <v>92.18</v>
      </c>
      <c r="T16" s="345">
        <v>2553</v>
      </c>
      <c r="U16" s="345">
        <v>100.31</v>
      </c>
      <c r="V16" s="345">
        <v>281</v>
      </c>
      <c r="W16" s="345">
        <v>0</v>
      </c>
      <c r="X16" s="345">
        <v>0</v>
      </c>
      <c r="Y16" s="345">
        <v>0</v>
      </c>
      <c r="Z16" s="345">
        <v>17</v>
      </c>
      <c r="AA16" s="345">
        <v>4</v>
      </c>
      <c r="AB16" s="345">
        <v>20</v>
      </c>
      <c r="AC16" s="345">
        <v>1</v>
      </c>
      <c r="AD16" s="349">
        <v>4621</v>
      </c>
      <c r="AE16" s="349">
        <v>17</v>
      </c>
      <c r="AF16" s="349">
        <v>21</v>
      </c>
      <c r="AG16" s="349">
        <v>38</v>
      </c>
    </row>
    <row r="17" spans="1:33" x14ac:dyDescent="0.2">
      <c r="A17" s="344" t="s">
        <v>92</v>
      </c>
      <c r="B17" s="350" t="s">
        <v>93</v>
      </c>
      <c r="C17" s="346">
        <v>3004</v>
      </c>
      <c r="D17" s="346">
        <v>10</v>
      </c>
      <c r="E17" s="346">
        <v>234</v>
      </c>
      <c r="F17" s="346">
        <v>286</v>
      </c>
      <c r="G17" s="346">
        <v>600</v>
      </c>
      <c r="H17" s="346">
        <v>4134</v>
      </c>
      <c r="I17" s="345">
        <v>3534</v>
      </c>
      <c r="J17" s="345">
        <v>5</v>
      </c>
      <c r="K17" s="347">
        <v>107.82</v>
      </c>
      <c r="L17" s="347">
        <v>105.84</v>
      </c>
      <c r="M17" s="347">
        <v>6.45</v>
      </c>
      <c r="N17" s="347">
        <v>113.28</v>
      </c>
      <c r="O17" s="348">
        <v>2250</v>
      </c>
      <c r="P17" s="345">
        <v>94.05</v>
      </c>
      <c r="Q17" s="345">
        <v>87.93</v>
      </c>
      <c r="R17" s="345">
        <v>52.12</v>
      </c>
      <c r="S17" s="345">
        <v>142.96</v>
      </c>
      <c r="T17" s="345">
        <v>341</v>
      </c>
      <c r="U17" s="345">
        <v>152.72999999999999</v>
      </c>
      <c r="V17" s="345">
        <v>699</v>
      </c>
      <c r="W17" s="345">
        <v>0</v>
      </c>
      <c r="X17" s="345">
        <v>0</v>
      </c>
      <c r="Y17" s="345">
        <v>0</v>
      </c>
      <c r="Z17" s="345">
        <v>8</v>
      </c>
      <c r="AA17" s="345">
        <v>2</v>
      </c>
      <c r="AB17" s="345">
        <v>28</v>
      </c>
      <c r="AC17" s="345">
        <v>5</v>
      </c>
      <c r="AD17" s="349">
        <v>3002</v>
      </c>
      <c r="AE17" s="349">
        <v>9</v>
      </c>
      <c r="AF17" s="349">
        <v>3</v>
      </c>
      <c r="AG17" s="349">
        <v>12</v>
      </c>
    </row>
    <row r="18" spans="1:33" x14ac:dyDescent="0.2">
      <c r="A18" s="344" t="s">
        <v>94</v>
      </c>
      <c r="B18" s="350" t="s">
        <v>95</v>
      </c>
      <c r="C18" s="346">
        <v>1621</v>
      </c>
      <c r="D18" s="346">
        <v>0</v>
      </c>
      <c r="E18" s="346">
        <v>179</v>
      </c>
      <c r="F18" s="346">
        <v>291</v>
      </c>
      <c r="G18" s="346">
        <v>185</v>
      </c>
      <c r="H18" s="346">
        <v>2276</v>
      </c>
      <c r="I18" s="345">
        <v>2091</v>
      </c>
      <c r="J18" s="345">
        <v>0</v>
      </c>
      <c r="K18" s="347">
        <v>86.03</v>
      </c>
      <c r="L18" s="347">
        <v>84.3</v>
      </c>
      <c r="M18" s="347">
        <v>5.55</v>
      </c>
      <c r="N18" s="347">
        <v>88.74</v>
      </c>
      <c r="O18" s="348">
        <v>1362</v>
      </c>
      <c r="P18" s="345">
        <v>91.62</v>
      </c>
      <c r="Q18" s="345">
        <v>84.96</v>
      </c>
      <c r="R18" s="345">
        <v>50.7</v>
      </c>
      <c r="S18" s="345">
        <v>137.78</v>
      </c>
      <c r="T18" s="345">
        <v>469</v>
      </c>
      <c r="U18" s="345">
        <v>98.14</v>
      </c>
      <c r="V18" s="345">
        <v>187</v>
      </c>
      <c r="W18" s="345">
        <v>0</v>
      </c>
      <c r="X18" s="345">
        <v>0</v>
      </c>
      <c r="Y18" s="345">
        <v>67</v>
      </c>
      <c r="Z18" s="345">
        <v>1</v>
      </c>
      <c r="AA18" s="345">
        <v>2</v>
      </c>
      <c r="AB18" s="345">
        <v>2</v>
      </c>
      <c r="AC18" s="345">
        <v>4</v>
      </c>
      <c r="AD18" s="349">
        <v>1621</v>
      </c>
      <c r="AE18" s="349">
        <v>8</v>
      </c>
      <c r="AF18" s="349">
        <v>4</v>
      </c>
      <c r="AG18" s="349">
        <v>12</v>
      </c>
    </row>
    <row r="19" spans="1:33" x14ac:dyDescent="0.2">
      <c r="A19" s="344" t="s">
        <v>96</v>
      </c>
      <c r="B19" s="350" t="s">
        <v>97</v>
      </c>
      <c r="C19" s="346">
        <v>2267</v>
      </c>
      <c r="D19" s="346">
        <v>0</v>
      </c>
      <c r="E19" s="346">
        <v>128</v>
      </c>
      <c r="F19" s="346">
        <v>151</v>
      </c>
      <c r="G19" s="346">
        <v>704</v>
      </c>
      <c r="H19" s="346">
        <v>3250</v>
      </c>
      <c r="I19" s="345">
        <v>2546</v>
      </c>
      <c r="J19" s="345">
        <v>1</v>
      </c>
      <c r="K19" s="347">
        <v>99.73</v>
      </c>
      <c r="L19" s="347">
        <v>97.82</v>
      </c>
      <c r="M19" s="347">
        <v>6.66</v>
      </c>
      <c r="N19" s="347">
        <v>105.2</v>
      </c>
      <c r="O19" s="348">
        <v>1797</v>
      </c>
      <c r="P19" s="345">
        <v>113.64</v>
      </c>
      <c r="Q19" s="345">
        <v>82.96</v>
      </c>
      <c r="R19" s="345">
        <v>51.54</v>
      </c>
      <c r="S19" s="345">
        <v>158.85</v>
      </c>
      <c r="T19" s="345">
        <v>220</v>
      </c>
      <c r="U19" s="345">
        <v>135.66</v>
      </c>
      <c r="V19" s="345">
        <v>402</v>
      </c>
      <c r="W19" s="345">
        <v>182.52</v>
      </c>
      <c r="X19" s="345">
        <v>59</v>
      </c>
      <c r="Y19" s="345">
        <v>0</v>
      </c>
      <c r="Z19" s="345">
        <v>5</v>
      </c>
      <c r="AA19" s="345">
        <v>0</v>
      </c>
      <c r="AB19" s="345">
        <v>30</v>
      </c>
      <c r="AC19" s="345">
        <v>18</v>
      </c>
      <c r="AD19" s="349">
        <v>2227</v>
      </c>
      <c r="AE19" s="349">
        <v>19</v>
      </c>
      <c r="AF19" s="349">
        <v>6</v>
      </c>
      <c r="AG19" s="349">
        <v>25</v>
      </c>
    </row>
    <row r="20" spans="1:33" x14ac:dyDescent="0.2">
      <c r="A20" s="344" t="s">
        <v>98</v>
      </c>
      <c r="B20" s="350" t="s">
        <v>99</v>
      </c>
      <c r="C20" s="346">
        <v>1715</v>
      </c>
      <c r="D20" s="346">
        <v>0</v>
      </c>
      <c r="E20" s="346">
        <v>120</v>
      </c>
      <c r="F20" s="346">
        <v>123</v>
      </c>
      <c r="G20" s="346">
        <v>193</v>
      </c>
      <c r="H20" s="346">
        <v>2151</v>
      </c>
      <c r="I20" s="345">
        <v>1958</v>
      </c>
      <c r="J20" s="345">
        <v>1</v>
      </c>
      <c r="K20" s="347">
        <v>92.86</v>
      </c>
      <c r="L20" s="347">
        <v>92.83</v>
      </c>
      <c r="M20" s="347">
        <v>4.4800000000000004</v>
      </c>
      <c r="N20" s="347">
        <v>95.34</v>
      </c>
      <c r="O20" s="348">
        <v>1270</v>
      </c>
      <c r="P20" s="345">
        <v>107.91</v>
      </c>
      <c r="Q20" s="345">
        <v>94.49</v>
      </c>
      <c r="R20" s="345">
        <v>58.33</v>
      </c>
      <c r="S20" s="345">
        <v>161.6</v>
      </c>
      <c r="T20" s="345">
        <v>201</v>
      </c>
      <c r="U20" s="345">
        <v>114.93</v>
      </c>
      <c r="V20" s="345">
        <v>414</v>
      </c>
      <c r="W20" s="345">
        <v>107.72</v>
      </c>
      <c r="X20" s="345">
        <v>2</v>
      </c>
      <c r="Y20" s="345">
        <v>0</v>
      </c>
      <c r="Z20" s="345">
        <v>0</v>
      </c>
      <c r="AA20" s="345">
        <v>1</v>
      </c>
      <c r="AB20" s="345">
        <v>7</v>
      </c>
      <c r="AC20" s="345">
        <v>1</v>
      </c>
      <c r="AD20" s="349">
        <v>1715</v>
      </c>
      <c r="AE20" s="349">
        <v>4</v>
      </c>
      <c r="AF20" s="349">
        <v>2</v>
      </c>
      <c r="AG20" s="349">
        <v>6</v>
      </c>
    </row>
    <row r="21" spans="1:33" x14ac:dyDescent="0.2">
      <c r="A21" s="344" t="s">
        <v>100</v>
      </c>
      <c r="B21" s="350" t="s">
        <v>101</v>
      </c>
      <c r="C21" s="346">
        <v>4183</v>
      </c>
      <c r="D21" s="346">
        <v>55</v>
      </c>
      <c r="E21" s="346">
        <v>370</v>
      </c>
      <c r="F21" s="346">
        <v>455</v>
      </c>
      <c r="G21" s="346">
        <v>786</v>
      </c>
      <c r="H21" s="346">
        <v>5849</v>
      </c>
      <c r="I21" s="345">
        <v>5063</v>
      </c>
      <c r="J21" s="345">
        <v>20</v>
      </c>
      <c r="K21" s="347">
        <v>116.92</v>
      </c>
      <c r="L21" s="347">
        <v>114.05</v>
      </c>
      <c r="M21" s="347">
        <v>7.71</v>
      </c>
      <c r="N21" s="347">
        <v>121.22</v>
      </c>
      <c r="O21" s="348">
        <v>2771</v>
      </c>
      <c r="P21" s="345">
        <v>103</v>
      </c>
      <c r="Q21" s="345">
        <v>100.63</v>
      </c>
      <c r="R21" s="345">
        <v>62.27</v>
      </c>
      <c r="S21" s="345">
        <v>157.63999999999999</v>
      </c>
      <c r="T21" s="345">
        <v>677</v>
      </c>
      <c r="U21" s="345">
        <v>157.16</v>
      </c>
      <c r="V21" s="345">
        <v>789</v>
      </c>
      <c r="W21" s="345">
        <v>0</v>
      </c>
      <c r="X21" s="345">
        <v>0</v>
      </c>
      <c r="Y21" s="345">
        <v>0</v>
      </c>
      <c r="Z21" s="345">
        <v>16</v>
      </c>
      <c r="AA21" s="345">
        <v>5</v>
      </c>
      <c r="AB21" s="345">
        <v>94</v>
      </c>
      <c r="AC21" s="345">
        <v>37</v>
      </c>
      <c r="AD21" s="349">
        <v>4107</v>
      </c>
      <c r="AE21" s="349">
        <v>14</v>
      </c>
      <c r="AF21" s="349">
        <v>9</v>
      </c>
      <c r="AG21" s="349">
        <v>23</v>
      </c>
    </row>
    <row r="22" spans="1:33" x14ac:dyDescent="0.2">
      <c r="A22" s="344" t="s">
        <v>102</v>
      </c>
      <c r="B22" s="350" t="s">
        <v>103</v>
      </c>
      <c r="C22" s="346">
        <v>7183</v>
      </c>
      <c r="D22" s="346">
        <v>28</v>
      </c>
      <c r="E22" s="346">
        <v>541</v>
      </c>
      <c r="F22" s="346">
        <v>1149</v>
      </c>
      <c r="G22" s="346">
        <v>1388</v>
      </c>
      <c r="H22" s="346">
        <v>10289</v>
      </c>
      <c r="I22" s="345">
        <v>8901</v>
      </c>
      <c r="J22" s="345">
        <v>23</v>
      </c>
      <c r="K22" s="347">
        <v>127.88</v>
      </c>
      <c r="L22" s="347">
        <v>127.63</v>
      </c>
      <c r="M22" s="347">
        <v>14.34</v>
      </c>
      <c r="N22" s="347">
        <v>139.68</v>
      </c>
      <c r="O22" s="348">
        <v>5750</v>
      </c>
      <c r="P22" s="345">
        <v>125.84</v>
      </c>
      <c r="Q22" s="345">
        <v>109.95</v>
      </c>
      <c r="R22" s="345">
        <v>50.04</v>
      </c>
      <c r="S22" s="345">
        <v>169.13</v>
      </c>
      <c r="T22" s="345">
        <v>904</v>
      </c>
      <c r="U22" s="345">
        <v>212.81</v>
      </c>
      <c r="V22" s="345">
        <v>1043</v>
      </c>
      <c r="W22" s="345">
        <v>224.63</v>
      </c>
      <c r="X22" s="345">
        <v>37</v>
      </c>
      <c r="Y22" s="345">
        <v>47</v>
      </c>
      <c r="Z22" s="345">
        <v>2</v>
      </c>
      <c r="AA22" s="345">
        <v>8</v>
      </c>
      <c r="AB22" s="345">
        <v>48</v>
      </c>
      <c r="AC22" s="345">
        <v>24</v>
      </c>
      <c r="AD22" s="349">
        <v>6766</v>
      </c>
      <c r="AE22" s="349">
        <v>21</v>
      </c>
      <c r="AF22" s="349">
        <v>23</v>
      </c>
      <c r="AG22" s="349">
        <v>44</v>
      </c>
    </row>
    <row r="23" spans="1:33" x14ac:dyDescent="0.2">
      <c r="A23" s="344" t="s">
        <v>104</v>
      </c>
      <c r="B23" s="350" t="s">
        <v>105</v>
      </c>
      <c r="C23" s="346">
        <v>2897</v>
      </c>
      <c r="D23" s="346">
        <v>0</v>
      </c>
      <c r="E23" s="346">
        <v>328</v>
      </c>
      <c r="F23" s="346">
        <v>672</v>
      </c>
      <c r="G23" s="346">
        <v>258</v>
      </c>
      <c r="H23" s="346">
        <v>4155</v>
      </c>
      <c r="I23" s="345">
        <v>3897</v>
      </c>
      <c r="J23" s="345">
        <v>1</v>
      </c>
      <c r="K23" s="347">
        <v>85.45</v>
      </c>
      <c r="L23" s="347">
        <v>82.4</v>
      </c>
      <c r="M23" s="347">
        <v>5.46</v>
      </c>
      <c r="N23" s="347">
        <v>87.89</v>
      </c>
      <c r="O23" s="348">
        <v>1913</v>
      </c>
      <c r="P23" s="345">
        <v>91.89</v>
      </c>
      <c r="Q23" s="345">
        <v>82.09</v>
      </c>
      <c r="R23" s="345">
        <v>29.52</v>
      </c>
      <c r="S23" s="345">
        <v>120.3</v>
      </c>
      <c r="T23" s="345">
        <v>988</v>
      </c>
      <c r="U23" s="345">
        <v>93.05</v>
      </c>
      <c r="V23" s="345">
        <v>881</v>
      </c>
      <c r="W23" s="345">
        <v>0</v>
      </c>
      <c r="X23" s="345">
        <v>0</v>
      </c>
      <c r="Y23" s="345">
        <v>0</v>
      </c>
      <c r="Z23" s="345">
        <v>6</v>
      </c>
      <c r="AA23" s="345">
        <v>21</v>
      </c>
      <c r="AB23" s="345">
        <v>11</v>
      </c>
      <c r="AC23" s="345">
        <v>6</v>
      </c>
      <c r="AD23" s="349">
        <v>2892</v>
      </c>
      <c r="AE23" s="349">
        <v>31</v>
      </c>
      <c r="AF23" s="349">
        <v>10</v>
      </c>
      <c r="AG23" s="349">
        <v>41</v>
      </c>
    </row>
    <row r="24" spans="1:33" x14ac:dyDescent="0.2">
      <c r="A24" s="344" t="s">
        <v>106</v>
      </c>
      <c r="B24" s="350" t="s">
        <v>107</v>
      </c>
      <c r="C24" s="346">
        <v>519</v>
      </c>
      <c r="D24" s="346">
        <v>0</v>
      </c>
      <c r="E24" s="346">
        <v>216</v>
      </c>
      <c r="F24" s="346">
        <v>196</v>
      </c>
      <c r="G24" s="346">
        <v>12</v>
      </c>
      <c r="H24" s="346">
        <v>943</v>
      </c>
      <c r="I24" s="345">
        <v>931</v>
      </c>
      <c r="J24" s="345">
        <v>3</v>
      </c>
      <c r="K24" s="347">
        <v>79.08</v>
      </c>
      <c r="L24" s="347">
        <v>76.180000000000007</v>
      </c>
      <c r="M24" s="347">
        <v>5.85</v>
      </c>
      <c r="N24" s="347">
        <v>82.66</v>
      </c>
      <c r="O24" s="348">
        <v>477</v>
      </c>
      <c r="P24" s="345">
        <v>101.51</v>
      </c>
      <c r="Q24" s="345">
        <v>82.3</v>
      </c>
      <c r="R24" s="345">
        <v>72.16</v>
      </c>
      <c r="S24" s="345">
        <v>173.67</v>
      </c>
      <c r="T24" s="345">
        <v>354</v>
      </c>
      <c r="U24" s="345">
        <v>107.56</v>
      </c>
      <c r="V24" s="345">
        <v>27</v>
      </c>
      <c r="W24" s="345">
        <v>0</v>
      </c>
      <c r="X24" s="345">
        <v>0</v>
      </c>
      <c r="Y24" s="345">
        <v>0</v>
      </c>
      <c r="Z24" s="345">
        <v>0</v>
      </c>
      <c r="AA24" s="345">
        <v>0</v>
      </c>
      <c r="AB24" s="345">
        <v>0</v>
      </c>
      <c r="AC24" s="345">
        <v>0</v>
      </c>
      <c r="AD24" s="349">
        <v>519</v>
      </c>
      <c r="AE24" s="349">
        <v>2</v>
      </c>
      <c r="AF24" s="349">
        <v>3</v>
      </c>
      <c r="AG24" s="349">
        <v>5</v>
      </c>
    </row>
    <row r="25" spans="1:33" x14ac:dyDescent="0.2">
      <c r="A25" s="344" t="s">
        <v>108</v>
      </c>
      <c r="B25" s="350" t="s">
        <v>109</v>
      </c>
      <c r="C25" s="346">
        <v>5333</v>
      </c>
      <c r="D25" s="346">
        <v>11</v>
      </c>
      <c r="E25" s="346">
        <v>237</v>
      </c>
      <c r="F25" s="346">
        <v>355</v>
      </c>
      <c r="G25" s="346">
        <v>630</v>
      </c>
      <c r="H25" s="346">
        <v>6566</v>
      </c>
      <c r="I25" s="345">
        <v>5936</v>
      </c>
      <c r="J25" s="345">
        <v>0</v>
      </c>
      <c r="K25" s="347">
        <v>111.38</v>
      </c>
      <c r="L25" s="347">
        <v>111.2</v>
      </c>
      <c r="M25" s="347">
        <v>5.55</v>
      </c>
      <c r="N25" s="347">
        <v>114.13</v>
      </c>
      <c r="O25" s="348">
        <v>5034</v>
      </c>
      <c r="P25" s="345">
        <v>93.85</v>
      </c>
      <c r="Q25" s="345">
        <v>88.49</v>
      </c>
      <c r="R25" s="345">
        <v>37.28</v>
      </c>
      <c r="S25" s="345">
        <v>127.1</v>
      </c>
      <c r="T25" s="345">
        <v>518</v>
      </c>
      <c r="U25" s="345">
        <v>128.69999999999999</v>
      </c>
      <c r="V25" s="345">
        <v>176</v>
      </c>
      <c r="W25" s="345">
        <v>0</v>
      </c>
      <c r="X25" s="345">
        <v>0</v>
      </c>
      <c r="Y25" s="345">
        <v>30</v>
      </c>
      <c r="Z25" s="345">
        <v>3</v>
      </c>
      <c r="AA25" s="345">
        <v>4</v>
      </c>
      <c r="AB25" s="345">
        <v>9</v>
      </c>
      <c r="AC25" s="345">
        <v>16</v>
      </c>
      <c r="AD25" s="349">
        <v>5260</v>
      </c>
      <c r="AE25" s="349">
        <v>26</v>
      </c>
      <c r="AF25" s="349">
        <v>7</v>
      </c>
      <c r="AG25" s="349">
        <v>33</v>
      </c>
    </row>
    <row r="26" spans="1:33" x14ac:dyDescent="0.2">
      <c r="A26" s="344" t="s">
        <v>110</v>
      </c>
      <c r="B26" s="350" t="s">
        <v>111</v>
      </c>
      <c r="C26" s="346">
        <v>12428</v>
      </c>
      <c r="D26" s="346">
        <v>312</v>
      </c>
      <c r="E26" s="346">
        <v>314</v>
      </c>
      <c r="F26" s="346">
        <v>910</v>
      </c>
      <c r="G26" s="346">
        <v>1072</v>
      </c>
      <c r="H26" s="346">
        <v>15036</v>
      </c>
      <c r="I26" s="345">
        <v>13964</v>
      </c>
      <c r="J26" s="345">
        <v>0</v>
      </c>
      <c r="K26" s="347">
        <v>112.79</v>
      </c>
      <c r="L26" s="347">
        <v>109.31</v>
      </c>
      <c r="M26" s="347">
        <v>4.75</v>
      </c>
      <c r="N26" s="347">
        <v>114.75</v>
      </c>
      <c r="O26" s="348">
        <v>11207</v>
      </c>
      <c r="P26" s="345">
        <v>96.83</v>
      </c>
      <c r="Q26" s="345">
        <v>96.83</v>
      </c>
      <c r="R26" s="345">
        <v>32.39</v>
      </c>
      <c r="S26" s="345">
        <v>127.45</v>
      </c>
      <c r="T26" s="345">
        <v>1140</v>
      </c>
      <c r="U26" s="345">
        <v>146.86000000000001</v>
      </c>
      <c r="V26" s="345">
        <v>917</v>
      </c>
      <c r="W26" s="345">
        <v>150.16999999999999</v>
      </c>
      <c r="X26" s="345">
        <v>2</v>
      </c>
      <c r="Y26" s="345">
        <v>21</v>
      </c>
      <c r="Z26" s="345">
        <v>7</v>
      </c>
      <c r="AA26" s="345">
        <v>1</v>
      </c>
      <c r="AB26" s="345">
        <v>70</v>
      </c>
      <c r="AC26" s="345">
        <v>21</v>
      </c>
      <c r="AD26" s="349">
        <v>12402</v>
      </c>
      <c r="AE26" s="349">
        <v>66</v>
      </c>
      <c r="AF26" s="349">
        <v>24</v>
      </c>
      <c r="AG26" s="349">
        <v>90</v>
      </c>
    </row>
    <row r="27" spans="1:33" x14ac:dyDescent="0.2">
      <c r="A27" s="344" t="s">
        <v>112</v>
      </c>
      <c r="B27" s="350" t="s">
        <v>113</v>
      </c>
      <c r="C27" s="346">
        <v>1009</v>
      </c>
      <c r="D27" s="346">
        <v>0</v>
      </c>
      <c r="E27" s="346">
        <v>264</v>
      </c>
      <c r="F27" s="346">
        <v>140</v>
      </c>
      <c r="G27" s="346">
        <v>88</v>
      </c>
      <c r="H27" s="346">
        <v>1501</v>
      </c>
      <c r="I27" s="345">
        <v>1413</v>
      </c>
      <c r="J27" s="345">
        <v>1</v>
      </c>
      <c r="K27" s="347">
        <v>86.68</v>
      </c>
      <c r="L27" s="347">
        <v>84.29</v>
      </c>
      <c r="M27" s="347">
        <v>3.01</v>
      </c>
      <c r="N27" s="347">
        <v>88.52</v>
      </c>
      <c r="O27" s="348">
        <v>871</v>
      </c>
      <c r="P27" s="345">
        <v>122.09</v>
      </c>
      <c r="Q27" s="345">
        <v>73.03</v>
      </c>
      <c r="R27" s="345">
        <v>59.92</v>
      </c>
      <c r="S27" s="345">
        <v>179.67</v>
      </c>
      <c r="T27" s="345">
        <v>359</v>
      </c>
      <c r="U27" s="345">
        <v>97.23</v>
      </c>
      <c r="V27" s="345">
        <v>117</v>
      </c>
      <c r="W27" s="345">
        <v>170.83</v>
      </c>
      <c r="X27" s="345">
        <v>4</v>
      </c>
      <c r="Y27" s="345">
        <v>16</v>
      </c>
      <c r="Z27" s="345">
        <v>0</v>
      </c>
      <c r="AA27" s="345">
        <v>4</v>
      </c>
      <c r="AB27" s="345">
        <v>1</v>
      </c>
      <c r="AC27" s="345">
        <v>1</v>
      </c>
      <c r="AD27" s="349">
        <v>1006</v>
      </c>
      <c r="AE27" s="349">
        <v>9</v>
      </c>
      <c r="AF27" s="349">
        <v>9</v>
      </c>
      <c r="AG27" s="349">
        <v>18</v>
      </c>
    </row>
    <row r="28" spans="1:33" x14ac:dyDescent="0.2">
      <c r="A28" s="344" t="s">
        <v>114</v>
      </c>
      <c r="B28" s="350" t="s">
        <v>115</v>
      </c>
      <c r="C28" s="346">
        <v>9094</v>
      </c>
      <c r="D28" s="346">
        <v>0</v>
      </c>
      <c r="E28" s="346">
        <v>381</v>
      </c>
      <c r="F28" s="346">
        <v>2105</v>
      </c>
      <c r="G28" s="346">
        <v>628</v>
      </c>
      <c r="H28" s="346">
        <v>12208</v>
      </c>
      <c r="I28" s="345">
        <v>11580</v>
      </c>
      <c r="J28" s="345">
        <v>4</v>
      </c>
      <c r="K28" s="347">
        <v>99.15</v>
      </c>
      <c r="L28" s="347">
        <v>99.43</v>
      </c>
      <c r="M28" s="347">
        <v>5.34</v>
      </c>
      <c r="N28" s="347">
        <v>103.82</v>
      </c>
      <c r="O28" s="348">
        <v>8310</v>
      </c>
      <c r="P28" s="345">
        <v>92.72</v>
      </c>
      <c r="Q28" s="345">
        <v>93.16</v>
      </c>
      <c r="R28" s="345">
        <v>16.350000000000001</v>
      </c>
      <c r="S28" s="345">
        <v>108.91</v>
      </c>
      <c r="T28" s="345">
        <v>2207</v>
      </c>
      <c r="U28" s="345">
        <v>132.76</v>
      </c>
      <c r="V28" s="345">
        <v>667</v>
      </c>
      <c r="W28" s="345">
        <v>118.37</v>
      </c>
      <c r="X28" s="345">
        <v>77</v>
      </c>
      <c r="Y28" s="345">
        <v>0</v>
      </c>
      <c r="Z28" s="345">
        <v>9</v>
      </c>
      <c r="AA28" s="345">
        <v>4</v>
      </c>
      <c r="AB28" s="345">
        <v>69</v>
      </c>
      <c r="AC28" s="345">
        <v>7</v>
      </c>
      <c r="AD28" s="349">
        <v>9008</v>
      </c>
      <c r="AE28" s="349">
        <v>37</v>
      </c>
      <c r="AF28" s="349">
        <v>85</v>
      </c>
      <c r="AG28" s="349">
        <v>122</v>
      </c>
    </row>
    <row r="29" spans="1:33" x14ac:dyDescent="0.2">
      <c r="A29" s="344" t="s">
        <v>116</v>
      </c>
      <c r="B29" s="350" t="s">
        <v>117</v>
      </c>
      <c r="C29" s="346">
        <v>10635</v>
      </c>
      <c r="D29" s="346">
        <v>0</v>
      </c>
      <c r="E29" s="346">
        <v>374</v>
      </c>
      <c r="F29" s="346">
        <v>1142</v>
      </c>
      <c r="G29" s="346">
        <v>1087</v>
      </c>
      <c r="H29" s="346">
        <v>13238</v>
      </c>
      <c r="I29" s="345">
        <v>12151</v>
      </c>
      <c r="J29" s="345">
        <v>2</v>
      </c>
      <c r="K29" s="347">
        <v>97.91</v>
      </c>
      <c r="L29" s="347">
        <v>97.23</v>
      </c>
      <c r="M29" s="347">
        <v>8.84</v>
      </c>
      <c r="N29" s="347">
        <v>104.3</v>
      </c>
      <c r="O29" s="348">
        <v>9189</v>
      </c>
      <c r="P29" s="345">
        <v>102.84</v>
      </c>
      <c r="Q29" s="345">
        <v>91.09</v>
      </c>
      <c r="R29" s="345">
        <v>46.48</v>
      </c>
      <c r="S29" s="345">
        <v>149.16999999999999</v>
      </c>
      <c r="T29" s="345">
        <v>1317</v>
      </c>
      <c r="U29" s="345">
        <v>129.35</v>
      </c>
      <c r="V29" s="345">
        <v>1135</v>
      </c>
      <c r="W29" s="345">
        <v>105.11</v>
      </c>
      <c r="X29" s="345">
        <v>5</v>
      </c>
      <c r="Y29" s="345">
        <v>0</v>
      </c>
      <c r="Z29" s="345">
        <v>8</v>
      </c>
      <c r="AA29" s="345">
        <v>3</v>
      </c>
      <c r="AB29" s="345">
        <v>69</v>
      </c>
      <c r="AC29" s="345">
        <v>22</v>
      </c>
      <c r="AD29" s="349">
        <v>10551</v>
      </c>
      <c r="AE29" s="349">
        <v>38</v>
      </c>
      <c r="AF29" s="349">
        <v>14</v>
      </c>
      <c r="AG29" s="349">
        <v>52</v>
      </c>
    </row>
    <row r="30" spans="1:33" x14ac:dyDescent="0.2">
      <c r="A30" s="344" t="s">
        <v>118</v>
      </c>
      <c r="B30" s="350" t="s">
        <v>119</v>
      </c>
      <c r="C30" s="346">
        <v>12494</v>
      </c>
      <c r="D30" s="346">
        <v>54</v>
      </c>
      <c r="E30" s="346">
        <v>122</v>
      </c>
      <c r="F30" s="346">
        <v>1327</v>
      </c>
      <c r="G30" s="346">
        <v>1052</v>
      </c>
      <c r="H30" s="346">
        <v>15049</v>
      </c>
      <c r="I30" s="345">
        <v>13997</v>
      </c>
      <c r="J30" s="345">
        <v>20</v>
      </c>
      <c r="K30" s="347">
        <v>109.11</v>
      </c>
      <c r="L30" s="347">
        <v>108.49</v>
      </c>
      <c r="M30" s="347">
        <v>10.84</v>
      </c>
      <c r="N30" s="347">
        <v>119.13</v>
      </c>
      <c r="O30" s="348">
        <v>10046</v>
      </c>
      <c r="P30" s="345">
        <v>97.87</v>
      </c>
      <c r="Q30" s="345">
        <v>96.59</v>
      </c>
      <c r="R30" s="345">
        <v>30.85</v>
      </c>
      <c r="S30" s="345">
        <v>128.31</v>
      </c>
      <c r="T30" s="345">
        <v>1292</v>
      </c>
      <c r="U30" s="345">
        <v>157.44999999999999</v>
      </c>
      <c r="V30" s="345">
        <v>1432</v>
      </c>
      <c r="W30" s="345">
        <v>0</v>
      </c>
      <c r="X30" s="345">
        <v>0</v>
      </c>
      <c r="Y30" s="345">
        <v>0</v>
      </c>
      <c r="Z30" s="345">
        <v>7</v>
      </c>
      <c r="AA30" s="345">
        <v>2</v>
      </c>
      <c r="AB30" s="345">
        <v>90</v>
      </c>
      <c r="AC30" s="345">
        <v>22</v>
      </c>
      <c r="AD30" s="349">
        <v>11559</v>
      </c>
      <c r="AE30" s="349">
        <v>60</v>
      </c>
      <c r="AF30" s="349">
        <v>461</v>
      </c>
      <c r="AG30" s="349">
        <v>521</v>
      </c>
    </row>
    <row r="31" spans="1:33" x14ac:dyDescent="0.2">
      <c r="A31" s="344" t="s">
        <v>120</v>
      </c>
      <c r="B31" s="350" t="s">
        <v>121</v>
      </c>
      <c r="C31" s="346">
        <v>34233</v>
      </c>
      <c r="D31" s="346">
        <v>688</v>
      </c>
      <c r="E31" s="346">
        <v>11199</v>
      </c>
      <c r="F31" s="346">
        <v>4344</v>
      </c>
      <c r="G31" s="346">
        <v>3153</v>
      </c>
      <c r="H31" s="346">
        <v>53617</v>
      </c>
      <c r="I31" s="345">
        <v>50464</v>
      </c>
      <c r="J31" s="345">
        <v>106</v>
      </c>
      <c r="K31" s="347">
        <v>92.41</v>
      </c>
      <c r="L31" s="347">
        <v>91.3</v>
      </c>
      <c r="M31" s="347">
        <v>7.48</v>
      </c>
      <c r="N31" s="347">
        <v>98.17</v>
      </c>
      <c r="O31" s="348">
        <v>30621</v>
      </c>
      <c r="P31" s="345">
        <v>97.56</v>
      </c>
      <c r="Q31" s="345">
        <v>105.27</v>
      </c>
      <c r="R31" s="345">
        <v>102.14</v>
      </c>
      <c r="S31" s="345">
        <v>198.59</v>
      </c>
      <c r="T31" s="345">
        <v>12621</v>
      </c>
      <c r="U31" s="345">
        <v>115.27</v>
      </c>
      <c r="V31" s="345">
        <v>1604</v>
      </c>
      <c r="W31" s="345">
        <v>180.93</v>
      </c>
      <c r="X31" s="345">
        <v>123</v>
      </c>
      <c r="Y31" s="345">
        <v>77</v>
      </c>
      <c r="Z31" s="345">
        <v>22</v>
      </c>
      <c r="AA31" s="345">
        <v>62</v>
      </c>
      <c r="AB31" s="345">
        <v>45</v>
      </c>
      <c r="AC31" s="345">
        <v>103</v>
      </c>
      <c r="AD31" s="349">
        <v>32692</v>
      </c>
      <c r="AE31" s="349">
        <v>151</v>
      </c>
      <c r="AF31" s="349">
        <v>115</v>
      </c>
      <c r="AG31" s="349">
        <v>266</v>
      </c>
    </row>
    <row r="32" spans="1:33" x14ac:dyDescent="0.2">
      <c r="A32" s="344" t="s">
        <v>122</v>
      </c>
      <c r="B32" s="350" t="s">
        <v>123</v>
      </c>
      <c r="C32" s="346">
        <v>2123</v>
      </c>
      <c r="D32" s="346">
        <v>0</v>
      </c>
      <c r="E32" s="346">
        <v>112</v>
      </c>
      <c r="F32" s="346">
        <v>1376</v>
      </c>
      <c r="G32" s="346">
        <v>380</v>
      </c>
      <c r="H32" s="346">
        <v>3991</v>
      </c>
      <c r="I32" s="345">
        <v>3611</v>
      </c>
      <c r="J32" s="345">
        <v>0</v>
      </c>
      <c r="K32" s="347">
        <v>86.63</v>
      </c>
      <c r="L32" s="347">
        <v>86.17</v>
      </c>
      <c r="M32" s="347">
        <v>4.5</v>
      </c>
      <c r="N32" s="347">
        <v>89.09</v>
      </c>
      <c r="O32" s="348">
        <v>1620</v>
      </c>
      <c r="P32" s="345">
        <v>77.3</v>
      </c>
      <c r="Q32" s="345">
        <v>76.58</v>
      </c>
      <c r="R32" s="345">
        <v>18.77</v>
      </c>
      <c r="S32" s="345">
        <v>95.58</v>
      </c>
      <c r="T32" s="345">
        <v>1482</v>
      </c>
      <c r="U32" s="345">
        <v>109.9</v>
      </c>
      <c r="V32" s="345">
        <v>411</v>
      </c>
      <c r="W32" s="345">
        <v>130.79</v>
      </c>
      <c r="X32" s="345">
        <v>1</v>
      </c>
      <c r="Y32" s="345">
        <v>0</v>
      </c>
      <c r="Z32" s="345">
        <v>9</v>
      </c>
      <c r="AA32" s="345">
        <v>5</v>
      </c>
      <c r="AB32" s="345">
        <v>15</v>
      </c>
      <c r="AC32" s="345">
        <v>9</v>
      </c>
      <c r="AD32" s="349">
        <v>2123</v>
      </c>
      <c r="AE32" s="349">
        <v>6</v>
      </c>
      <c r="AF32" s="349">
        <v>7</v>
      </c>
      <c r="AG32" s="349">
        <v>13</v>
      </c>
    </row>
    <row r="33" spans="1:33" x14ac:dyDescent="0.2">
      <c r="A33" s="344" t="s">
        <v>124</v>
      </c>
      <c r="B33" s="350" t="s">
        <v>125</v>
      </c>
      <c r="C33" s="346">
        <v>10238</v>
      </c>
      <c r="D33" s="346">
        <v>0</v>
      </c>
      <c r="E33" s="346">
        <v>497</v>
      </c>
      <c r="F33" s="346">
        <v>878</v>
      </c>
      <c r="G33" s="346">
        <v>208</v>
      </c>
      <c r="H33" s="346">
        <v>11821</v>
      </c>
      <c r="I33" s="345">
        <v>11613</v>
      </c>
      <c r="J33" s="345">
        <v>2</v>
      </c>
      <c r="K33" s="347">
        <v>77.900000000000006</v>
      </c>
      <c r="L33" s="347">
        <v>74.42</v>
      </c>
      <c r="M33" s="347">
        <v>2.2400000000000002</v>
      </c>
      <c r="N33" s="347">
        <v>79.89</v>
      </c>
      <c r="O33" s="348">
        <v>8886</v>
      </c>
      <c r="P33" s="345">
        <v>88.77</v>
      </c>
      <c r="Q33" s="345">
        <v>71.28</v>
      </c>
      <c r="R33" s="345">
        <v>60.8</v>
      </c>
      <c r="S33" s="345">
        <v>146.34</v>
      </c>
      <c r="T33" s="345">
        <v>1075</v>
      </c>
      <c r="U33" s="345">
        <v>95.31</v>
      </c>
      <c r="V33" s="345">
        <v>1263</v>
      </c>
      <c r="W33" s="345">
        <v>150.74</v>
      </c>
      <c r="X33" s="345">
        <v>210</v>
      </c>
      <c r="Y33" s="345">
        <v>1</v>
      </c>
      <c r="Z33" s="345">
        <v>51</v>
      </c>
      <c r="AA33" s="345">
        <v>2</v>
      </c>
      <c r="AB33" s="345">
        <v>3</v>
      </c>
      <c r="AC33" s="345">
        <v>13</v>
      </c>
      <c r="AD33" s="349">
        <v>10229</v>
      </c>
      <c r="AE33" s="349">
        <v>83</v>
      </c>
      <c r="AF33" s="349">
        <v>28</v>
      </c>
      <c r="AG33" s="349">
        <v>111</v>
      </c>
    </row>
    <row r="34" spans="1:33" x14ac:dyDescent="0.2">
      <c r="A34" s="344" t="s">
        <v>126</v>
      </c>
      <c r="B34" s="350" t="s">
        <v>127</v>
      </c>
      <c r="C34" s="346">
        <v>1682</v>
      </c>
      <c r="D34" s="346">
        <v>0</v>
      </c>
      <c r="E34" s="346">
        <v>450</v>
      </c>
      <c r="F34" s="346">
        <v>199</v>
      </c>
      <c r="G34" s="346">
        <v>131</v>
      </c>
      <c r="H34" s="346">
        <v>2462</v>
      </c>
      <c r="I34" s="345">
        <v>2331</v>
      </c>
      <c r="J34" s="345">
        <v>0</v>
      </c>
      <c r="K34" s="347">
        <v>85.64</v>
      </c>
      <c r="L34" s="347">
        <v>83</v>
      </c>
      <c r="M34" s="347">
        <v>4.37</v>
      </c>
      <c r="N34" s="347">
        <v>89.06</v>
      </c>
      <c r="O34" s="348">
        <v>1200</v>
      </c>
      <c r="P34" s="345">
        <v>108.89</v>
      </c>
      <c r="Q34" s="345">
        <v>82.46</v>
      </c>
      <c r="R34" s="345">
        <v>66.22</v>
      </c>
      <c r="S34" s="345">
        <v>171.55</v>
      </c>
      <c r="T34" s="345">
        <v>595</v>
      </c>
      <c r="U34" s="345">
        <v>103.69</v>
      </c>
      <c r="V34" s="345">
        <v>365</v>
      </c>
      <c r="W34" s="345">
        <v>0</v>
      </c>
      <c r="X34" s="345">
        <v>0</v>
      </c>
      <c r="Y34" s="345">
        <v>67</v>
      </c>
      <c r="Z34" s="345">
        <v>0</v>
      </c>
      <c r="AA34" s="345">
        <v>8</v>
      </c>
      <c r="AB34" s="345">
        <v>0</v>
      </c>
      <c r="AC34" s="345">
        <v>6</v>
      </c>
      <c r="AD34" s="349">
        <v>1625</v>
      </c>
      <c r="AE34" s="349">
        <v>14</v>
      </c>
      <c r="AF34" s="349">
        <v>9</v>
      </c>
      <c r="AG34" s="349">
        <v>23</v>
      </c>
    </row>
    <row r="35" spans="1:33" x14ac:dyDescent="0.2">
      <c r="A35" s="344" t="s">
        <v>128</v>
      </c>
      <c r="B35" s="350" t="s">
        <v>129</v>
      </c>
      <c r="C35" s="346">
        <v>769</v>
      </c>
      <c r="D35" s="346">
        <v>0</v>
      </c>
      <c r="E35" s="346">
        <v>103</v>
      </c>
      <c r="F35" s="346">
        <v>261</v>
      </c>
      <c r="G35" s="346">
        <v>36</v>
      </c>
      <c r="H35" s="346">
        <v>1169</v>
      </c>
      <c r="I35" s="345">
        <v>1133</v>
      </c>
      <c r="J35" s="345">
        <v>0</v>
      </c>
      <c r="K35" s="347">
        <v>88.98</v>
      </c>
      <c r="L35" s="347">
        <v>86.81</v>
      </c>
      <c r="M35" s="347">
        <v>4.08</v>
      </c>
      <c r="N35" s="347">
        <v>91.4</v>
      </c>
      <c r="O35" s="348">
        <v>649</v>
      </c>
      <c r="P35" s="345">
        <v>100.77</v>
      </c>
      <c r="Q35" s="345">
        <v>85.31</v>
      </c>
      <c r="R35" s="345">
        <v>33.08</v>
      </c>
      <c r="S35" s="345">
        <v>132.24</v>
      </c>
      <c r="T35" s="345">
        <v>348</v>
      </c>
      <c r="U35" s="345">
        <v>88.74</v>
      </c>
      <c r="V35" s="345">
        <v>85</v>
      </c>
      <c r="W35" s="345">
        <v>0</v>
      </c>
      <c r="X35" s="345">
        <v>0</v>
      </c>
      <c r="Y35" s="345">
        <v>83</v>
      </c>
      <c r="Z35" s="345">
        <v>0</v>
      </c>
      <c r="AA35" s="345">
        <v>1</v>
      </c>
      <c r="AB35" s="345">
        <v>0</v>
      </c>
      <c r="AC35" s="345">
        <v>0</v>
      </c>
      <c r="AD35" s="349">
        <v>748</v>
      </c>
      <c r="AE35" s="349">
        <v>7</v>
      </c>
      <c r="AF35" s="349">
        <v>2</v>
      </c>
      <c r="AG35" s="349">
        <v>9</v>
      </c>
    </row>
    <row r="36" spans="1:33" x14ac:dyDescent="0.2">
      <c r="A36" s="344" t="s">
        <v>130</v>
      </c>
      <c r="B36" s="350" t="s">
        <v>131</v>
      </c>
      <c r="C36" s="346">
        <v>20848</v>
      </c>
      <c r="D36" s="346">
        <v>1</v>
      </c>
      <c r="E36" s="346">
        <v>875</v>
      </c>
      <c r="F36" s="346">
        <v>3837</v>
      </c>
      <c r="G36" s="346">
        <v>345</v>
      </c>
      <c r="H36" s="346">
        <v>25906</v>
      </c>
      <c r="I36" s="345">
        <v>25561</v>
      </c>
      <c r="J36" s="345">
        <v>45</v>
      </c>
      <c r="K36" s="347">
        <v>77.02</v>
      </c>
      <c r="L36" s="347">
        <v>79</v>
      </c>
      <c r="M36" s="347">
        <v>3.27</v>
      </c>
      <c r="N36" s="347">
        <v>79.98</v>
      </c>
      <c r="O36" s="348">
        <v>17355</v>
      </c>
      <c r="P36" s="345">
        <v>77.13</v>
      </c>
      <c r="Q36" s="345">
        <v>72.02</v>
      </c>
      <c r="R36" s="345">
        <v>35.44</v>
      </c>
      <c r="S36" s="345">
        <v>112.33</v>
      </c>
      <c r="T36" s="345">
        <v>4635</v>
      </c>
      <c r="U36" s="345">
        <v>95.19</v>
      </c>
      <c r="V36" s="345">
        <v>3199</v>
      </c>
      <c r="W36" s="345">
        <v>189.95</v>
      </c>
      <c r="X36" s="345">
        <v>5</v>
      </c>
      <c r="Y36" s="345">
        <v>0</v>
      </c>
      <c r="Z36" s="345">
        <v>166</v>
      </c>
      <c r="AA36" s="345">
        <v>22</v>
      </c>
      <c r="AB36" s="345">
        <v>5</v>
      </c>
      <c r="AC36" s="345">
        <v>17</v>
      </c>
      <c r="AD36" s="349">
        <v>20813</v>
      </c>
      <c r="AE36" s="349">
        <v>106</v>
      </c>
      <c r="AF36" s="349">
        <v>185</v>
      </c>
      <c r="AG36" s="349">
        <v>291</v>
      </c>
    </row>
    <row r="37" spans="1:33" x14ac:dyDescent="0.2">
      <c r="A37" s="344" t="s">
        <v>132</v>
      </c>
      <c r="B37" s="350" t="s">
        <v>133</v>
      </c>
      <c r="C37" s="346">
        <v>4566</v>
      </c>
      <c r="D37" s="346">
        <v>3</v>
      </c>
      <c r="E37" s="346">
        <v>134</v>
      </c>
      <c r="F37" s="346">
        <v>897</v>
      </c>
      <c r="G37" s="346">
        <v>269</v>
      </c>
      <c r="H37" s="346">
        <v>5869</v>
      </c>
      <c r="I37" s="345">
        <v>5600</v>
      </c>
      <c r="J37" s="345">
        <v>0</v>
      </c>
      <c r="K37" s="347">
        <v>79.42</v>
      </c>
      <c r="L37" s="347">
        <v>76.72</v>
      </c>
      <c r="M37" s="347">
        <v>1.87</v>
      </c>
      <c r="N37" s="347">
        <v>81.3</v>
      </c>
      <c r="O37" s="348">
        <v>4063</v>
      </c>
      <c r="P37" s="345">
        <v>76.45</v>
      </c>
      <c r="Q37" s="345">
        <v>72.22</v>
      </c>
      <c r="R37" s="345">
        <v>20.96</v>
      </c>
      <c r="S37" s="345">
        <v>97.41</v>
      </c>
      <c r="T37" s="345">
        <v>1000</v>
      </c>
      <c r="U37" s="345">
        <v>103.39</v>
      </c>
      <c r="V37" s="345">
        <v>364</v>
      </c>
      <c r="W37" s="345">
        <v>302.19</v>
      </c>
      <c r="X37" s="345">
        <v>6</v>
      </c>
      <c r="Y37" s="345">
        <v>0</v>
      </c>
      <c r="Z37" s="345">
        <v>7</v>
      </c>
      <c r="AA37" s="345">
        <v>0</v>
      </c>
      <c r="AB37" s="345">
        <v>41</v>
      </c>
      <c r="AC37" s="345">
        <v>6</v>
      </c>
      <c r="AD37" s="349">
        <v>4530</v>
      </c>
      <c r="AE37" s="349">
        <v>13</v>
      </c>
      <c r="AF37" s="349">
        <v>41</v>
      </c>
      <c r="AG37" s="349">
        <v>54</v>
      </c>
    </row>
    <row r="38" spans="1:33" x14ac:dyDescent="0.2">
      <c r="A38" s="344" t="s">
        <v>134</v>
      </c>
      <c r="B38" s="350" t="s">
        <v>135</v>
      </c>
      <c r="C38" s="345">
        <v>6809</v>
      </c>
      <c r="D38" s="345">
        <v>19</v>
      </c>
      <c r="E38" s="345">
        <v>1312</v>
      </c>
      <c r="F38" s="345">
        <v>1016</v>
      </c>
      <c r="G38" s="345">
        <v>934</v>
      </c>
      <c r="H38" s="345">
        <v>10090</v>
      </c>
      <c r="I38" s="345">
        <v>9156</v>
      </c>
      <c r="J38" s="345">
        <v>13</v>
      </c>
      <c r="K38" s="345">
        <v>103.55</v>
      </c>
      <c r="L38" s="345">
        <v>102.35</v>
      </c>
      <c r="M38" s="345">
        <v>5.37</v>
      </c>
      <c r="N38" s="345">
        <v>107.41</v>
      </c>
      <c r="O38" s="348">
        <v>5847</v>
      </c>
      <c r="P38" s="345">
        <v>96.6</v>
      </c>
      <c r="Q38" s="345">
        <v>83.68</v>
      </c>
      <c r="R38" s="345">
        <v>40.97</v>
      </c>
      <c r="S38" s="345">
        <v>136.02000000000001</v>
      </c>
      <c r="T38" s="345">
        <v>1671</v>
      </c>
      <c r="U38" s="345">
        <v>140.80000000000001</v>
      </c>
      <c r="V38" s="345">
        <v>526</v>
      </c>
      <c r="W38" s="345">
        <v>344.67</v>
      </c>
      <c r="X38" s="345">
        <v>50</v>
      </c>
      <c r="Y38" s="345">
        <v>1</v>
      </c>
      <c r="Z38" s="345">
        <v>1</v>
      </c>
      <c r="AA38" s="345">
        <v>3</v>
      </c>
      <c r="AB38" s="345">
        <v>5</v>
      </c>
      <c r="AC38" s="345">
        <v>17</v>
      </c>
      <c r="AD38" s="345">
        <v>6365</v>
      </c>
      <c r="AE38" s="345">
        <v>12</v>
      </c>
      <c r="AF38" s="345">
        <v>12</v>
      </c>
      <c r="AG38" s="345">
        <v>24</v>
      </c>
    </row>
    <row r="39" spans="1:33" x14ac:dyDescent="0.2">
      <c r="A39" s="344" t="s">
        <v>136</v>
      </c>
      <c r="B39" s="350" t="s">
        <v>137</v>
      </c>
      <c r="C39" s="346">
        <v>7316</v>
      </c>
      <c r="D39" s="346">
        <v>3</v>
      </c>
      <c r="E39" s="346">
        <v>248</v>
      </c>
      <c r="F39" s="346">
        <v>509</v>
      </c>
      <c r="G39" s="346">
        <v>655</v>
      </c>
      <c r="H39" s="346">
        <v>8731</v>
      </c>
      <c r="I39" s="345">
        <v>8076</v>
      </c>
      <c r="J39" s="345">
        <v>0</v>
      </c>
      <c r="K39" s="347">
        <v>108.58</v>
      </c>
      <c r="L39" s="347">
        <v>108.78</v>
      </c>
      <c r="M39" s="347">
        <v>7.52</v>
      </c>
      <c r="N39" s="347">
        <v>111.08</v>
      </c>
      <c r="O39" s="348">
        <v>6752</v>
      </c>
      <c r="P39" s="345">
        <v>99.1</v>
      </c>
      <c r="Q39" s="345">
        <v>96.06</v>
      </c>
      <c r="R39" s="345">
        <v>36.909999999999997</v>
      </c>
      <c r="S39" s="345">
        <v>133.63</v>
      </c>
      <c r="T39" s="345">
        <v>745</v>
      </c>
      <c r="U39" s="345">
        <v>157.22</v>
      </c>
      <c r="V39" s="345">
        <v>487</v>
      </c>
      <c r="W39" s="345">
        <v>0</v>
      </c>
      <c r="X39" s="345">
        <v>0</v>
      </c>
      <c r="Y39" s="345">
        <v>0</v>
      </c>
      <c r="Z39" s="345">
        <v>15</v>
      </c>
      <c r="AA39" s="345">
        <v>3</v>
      </c>
      <c r="AB39" s="345">
        <v>24</v>
      </c>
      <c r="AC39" s="345">
        <v>7</v>
      </c>
      <c r="AD39" s="349">
        <v>7288</v>
      </c>
      <c r="AE39" s="349">
        <v>46</v>
      </c>
      <c r="AF39" s="349">
        <v>122</v>
      </c>
      <c r="AG39" s="349">
        <v>168</v>
      </c>
    </row>
    <row r="40" spans="1:33" x14ac:dyDescent="0.2">
      <c r="A40" s="344" t="s">
        <v>138</v>
      </c>
      <c r="B40" s="350" t="s">
        <v>139</v>
      </c>
      <c r="C40" s="346">
        <v>27560</v>
      </c>
      <c r="D40" s="346">
        <v>132</v>
      </c>
      <c r="E40" s="346">
        <v>1361</v>
      </c>
      <c r="F40" s="346">
        <v>2802</v>
      </c>
      <c r="G40" s="346">
        <v>668</v>
      </c>
      <c r="H40" s="346">
        <v>32523</v>
      </c>
      <c r="I40" s="345">
        <v>31855</v>
      </c>
      <c r="J40" s="345">
        <v>102</v>
      </c>
      <c r="K40" s="347">
        <v>78.28</v>
      </c>
      <c r="L40" s="347">
        <v>82.41</v>
      </c>
      <c r="M40" s="347">
        <v>6.07</v>
      </c>
      <c r="N40" s="347">
        <v>83.92</v>
      </c>
      <c r="O40" s="348">
        <v>24676</v>
      </c>
      <c r="P40" s="345">
        <v>84.81</v>
      </c>
      <c r="Q40" s="345">
        <v>78.069999999999993</v>
      </c>
      <c r="R40" s="345">
        <v>35.71</v>
      </c>
      <c r="S40" s="345">
        <v>120.11</v>
      </c>
      <c r="T40" s="345">
        <v>3488</v>
      </c>
      <c r="U40" s="345">
        <v>103.55</v>
      </c>
      <c r="V40" s="345">
        <v>2926</v>
      </c>
      <c r="W40" s="345">
        <v>140.32</v>
      </c>
      <c r="X40" s="345">
        <v>83</v>
      </c>
      <c r="Y40" s="345">
        <v>194</v>
      </c>
      <c r="Z40" s="345">
        <v>92</v>
      </c>
      <c r="AA40" s="345">
        <v>59</v>
      </c>
      <c r="AB40" s="345">
        <v>6</v>
      </c>
      <c r="AC40" s="345">
        <v>16</v>
      </c>
      <c r="AD40" s="349">
        <v>27544</v>
      </c>
      <c r="AE40" s="349">
        <v>206</v>
      </c>
      <c r="AF40" s="349">
        <v>655</v>
      </c>
      <c r="AG40" s="349">
        <v>861</v>
      </c>
    </row>
    <row r="41" spans="1:33" x14ac:dyDescent="0.2">
      <c r="A41" s="344" t="s">
        <v>140</v>
      </c>
      <c r="B41" s="350" t="s">
        <v>141</v>
      </c>
      <c r="C41" s="346">
        <v>9594</v>
      </c>
      <c r="D41" s="346">
        <v>29</v>
      </c>
      <c r="E41" s="346">
        <v>315</v>
      </c>
      <c r="F41" s="346">
        <v>701</v>
      </c>
      <c r="G41" s="346">
        <v>287</v>
      </c>
      <c r="H41" s="346">
        <v>10926</v>
      </c>
      <c r="I41" s="345">
        <v>10639</v>
      </c>
      <c r="J41" s="345">
        <v>5</v>
      </c>
      <c r="K41" s="347">
        <v>95.88</v>
      </c>
      <c r="L41" s="347">
        <v>96.05</v>
      </c>
      <c r="M41" s="347">
        <v>3.71</v>
      </c>
      <c r="N41" s="347">
        <v>96.89</v>
      </c>
      <c r="O41" s="348">
        <v>8773</v>
      </c>
      <c r="P41" s="345">
        <v>89.22</v>
      </c>
      <c r="Q41" s="345">
        <v>81.55</v>
      </c>
      <c r="R41" s="345">
        <v>39.869999999999997</v>
      </c>
      <c r="S41" s="345">
        <v>127.87</v>
      </c>
      <c r="T41" s="345">
        <v>846</v>
      </c>
      <c r="U41" s="345">
        <v>133.43</v>
      </c>
      <c r="V41" s="345">
        <v>748</v>
      </c>
      <c r="W41" s="345">
        <v>136.02000000000001</v>
      </c>
      <c r="X41" s="345">
        <v>25</v>
      </c>
      <c r="Y41" s="345">
        <v>34</v>
      </c>
      <c r="Z41" s="345">
        <v>28</v>
      </c>
      <c r="AA41" s="345">
        <v>3</v>
      </c>
      <c r="AB41" s="345">
        <v>29</v>
      </c>
      <c r="AC41" s="345">
        <v>5</v>
      </c>
      <c r="AD41" s="349">
        <v>9576</v>
      </c>
      <c r="AE41" s="349">
        <v>6</v>
      </c>
      <c r="AF41" s="349">
        <v>29</v>
      </c>
      <c r="AG41" s="349">
        <v>35</v>
      </c>
    </row>
    <row r="42" spans="1:33" x14ac:dyDescent="0.2">
      <c r="A42" s="344" t="s">
        <v>142</v>
      </c>
      <c r="B42" s="350" t="s">
        <v>143</v>
      </c>
      <c r="C42" s="346">
        <v>7329</v>
      </c>
      <c r="D42" s="346">
        <v>0</v>
      </c>
      <c r="E42" s="346">
        <v>194</v>
      </c>
      <c r="F42" s="346">
        <v>973</v>
      </c>
      <c r="G42" s="346">
        <v>505</v>
      </c>
      <c r="H42" s="346">
        <v>9001</v>
      </c>
      <c r="I42" s="345">
        <v>8496</v>
      </c>
      <c r="J42" s="345">
        <v>0</v>
      </c>
      <c r="K42" s="347">
        <v>88.33</v>
      </c>
      <c r="L42" s="347">
        <v>88.46</v>
      </c>
      <c r="M42" s="347">
        <v>2.97</v>
      </c>
      <c r="N42" s="347">
        <v>89.11</v>
      </c>
      <c r="O42" s="348">
        <v>6725</v>
      </c>
      <c r="P42" s="345">
        <v>80.87</v>
      </c>
      <c r="Q42" s="345">
        <v>78.099999999999994</v>
      </c>
      <c r="R42" s="345">
        <v>24.06</v>
      </c>
      <c r="S42" s="345">
        <v>104.42</v>
      </c>
      <c r="T42" s="345">
        <v>1136</v>
      </c>
      <c r="U42" s="345">
        <v>110.95</v>
      </c>
      <c r="V42" s="345">
        <v>586</v>
      </c>
      <c r="W42" s="345">
        <v>0</v>
      </c>
      <c r="X42" s="345">
        <v>0</v>
      </c>
      <c r="Y42" s="345">
        <v>0</v>
      </c>
      <c r="Z42" s="345">
        <v>7</v>
      </c>
      <c r="AA42" s="345">
        <v>9</v>
      </c>
      <c r="AB42" s="345">
        <v>24</v>
      </c>
      <c r="AC42" s="345">
        <v>24</v>
      </c>
      <c r="AD42" s="349">
        <v>7320</v>
      </c>
      <c r="AE42" s="349">
        <v>22</v>
      </c>
      <c r="AF42" s="349">
        <v>34</v>
      </c>
      <c r="AG42" s="349">
        <v>56</v>
      </c>
    </row>
    <row r="43" spans="1:33" x14ac:dyDescent="0.2">
      <c r="A43" s="344" t="s">
        <v>144</v>
      </c>
      <c r="B43" s="350" t="s">
        <v>145</v>
      </c>
      <c r="C43" s="346">
        <v>15789</v>
      </c>
      <c r="D43" s="346">
        <v>676</v>
      </c>
      <c r="E43" s="346">
        <v>1050</v>
      </c>
      <c r="F43" s="346">
        <v>1070</v>
      </c>
      <c r="G43" s="346">
        <v>1802</v>
      </c>
      <c r="H43" s="346">
        <v>20387</v>
      </c>
      <c r="I43" s="345">
        <v>18585</v>
      </c>
      <c r="J43" s="345">
        <v>247</v>
      </c>
      <c r="K43" s="347">
        <v>133.66</v>
      </c>
      <c r="L43" s="347">
        <v>128.69999999999999</v>
      </c>
      <c r="M43" s="347">
        <v>10.15</v>
      </c>
      <c r="N43" s="347">
        <v>140.80000000000001</v>
      </c>
      <c r="O43" s="348">
        <v>13125</v>
      </c>
      <c r="P43" s="345">
        <v>115.19</v>
      </c>
      <c r="Q43" s="345">
        <v>100.18</v>
      </c>
      <c r="R43" s="345">
        <v>60.6</v>
      </c>
      <c r="S43" s="345">
        <v>161.21</v>
      </c>
      <c r="T43" s="345">
        <v>1792</v>
      </c>
      <c r="U43" s="345">
        <v>205.55</v>
      </c>
      <c r="V43" s="345">
        <v>1487</v>
      </c>
      <c r="W43" s="345">
        <v>198.1</v>
      </c>
      <c r="X43" s="345">
        <v>139</v>
      </c>
      <c r="Y43" s="345">
        <v>0</v>
      </c>
      <c r="Z43" s="345">
        <v>3</v>
      </c>
      <c r="AA43" s="345">
        <v>2</v>
      </c>
      <c r="AB43" s="345">
        <v>79</v>
      </c>
      <c r="AC43" s="345">
        <v>60</v>
      </c>
      <c r="AD43" s="349">
        <v>15004</v>
      </c>
      <c r="AE43" s="349">
        <v>76</v>
      </c>
      <c r="AF43" s="349">
        <v>56</v>
      </c>
      <c r="AG43" s="349">
        <v>132</v>
      </c>
    </row>
    <row r="44" spans="1:33" x14ac:dyDescent="0.2">
      <c r="A44" s="344" t="s">
        <v>146</v>
      </c>
      <c r="B44" s="350" t="s">
        <v>147</v>
      </c>
      <c r="C44" s="346">
        <v>774</v>
      </c>
      <c r="D44" s="346">
        <v>7</v>
      </c>
      <c r="E44" s="346">
        <v>74</v>
      </c>
      <c r="F44" s="346">
        <v>163</v>
      </c>
      <c r="G44" s="346">
        <v>185</v>
      </c>
      <c r="H44" s="346">
        <v>1203</v>
      </c>
      <c r="I44" s="345">
        <v>1018</v>
      </c>
      <c r="J44" s="345">
        <v>2</v>
      </c>
      <c r="K44" s="347">
        <v>117.1</v>
      </c>
      <c r="L44" s="347">
        <v>115.7</v>
      </c>
      <c r="M44" s="347">
        <v>7.02</v>
      </c>
      <c r="N44" s="347">
        <v>123.61</v>
      </c>
      <c r="O44" s="348">
        <v>510</v>
      </c>
      <c r="P44" s="345">
        <v>98.89</v>
      </c>
      <c r="Q44" s="345">
        <v>96.73</v>
      </c>
      <c r="R44" s="345">
        <v>46.23</v>
      </c>
      <c r="S44" s="345">
        <v>140.04</v>
      </c>
      <c r="T44" s="345">
        <v>237</v>
      </c>
      <c r="U44" s="345">
        <v>142.44999999999999</v>
      </c>
      <c r="V44" s="345">
        <v>109</v>
      </c>
      <c r="W44" s="345">
        <v>0</v>
      </c>
      <c r="X44" s="345">
        <v>0</v>
      </c>
      <c r="Y44" s="345">
        <v>0</v>
      </c>
      <c r="Z44" s="345">
        <v>1</v>
      </c>
      <c r="AA44" s="345">
        <v>0</v>
      </c>
      <c r="AB44" s="345">
        <v>17</v>
      </c>
      <c r="AC44" s="345">
        <v>3</v>
      </c>
      <c r="AD44" s="349">
        <v>619</v>
      </c>
      <c r="AE44" s="349">
        <v>4</v>
      </c>
      <c r="AF44" s="349">
        <v>2</v>
      </c>
      <c r="AG44" s="349">
        <v>6</v>
      </c>
    </row>
    <row r="45" spans="1:33" x14ac:dyDescent="0.2">
      <c r="A45" s="344" t="s">
        <v>148</v>
      </c>
      <c r="B45" s="350" t="s">
        <v>149</v>
      </c>
      <c r="C45" s="346">
        <v>4725</v>
      </c>
      <c r="D45" s="346">
        <v>15</v>
      </c>
      <c r="E45" s="346">
        <v>1078</v>
      </c>
      <c r="F45" s="346">
        <v>878</v>
      </c>
      <c r="G45" s="346">
        <v>816</v>
      </c>
      <c r="H45" s="346">
        <v>7512</v>
      </c>
      <c r="I45" s="345">
        <v>6696</v>
      </c>
      <c r="J45" s="345">
        <v>49</v>
      </c>
      <c r="K45" s="347">
        <v>94.51</v>
      </c>
      <c r="L45" s="347">
        <v>93.09</v>
      </c>
      <c r="M45" s="347">
        <v>10.29</v>
      </c>
      <c r="N45" s="347">
        <v>103.11</v>
      </c>
      <c r="O45" s="348">
        <v>3988</v>
      </c>
      <c r="P45" s="345">
        <v>94.79</v>
      </c>
      <c r="Q45" s="345">
        <v>83.81</v>
      </c>
      <c r="R45" s="345">
        <v>62.65</v>
      </c>
      <c r="S45" s="345">
        <v>152.26</v>
      </c>
      <c r="T45" s="345">
        <v>1089</v>
      </c>
      <c r="U45" s="345">
        <v>160.04</v>
      </c>
      <c r="V45" s="345">
        <v>437</v>
      </c>
      <c r="W45" s="345">
        <v>140.27000000000001</v>
      </c>
      <c r="X45" s="345">
        <v>25</v>
      </c>
      <c r="Y45" s="345">
        <v>15</v>
      </c>
      <c r="Z45" s="345">
        <v>21</v>
      </c>
      <c r="AA45" s="345">
        <v>10</v>
      </c>
      <c r="AB45" s="345">
        <v>28</v>
      </c>
      <c r="AC45" s="345">
        <v>24</v>
      </c>
      <c r="AD45" s="349">
        <v>4467</v>
      </c>
      <c r="AE45" s="349">
        <v>24</v>
      </c>
      <c r="AF45" s="349">
        <v>15</v>
      </c>
      <c r="AG45" s="349">
        <v>39</v>
      </c>
    </row>
    <row r="46" spans="1:33" x14ac:dyDescent="0.2">
      <c r="A46" s="344" t="s">
        <v>150</v>
      </c>
      <c r="B46" s="350" t="s">
        <v>151</v>
      </c>
      <c r="C46" s="346">
        <v>9222</v>
      </c>
      <c r="D46" s="346">
        <v>40</v>
      </c>
      <c r="E46" s="346">
        <v>2613</v>
      </c>
      <c r="F46" s="346">
        <v>1004</v>
      </c>
      <c r="G46" s="346">
        <v>1239</v>
      </c>
      <c r="H46" s="346">
        <v>14118</v>
      </c>
      <c r="I46" s="345">
        <v>12879</v>
      </c>
      <c r="J46" s="345">
        <v>8</v>
      </c>
      <c r="K46" s="347">
        <v>96.7</v>
      </c>
      <c r="L46" s="347">
        <v>95.48</v>
      </c>
      <c r="M46" s="347">
        <v>9.32</v>
      </c>
      <c r="N46" s="347">
        <v>103.34</v>
      </c>
      <c r="O46" s="348">
        <v>7570</v>
      </c>
      <c r="P46" s="345">
        <v>89.58</v>
      </c>
      <c r="Q46" s="345">
        <v>86.32</v>
      </c>
      <c r="R46" s="345">
        <v>37.47</v>
      </c>
      <c r="S46" s="345">
        <v>125.7</v>
      </c>
      <c r="T46" s="345">
        <v>2970</v>
      </c>
      <c r="U46" s="345">
        <v>129.97</v>
      </c>
      <c r="V46" s="345">
        <v>1101</v>
      </c>
      <c r="W46" s="345">
        <v>128.91999999999999</v>
      </c>
      <c r="X46" s="345">
        <v>10</v>
      </c>
      <c r="Y46" s="345">
        <v>0</v>
      </c>
      <c r="Z46" s="345">
        <v>1</v>
      </c>
      <c r="AA46" s="345">
        <v>9</v>
      </c>
      <c r="AB46" s="345">
        <v>53</v>
      </c>
      <c r="AC46" s="345">
        <v>38</v>
      </c>
      <c r="AD46" s="349">
        <v>8869</v>
      </c>
      <c r="AE46" s="349">
        <v>40</v>
      </c>
      <c r="AF46" s="349">
        <v>25</v>
      </c>
      <c r="AG46" s="349">
        <v>65</v>
      </c>
    </row>
    <row r="47" spans="1:33" x14ac:dyDescent="0.2">
      <c r="A47" s="344" t="s">
        <v>152</v>
      </c>
      <c r="B47" s="350" t="s">
        <v>153</v>
      </c>
      <c r="C47" s="346">
        <v>4764</v>
      </c>
      <c r="D47" s="346">
        <v>0</v>
      </c>
      <c r="E47" s="346">
        <v>165</v>
      </c>
      <c r="F47" s="346">
        <v>551</v>
      </c>
      <c r="G47" s="346">
        <v>350</v>
      </c>
      <c r="H47" s="346">
        <v>5830</v>
      </c>
      <c r="I47" s="345">
        <v>5480</v>
      </c>
      <c r="J47" s="345">
        <v>1</v>
      </c>
      <c r="K47" s="347">
        <v>91.92</v>
      </c>
      <c r="L47" s="347">
        <v>88.71</v>
      </c>
      <c r="M47" s="347">
        <v>2.42</v>
      </c>
      <c r="N47" s="347">
        <v>92.98</v>
      </c>
      <c r="O47" s="348">
        <v>3700</v>
      </c>
      <c r="P47" s="345">
        <v>90.75</v>
      </c>
      <c r="Q47" s="345">
        <v>82.24</v>
      </c>
      <c r="R47" s="345">
        <v>28.5</v>
      </c>
      <c r="S47" s="345">
        <v>118.97</v>
      </c>
      <c r="T47" s="345">
        <v>714</v>
      </c>
      <c r="U47" s="345">
        <v>108.87</v>
      </c>
      <c r="V47" s="345">
        <v>980</v>
      </c>
      <c r="W47" s="345">
        <v>0</v>
      </c>
      <c r="X47" s="345">
        <v>0</v>
      </c>
      <c r="Y47" s="345">
        <v>0</v>
      </c>
      <c r="Z47" s="345">
        <v>4</v>
      </c>
      <c r="AA47" s="345">
        <v>4</v>
      </c>
      <c r="AB47" s="345">
        <v>16</v>
      </c>
      <c r="AC47" s="345">
        <v>8</v>
      </c>
      <c r="AD47" s="349">
        <v>4733</v>
      </c>
      <c r="AE47" s="349">
        <v>24</v>
      </c>
      <c r="AF47" s="349">
        <v>8</v>
      </c>
      <c r="AG47" s="349">
        <v>32</v>
      </c>
    </row>
    <row r="48" spans="1:33" x14ac:dyDescent="0.2">
      <c r="A48" s="344" t="s">
        <v>154</v>
      </c>
      <c r="B48" s="350" t="s">
        <v>155</v>
      </c>
      <c r="C48" s="346">
        <v>16322</v>
      </c>
      <c r="D48" s="346">
        <v>110</v>
      </c>
      <c r="E48" s="346">
        <v>600</v>
      </c>
      <c r="F48" s="346">
        <v>2041</v>
      </c>
      <c r="G48" s="346">
        <v>1043</v>
      </c>
      <c r="H48" s="346">
        <v>20116</v>
      </c>
      <c r="I48" s="345">
        <v>19073</v>
      </c>
      <c r="J48" s="345">
        <v>57</v>
      </c>
      <c r="K48" s="347">
        <v>115.86</v>
      </c>
      <c r="L48" s="347">
        <v>114.34</v>
      </c>
      <c r="M48" s="347">
        <v>9.6999999999999993</v>
      </c>
      <c r="N48" s="347">
        <v>121.63</v>
      </c>
      <c r="O48" s="348">
        <v>13591</v>
      </c>
      <c r="P48" s="345">
        <v>107.81</v>
      </c>
      <c r="Q48" s="345">
        <v>103.52</v>
      </c>
      <c r="R48" s="345">
        <v>41.18</v>
      </c>
      <c r="S48" s="345">
        <v>147.12</v>
      </c>
      <c r="T48" s="345">
        <v>2153</v>
      </c>
      <c r="U48" s="345">
        <v>171.58</v>
      </c>
      <c r="V48" s="345">
        <v>1746</v>
      </c>
      <c r="W48" s="345">
        <v>0</v>
      </c>
      <c r="X48" s="345">
        <v>0</v>
      </c>
      <c r="Y48" s="345">
        <v>0</v>
      </c>
      <c r="Z48" s="345">
        <v>2</v>
      </c>
      <c r="AA48" s="345">
        <v>10</v>
      </c>
      <c r="AB48" s="345">
        <v>66</v>
      </c>
      <c r="AC48" s="345">
        <v>19</v>
      </c>
      <c r="AD48" s="349">
        <v>15527</v>
      </c>
      <c r="AE48" s="349">
        <v>178</v>
      </c>
      <c r="AF48" s="349">
        <v>137</v>
      </c>
      <c r="AG48" s="349">
        <v>315</v>
      </c>
    </row>
    <row r="49" spans="1:33" x14ac:dyDescent="0.2">
      <c r="A49" s="344" t="s">
        <v>156</v>
      </c>
      <c r="B49" s="350" t="s">
        <v>157</v>
      </c>
      <c r="C49" s="346">
        <v>3394</v>
      </c>
      <c r="D49" s="346">
        <v>0</v>
      </c>
      <c r="E49" s="346">
        <v>83</v>
      </c>
      <c r="F49" s="346">
        <v>995</v>
      </c>
      <c r="G49" s="346">
        <v>427</v>
      </c>
      <c r="H49" s="346">
        <v>4899</v>
      </c>
      <c r="I49" s="345">
        <v>4472</v>
      </c>
      <c r="J49" s="345">
        <v>0</v>
      </c>
      <c r="K49" s="347">
        <v>91.2</v>
      </c>
      <c r="L49" s="347">
        <v>90.72</v>
      </c>
      <c r="M49" s="347">
        <v>4.5199999999999996</v>
      </c>
      <c r="N49" s="347">
        <v>93.9</v>
      </c>
      <c r="O49" s="348">
        <v>3022</v>
      </c>
      <c r="P49" s="345">
        <v>83.32</v>
      </c>
      <c r="Q49" s="345">
        <v>84.51</v>
      </c>
      <c r="R49" s="345">
        <v>24.94</v>
      </c>
      <c r="S49" s="345">
        <v>108.19</v>
      </c>
      <c r="T49" s="345">
        <v>1036</v>
      </c>
      <c r="U49" s="345">
        <v>114.15</v>
      </c>
      <c r="V49" s="345">
        <v>326</v>
      </c>
      <c r="W49" s="345">
        <v>0</v>
      </c>
      <c r="X49" s="345">
        <v>0</v>
      </c>
      <c r="Y49" s="345">
        <v>0</v>
      </c>
      <c r="Z49" s="345">
        <v>10</v>
      </c>
      <c r="AA49" s="345">
        <v>4</v>
      </c>
      <c r="AB49" s="345">
        <v>59</v>
      </c>
      <c r="AC49" s="345">
        <v>15</v>
      </c>
      <c r="AD49" s="349">
        <v>3394</v>
      </c>
      <c r="AE49" s="349">
        <v>24</v>
      </c>
      <c r="AF49" s="349">
        <v>4</v>
      </c>
      <c r="AG49" s="349">
        <v>28</v>
      </c>
    </row>
    <row r="50" spans="1:33" x14ac:dyDescent="0.2">
      <c r="A50" s="344" t="s">
        <v>158</v>
      </c>
      <c r="B50" s="350" t="s">
        <v>159</v>
      </c>
      <c r="C50" s="346">
        <v>4802</v>
      </c>
      <c r="D50" s="346">
        <v>0</v>
      </c>
      <c r="E50" s="346">
        <v>137</v>
      </c>
      <c r="F50" s="346">
        <v>383</v>
      </c>
      <c r="G50" s="346">
        <v>369</v>
      </c>
      <c r="H50" s="346">
        <v>5691</v>
      </c>
      <c r="I50" s="345">
        <v>5322</v>
      </c>
      <c r="J50" s="345">
        <v>5</v>
      </c>
      <c r="K50" s="347">
        <v>112.96</v>
      </c>
      <c r="L50" s="347">
        <v>109.86</v>
      </c>
      <c r="M50" s="347">
        <v>6.59</v>
      </c>
      <c r="N50" s="347">
        <v>116.89</v>
      </c>
      <c r="O50" s="348">
        <v>3988</v>
      </c>
      <c r="P50" s="345">
        <v>98.63</v>
      </c>
      <c r="Q50" s="345">
        <v>93.37</v>
      </c>
      <c r="R50" s="345">
        <v>34.99</v>
      </c>
      <c r="S50" s="345">
        <v>132.65</v>
      </c>
      <c r="T50" s="345">
        <v>504</v>
      </c>
      <c r="U50" s="345">
        <v>167</v>
      </c>
      <c r="V50" s="345">
        <v>796</v>
      </c>
      <c r="W50" s="345">
        <v>0</v>
      </c>
      <c r="X50" s="345">
        <v>0</v>
      </c>
      <c r="Y50" s="345">
        <v>0</v>
      </c>
      <c r="Z50" s="345">
        <v>16</v>
      </c>
      <c r="AA50" s="345">
        <v>2</v>
      </c>
      <c r="AB50" s="345">
        <v>3</v>
      </c>
      <c r="AC50" s="345">
        <v>6</v>
      </c>
      <c r="AD50" s="349">
        <v>4802</v>
      </c>
      <c r="AE50" s="349">
        <v>22</v>
      </c>
      <c r="AF50" s="349">
        <v>60</v>
      </c>
      <c r="AG50" s="349">
        <v>82</v>
      </c>
    </row>
    <row r="51" spans="1:33" x14ac:dyDescent="0.2">
      <c r="A51" s="344" t="s">
        <v>160</v>
      </c>
      <c r="B51" s="350" t="s">
        <v>161</v>
      </c>
      <c r="C51" s="346">
        <v>1091</v>
      </c>
      <c r="D51" s="346">
        <v>0</v>
      </c>
      <c r="E51" s="346">
        <v>109</v>
      </c>
      <c r="F51" s="346">
        <v>108</v>
      </c>
      <c r="G51" s="346">
        <v>112</v>
      </c>
      <c r="H51" s="346">
        <v>1420</v>
      </c>
      <c r="I51" s="345">
        <v>1308</v>
      </c>
      <c r="J51" s="345">
        <v>1</v>
      </c>
      <c r="K51" s="347">
        <v>80.17</v>
      </c>
      <c r="L51" s="347">
        <v>78.59</v>
      </c>
      <c r="M51" s="347">
        <v>7.42</v>
      </c>
      <c r="N51" s="347">
        <v>86.26</v>
      </c>
      <c r="O51" s="348">
        <v>919</v>
      </c>
      <c r="P51" s="345">
        <v>98</v>
      </c>
      <c r="Q51" s="345">
        <v>77.08</v>
      </c>
      <c r="R51" s="345">
        <v>57.48</v>
      </c>
      <c r="S51" s="345">
        <v>155.18</v>
      </c>
      <c r="T51" s="345">
        <v>190</v>
      </c>
      <c r="U51" s="345">
        <v>95.44</v>
      </c>
      <c r="V51" s="345">
        <v>159</v>
      </c>
      <c r="W51" s="345">
        <v>196.19</v>
      </c>
      <c r="X51" s="345">
        <v>27</v>
      </c>
      <c r="Y51" s="345">
        <v>0</v>
      </c>
      <c r="Z51" s="345">
        <v>0</v>
      </c>
      <c r="AA51" s="345">
        <v>3</v>
      </c>
      <c r="AB51" s="345">
        <v>0</v>
      </c>
      <c r="AC51" s="345">
        <v>4</v>
      </c>
      <c r="AD51" s="349">
        <v>1091</v>
      </c>
      <c r="AE51" s="349">
        <v>3</v>
      </c>
      <c r="AF51" s="349">
        <v>2</v>
      </c>
      <c r="AG51" s="349">
        <v>5</v>
      </c>
    </row>
    <row r="52" spans="1:33" ht="15" x14ac:dyDescent="0.25">
      <c r="A52" s="351" t="s">
        <v>775</v>
      </c>
      <c r="B52" s="351" t="s">
        <v>770</v>
      </c>
      <c r="C52" s="345">
        <v>24732</v>
      </c>
      <c r="D52" s="345">
        <v>68</v>
      </c>
      <c r="E52" s="345">
        <v>953</v>
      </c>
      <c r="F52" s="345">
        <v>3375</v>
      </c>
      <c r="G52" s="345">
        <v>2266</v>
      </c>
      <c r="H52" s="345">
        <v>31394</v>
      </c>
      <c r="I52" s="345">
        <v>29128</v>
      </c>
      <c r="J52" s="345">
        <v>45</v>
      </c>
      <c r="K52" s="352">
        <v>109.81</v>
      </c>
      <c r="L52" s="352">
        <v>109.77</v>
      </c>
      <c r="M52" s="352">
        <v>5.0599999999999996</v>
      </c>
      <c r="N52" s="352">
        <v>113.12</v>
      </c>
      <c r="O52" s="345">
        <v>21258</v>
      </c>
      <c r="P52" s="352">
        <v>102.78</v>
      </c>
      <c r="Q52" s="352">
        <v>98.5</v>
      </c>
      <c r="R52" s="352">
        <v>28.79</v>
      </c>
      <c r="S52" s="352">
        <v>128.24</v>
      </c>
      <c r="T52" s="345">
        <v>3916</v>
      </c>
      <c r="U52" s="352">
        <v>158.05000000000001</v>
      </c>
      <c r="V52" s="345">
        <v>3057</v>
      </c>
      <c r="W52" s="352">
        <v>105.86</v>
      </c>
      <c r="X52" s="345">
        <v>45</v>
      </c>
      <c r="Y52" s="345">
        <v>12</v>
      </c>
      <c r="Z52" s="345">
        <v>37</v>
      </c>
      <c r="AA52" s="345">
        <v>2</v>
      </c>
      <c r="AB52" s="345">
        <v>160</v>
      </c>
      <c r="AC52" s="345">
        <v>42</v>
      </c>
      <c r="AD52" s="345">
        <v>24370</v>
      </c>
      <c r="AE52" s="345">
        <v>59</v>
      </c>
      <c r="AF52" s="345">
        <v>195</v>
      </c>
      <c r="AG52" s="345">
        <v>254</v>
      </c>
    </row>
    <row r="53" spans="1:33" x14ac:dyDescent="0.2">
      <c r="A53" s="344" t="s">
        <v>162</v>
      </c>
      <c r="B53" s="350" t="s">
        <v>163</v>
      </c>
      <c r="C53" s="346">
        <v>4351</v>
      </c>
      <c r="D53" s="346">
        <v>0</v>
      </c>
      <c r="E53" s="346">
        <v>345</v>
      </c>
      <c r="F53" s="346">
        <v>1434</v>
      </c>
      <c r="G53" s="346">
        <v>22</v>
      </c>
      <c r="H53" s="346">
        <v>6152</v>
      </c>
      <c r="I53" s="345">
        <v>6130</v>
      </c>
      <c r="J53" s="345">
        <v>6</v>
      </c>
      <c r="K53" s="347">
        <v>80.010000000000005</v>
      </c>
      <c r="L53" s="347">
        <v>76.739999999999995</v>
      </c>
      <c r="M53" s="347">
        <v>2.52</v>
      </c>
      <c r="N53" s="347">
        <v>82.31</v>
      </c>
      <c r="O53" s="348">
        <v>3873</v>
      </c>
      <c r="P53" s="345">
        <v>80.42</v>
      </c>
      <c r="Q53" s="345">
        <v>69.37</v>
      </c>
      <c r="R53" s="345">
        <v>23.42</v>
      </c>
      <c r="S53" s="345">
        <v>103.35</v>
      </c>
      <c r="T53" s="345">
        <v>1571</v>
      </c>
      <c r="U53" s="345">
        <v>97.44</v>
      </c>
      <c r="V53" s="345">
        <v>439</v>
      </c>
      <c r="W53" s="345">
        <v>303.70999999999998</v>
      </c>
      <c r="X53" s="345">
        <v>67</v>
      </c>
      <c r="Y53" s="345">
        <v>0</v>
      </c>
      <c r="Z53" s="345">
        <v>28</v>
      </c>
      <c r="AA53" s="345">
        <v>5</v>
      </c>
      <c r="AB53" s="345">
        <v>0</v>
      </c>
      <c r="AC53" s="345">
        <v>0</v>
      </c>
      <c r="AD53" s="349">
        <v>4318</v>
      </c>
      <c r="AE53" s="349">
        <v>81</v>
      </c>
      <c r="AF53" s="349">
        <v>14</v>
      </c>
      <c r="AG53" s="349">
        <v>95</v>
      </c>
    </row>
    <row r="54" spans="1:33" x14ac:dyDescent="0.2">
      <c r="A54" s="344" t="s">
        <v>164</v>
      </c>
      <c r="B54" s="350" t="s">
        <v>165</v>
      </c>
      <c r="C54" s="346">
        <v>3908</v>
      </c>
      <c r="D54" s="346">
        <v>0</v>
      </c>
      <c r="E54" s="346">
        <v>425</v>
      </c>
      <c r="F54" s="346">
        <v>570</v>
      </c>
      <c r="G54" s="346">
        <v>136</v>
      </c>
      <c r="H54" s="346">
        <v>5039</v>
      </c>
      <c r="I54" s="345">
        <v>4903</v>
      </c>
      <c r="J54" s="345">
        <v>17</v>
      </c>
      <c r="K54" s="347">
        <v>81.59</v>
      </c>
      <c r="L54" s="347">
        <v>81.25</v>
      </c>
      <c r="M54" s="347">
        <v>6.37</v>
      </c>
      <c r="N54" s="347">
        <v>85.46</v>
      </c>
      <c r="O54" s="348">
        <v>3121</v>
      </c>
      <c r="P54" s="345">
        <v>91.34</v>
      </c>
      <c r="Q54" s="345">
        <v>79.3</v>
      </c>
      <c r="R54" s="345">
        <v>45.73</v>
      </c>
      <c r="S54" s="345">
        <v>135.22</v>
      </c>
      <c r="T54" s="345">
        <v>767</v>
      </c>
      <c r="U54" s="345">
        <v>103.81</v>
      </c>
      <c r="V54" s="345">
        <v>465</v>
      </c>
      <c r="W54" s="345">
        <v>108.78</v>
      </c>
      <c r="X54" s="345">
        <v>16</v>
      </c>
      <c r="Y54" s="345">
        <v>0</v>
      </c>
      <c r="Z54" s="345">
        <v>9</v>
      </c>
      <c r="AA54" s="345">
        <v>3</v>
      </c>
      <c r="AB54" s="345">
        <v>14</v>
      </c>
      <c r="AC54" s="345">
        <v>7</v>
      </c>
      <c r="AD54" s="349">
        <v>3499</v>
      </c>
      <c r="AE54" s="349">
        <v>14</v>
      </c>
      <c r="AF54" s="349">
        <v>15</v>
      </c>
      <c r="AG54" s="349">
        <v>29</v>
      </c>
    </row>
    <row r="55" spans="1:33" x14ac:dyDescent="0.2">
      <c r="A55" s="344" t="s">
        <v>166</v>
      </c>
      <c r="B55" s="350" t="s">
        <v>167</v>
      </c>
      <c r="C55" s="346">
        <v>12849</v>
      </c>
      <c r="D55" s="346">
        <v>0</v>
      </c>
      <c r="E55" s="346">
        <v>275</v>
      </c>
      <c r="F55" s="346">
        <v>897</v>
      </c>
      <c r="G55" s="346">
        <v>226</v>
      </c>
      <c r="H55" s="346">
        <v>14247</v>
      </c>
      <c r="I55" s="345">
        <v>14021</v>
      </c>
      <c r="J55" s="345">
        <v>9</v>
      </c>
      <c r="K55" s="347">
        <v>77.22</v>
      </c>
      <c r="L55" s="347">
        <v>75.8</v>
      </c>
      <c r="M55" s="347">
        <v>7.3</v>
      </c>
      <c r="N55" s="347">
        <v>84.12</v>
      </c>
      <c r="O55" s="348">
        <v>12171</v>
      </c>
      <c r="P55" s="345">
        <v>86.49</v>
      </c>
      <c r="Q55" s="345">
        <v>77.33</v>
      </c>
      <c r="R55" s="345">
        <v>35.11</v>
      </c>
      <c r="S55" s="345">
        <v>120.4</v>
      </c>
      <c r="T55" s="345">
        <v>1085</v>
      </c>
      <c r="U55" s="345">
        <v>96.63</v>
      </c>
      <c r="V55" s="345">
        <v>596</v>
      </c>
      <c r="W55" s="345">
        <v>0</v>
      </c>
      <c r="X55" s="345">
        <v>0</v>
      </c>
      <c r="Y55" s="345">
        <v>22</v>
      </c>
      <c r="Z55" s="345">
        <v>30</v>
      </c>
      <c r="AA55" s="345">
        <v>4</v>
      </c>
      <c r="AB55" s="345">
        <v>1</v>
      </c>
      <c r="AC55" s="345">
        <v>6</v>
      </c>
      <c r="AD55" s="349">
        <v>12823</v>
      </c>
      <c r="AE55" s="349">
        <v>160</v>
      </c>
      <c r="AF55" s="349">
        <v>313</v>
      </c>
      <c r="AG55" s="349">
        <v>473</v>
      </c>
    </row>
    <row r="56" spans="1:33" x14ac:dyDescent="0.2">
      <c r="A56" s="344" t="s">
        <v>168</v>
      </c>
      <c r="B56" s="350" t="s">
        <v>169</v>
      </c>
      <c r="C56" s="346">
        <v>3687</v>
      </c>
      <c r="D56" s="346">
        <v>610</v>
      </c>
      <c r="E56" s="346">
        <v>562</v>
      </c>
      <c r="F56" s="346">
        <v>501</v>
      </c>
      <c r="G56" s="346">
        <v>689</v>
      </c>
      <c r="H56" s="346">
        <v>6049</v>
      </c>
      <c r="I56" s="345">
        <v>5360</v>
      </c>
      <c r="J56" s="345">
        <v>0</v>
      </c>
      <c r="K56" s="347">
        <v>108.24</v>
      </c>
      <c r="L56" s="347">
        <v>106.49</v>
      </c>
      <c r="M56" s="347">
        <v>7.46</v>
      </c>
      <c r="N56" s="347">
        <v>113.36</v>
      </c>
      <c r="O56" s="348">
        <v>2596</v>
      </c>
      <c r="P56" s="345">
        <v>108.87</v>
      </c>
      <c r="Q56" s="345">
        <v>103.65</v>
      </c>
      <c r="R56" s="345">
        <v>63.65</v>
      </c>
      <c r="S56" s="345">
        <v>170.79</v>
      </c>
      <c r="T56" s="345">
        <v>953</v>
      </c>
      <c r="U56" s="345">
        <v>149.94</v>
      </c>
      <c r="V56" s="345">
        <v>816</v>
      </c>
      <c r="W56" s="345">
        <v>162.72999999999999</v>
      </c>
      <c r="X56" s="345">
        <v>2</v>
      </c>
      <c r="Y56" s="345">
        <v>3</v>
      </c>
      <c r="Z56" s="345">
        <v>0</v>
      </c>
      <c r="AA56" s="345">
        <v>2</v>
      </c>
      <c r="AB56" s="345">
        <v>69</v>
      </c>
      <c r="AC56" s="345">
        <v>32</v>
      </c>
      <c r="AD56" s="349">
        <v>3592</v>
      </c>
      <c r="AE56" s="349">
        <v>49</v>
      </c>
      <c r="AF56" s="349">
        <v>11</v>
      </c>
      <c r="AG56" s="349">
        <v>60</v>
      </c>
    </row>
    <row r="57" spans="1:33" x14ac:dyDescent="0.2">
      <c r="A57" s="344" t="s">
        <v>170</v>
      </c>
      <c r="B57" s="350" t="s">
        <v>171</v>
      </c>
      <c r="C57" s="346">
        <v>8567</v>
      </c>
      <c r="D57" s="346">
        <v>1569</v>
      </c>
      <c r="E57" s="346">
        <v>941</v>
      </c>
      <c r="F57" s="346">
        <v>948</v>
      </c>
      <c r="G57" s="346">
        <v>530</v>
      </c>
      <c r="H57" s="346">
        <v>12555</v>
      </c>
      <c r="I57" s="345">
        <v>12025</v>
      </c>
      <c r="J57" s="345">
        <v>118</v>
      </c>
      <c r="K57" s="347">
        <v>129.84</v>
      </c>
      <c r="L57" s="347">
        <v>134.86000000000001</v>
      </c>
      <c r="M57" s="347">
        <v>17.809999999999999</v>
      </c>
      <c r="N57" s="347">
        <v>146.53</v>
      </c>
      <c r="O57" s="348">
        <v>6742</v>
      </c>
      <c r="P57" s="345">
        <v>111.24</v>
      </c>
      <c r="Q57" s="345">
        <v>110.21</v>
      </c>
      <c r="R57" s="345">
        <v>71.849999999999994</v>
      </c>
      <c r="S57" s="345">
        <v>170.4</v>
      </c>
      <c r="T57" s="345">
        <v>1716</v>
      </c>
      <c r="U57" s="345">
        <v>214.56</v>
      </c>
      <c r="V57" s="345">
        <v>434</v>
      </c>
      <c r="W57" s="345">
        <v>0</v>
      </c>
      <c r="X57" s="345">
        <v>0</v>
      </c>
      <c r="Y57" s="345">
        <v>0</v>
      </c>
      <c r="Z57" s="345">
        <v>4</v>
      </c>
      <c r="AA57" s="345">
        <v>2</v>
      </c>
      <c r="AB57" s="345">
        <v>22</v>
      </c>
      <c r="AC57" s="345">
        <v>16</v>
      </c>
      <c r="AD57" s="349">
        <v>7187</v>
      </c>
      <c r="AE57" s="349">
        <v>93</v>
      </c>
      <c r="AF57" s="349">
        <v>103</v>
      </c>
      <c r="AG57" s="349">
        <v>196</v>
      </c>
    </row>
    <row r="58" spans="1:33" x14ac:dyDescent="0.2">
      <c r="A58" s="344" t="s">
        <v>172</v>
      </c>
      <c r="B58" s="350" t="s">
        <v>173</v>
      </c>
      <c r="C58" s="346">
        <v>1576</v>
      </c>
      <c r="D58" s="346">
        <v>2</v>
      </c>
      <c r="E58" s="346">
        <v>221</v>
      </c>
      <c r="F58" s="346">
        <v>269</v>
      </c>
      <c r="G58" s="346">
        <v>244</v>
      </c>
      <c r="H58" s="346">
        <v>2312</v>
      </c>
      <c r="I58" s="345">
        <v>2068</v>
      </c>
      <c r="J58" s="345">
        <v>0</v>
      </c>
      <c r="K58" s="347">
        <v>90.17</v>
      </c>
      <c r="L58" s="347">
        <v>88.43</v>
      </c>
      <c r="M58" s="347">
        <v>4.99</v>
      </c>
      <c r="N58" s="347">
        <v>93.27</v>
      </c>
      <c r="O58" s="348">
        <v>1258</v>
      </c>
      <c r="P58" s="345">
        <v>86.5</v>
      </c>
      <c r="Q58" s="345">
        <v>85.08</v>
      </c>
      <c r="R58" s="345">
        <v>56.96</v>
      </c>
      <c r="S58" s="345">
        <v>143.30000000000001</v>
      </c>
      <c r="T58" s="345">
        <v>343</v>
      </c>
      <c r="U58" s="345">
        <v>112.29</v>
      </c>
      <c r="V58" s="345">
        <v>279</v>
      </c>
      <c r="W58" s="345">
        <v>203</v>
      </c>
      <c r="X58" s="345">
        <v>63</v>
      </c>
      <c r="Y58" s="345">
        <v>0</v>
      </c>
      <c r="Z58" s="345">
        <v>1</v>
      </c>
      <c r="AA58" s="345">
        <v>1</v>
      </c>
      <c r="AB58" s="345">
        <v>6</v>
      </c>
      <c r="AC58" s="345">
        <v>8</v>
      </c>
      <c r="AD58" s="349">
        <v>1554</v>
      </c>
      <c r="AE58" s="349">
        <v>7</v>
      </c>
      <c r="AF58" s="349">
        <v>49</v>
      </c>
      <c r="AG58" s="349">
        <v>56</v>
      </c>
    </row>
    <row r="59" spans="1:33" x14ac:dyDescent="0.2">
      <c r="A59" s="344" t="s">
        <v>174</v>
      </c>
      <c r="B59" s="350" t="s">
        <v>175</v>
      </c>
      <c r="C59" s="346">
        <v>1996</v>
      </c>
      <c r="D59" s="346">
        <v>0</v>
      </c>
      <c r="E59" s="346">
        <v>170</v>
      </c>
      <c r="F59" s="346">
        <v>380</v>
      </c>
      <c r="G59" s="346">
        <v>456</v>
      </c>
      <c r="H59" s="346">
        <v>3002</v>
      </c>
      <c r="I59" s="345">
        <v>2546</v>
      </c>
      <c r="J59" s="345">
        <v>10</v>
      </c>
      <c r="K59" s="347">
        <v>103.27</v>
      </c>
      <c r="L59" s="347">
        <v>101.32</v>
      </c>
      <c r="M59" s="347">
        <v>7.38</v>
      </c>
      <c r="N59" s="347">
        <v>109.34</v>
      </c>
      <c r="O59" s="348">
        <v>1388</v>
      </c>
      <c r="P59" s="345">
        <v>93.66</v>
      </c>
      <c r="Q59" s="345">
        <v>83.12</v>
      </c>
      <c r="R59" s="345">
        <v>48.82</v>
      </c>
      <c r="S59" s="345">
        <v>139.24</v>
      </c>
      <c r="T59" s="345">
        <v>544</v>
      </c>
      <c r="U59" s="345">
        <v>145.44</v>
      </c>
      <c r="V59" s="345">
        <v>321</v>
      </c>
      <c r="W59" s="345">
        <v>118.25</v>
      </c>
      <c r="X59" s="345">
        <v>6</v>
      </c>
      <c r="Y59" s="345">
        <v>0</v>
      </c>
      <c r="Z59" s="345">
        <v>2</v>
      </c>
      <c r="AA59" s="345">
        <v>10</v>
      </c>
      <c r="AB59" s="345">
        <v>43</v>
      </c>
      <c r="AC59" s="345">
        <v>4</v>
      </c>
      <c r="AD59" s="349">
        <v>1810</v>
      </c>
      <c r="AE59" s="349">
        <v>6</v>
      </c>
      <c r="AF59" s="349">
        <v>7</v>
      </c>
      <c r="AG59" s="349">
        <v>13</v>
      </c>
    </row>
    <row r="60" spans="1:33" x14ac:dyDescent="0.2">
      <c r="A60" s="344" t="s">
        <v>176</v>
      </c>
      <c r="B60" s="350" t="s">
        <v>177</v>
      </c>
      <c r="C60" s="346">
        <v>7052</v>
      </c>
      <c r="D60" s="346">
        <v>11</v>
      </c>
      <c r="E60" s="346">
        <v>294</v>
      </c>
      <c r="F60" s="346">
        <v>337</v>
      </c>
      <c r="G60" s="346">
        <v>208</v>
      </c>
      <c r="H60" s="346">
        <v>7902</v>
      </c>
      <c r="I60" s="345">
        <v>7694</v>
      </c>
      <c r="J60" s="345">
        <v>0</v>
      </c>
      <c r="K60" s="347">
        <v>80.989999999999995</v>
      </c>
      <c r="L60" s="347">
        <v>77.81</v>
      </c>
      <c r="M60" s="347">
        <v>3.48</v>
      </c>
      <c r="N60" s="347">
        <v>83.63</v>
      </c>
      <c r="O60" s="348">
        <v>5718</v>
      </c>
      <c r="P60" s="345">
        <v>93.24</v>
      </c>
      <c r="Q60" s="345">
        <v>77.66</v>
      </c>
      <c r="R60" s="345">
        <v>51.59</v>
      </c>
      <c r="S60" s="345">
        <v>142.38999999999999</v>
      </c>
      <c r="T60" s="345">
        <v>547</v>
      </c>
      <c r="U60" s="345">
        <v>89.21</v>
      </c>
      <c r="V60" s="345">
        <v>1325</v>
      </c>
      <c r="W60" s="345">
        <v>0</v>
      </c>
      <c r="X60" s="345">
        <v>0</v>
      </c>
      <c r="Y60" s="345">
        <v>0</v>
      </c>
      <c r="Z60" s="345">
        <v>30</v>
      </c>
      <c r="AA60" s="345">
        <v>24</v>
      </c>
      <c r="AB60" s="345">
        <v>0</v>
      </c>
      <c r="AC60" s="345">
        <v>0</v>
      </c>
      <c r="AD60" s="349">
        <v>7036</v>
      </c>
      <c r="AE60" s="349">
        <v>35</v>
      </c>
      <c r="AF60" s="349">
        <v>37</v>
      </c>
      <c r="AG60" s="349">
        <v>72</v>
      </c>
    </row>
    <row r="61" spans="1:33" x14ac:dyDescent="0.2">
      <c r="A61" s="344" t="s">
        <v>178</v>
      </c>
      <c r="B61" s="350" t="s">
        <v>179</v>
      </c>
      <c r="C61" s="346">
        <v>460</v>
      </c>
      <c r="D61" s="346">
        <v>0</v>
      </c>
      <c r="E61" s="346">
        <v>71</v>
      </c>
      <c r="F61" s="346">
        <v>73</v>
      </c>
      <c r="G61" s="346">
        <v>94</v>
      </c>
      <c r="H61" s="346">
        <v>698</v>
      </c>
      <c r="I61" s="345">
        <v>604</v>
      </c>
      <c r="J61" s="345">
        <v>4</v>
      </c>
      <c r="K61" s="347">
        <v>107.58</v>
      </c>
      <c r="L61" s="347">
        <v>106.09</v>
      </c>
      <c r="M61" s="347">
        <v>6.82</v>
      </c>
      <c r="N61" s="347">
        <v>111.56</v>
      </c>
      <c r="O61" s="348">
        <v>370</v>
      </c>
      <c r="P61" s="345">
        <v>91.85</v>
      </c>
      <c r="Q61" s="345">
        <v>88.12</v>
      </c>
      <c r="R61" s="345">
        <v>61.28</v>
      </c>
      <c r="S61" s="345">
        <v>147.66</v>
      </c>
      <c r="T61" s="345">
        <v>123</v>
      </c>
      <c r="U61" s="345">
        <v>147.04</v>
      </c>
      <c r="V61" s="345">
        <v>75</v>
      </c>
      <c r="W61" s="345">
        <v>0</v>
      </c>
      <c r="X61" s="345">
        <v>0</v>
      </c>
      <c r="Y61" s="345">
        <v>29</v>
      </c>
      <c r="Z61" s="345">
        <v>0</v>
      </c>
      <c r="AA61" s="345">
        <v>1</v>
      </c>
      <c r="AB61" s="345">
        <v>0</v>
      </c>
      <c r="AC61" s="345">
        <v>3</v>
      </c>
      <c r="AD61" s="349">
        <v>455</v>
      </c>
      <c r="AE61" s="349">
        <v>2</v>
      </c>
      <c r="AF61" s="349">
        <v>0</v>
      </c>
      <c r="AG61" s="349">
        <v>2</v>
      </c>
    </row>
    <row r="62" spans="1:33" x14ac:dyDescent="0.2">
      <c r="A62" s="344" t="s">
        <v>180</v>
      </c>
      <c r="B62" s="350" t="s">
        <v>181</v>
      </c>
      <c r="C62" s="346">
        <v>8815</v>
      </c>
      <c r="D62" s="346">
        <v>0</v>
      </c>
      <c r="E62" s="346">
        <v>310</v>
      </c>
      <c r="F62" s="346">
        <v>1639</v>
      </c>
      <c r="G62" s="346">
        <v>1683</v>
      </c>
      <c r="H62" s="346">
        <v>12447</v>
      </c>
      <c r="I62" s="345">
        <v>10764</v>
      </c>
      <c r="J62" s="345">
        <v>6</v>
      </c>
      <c r="K62" s="347">
        <v>102.37</v>
      </c>
      <c r="L62" s="347">
        <v>103.67</v>
      </c>
      <c r="M62" s="347">
        <v>5</v>
      </c>
      <c r="N62" s="347">
        <v>104</v>
      </c>
      <c r="O62" s="348">
        <v>7553</v>
      </c>
      <c r="P62" s="345">
        <v>90.42</v>
      </c>
      <c r="Q62" s="345">
        <v>87.72</v>
      </c>
      <c r="R62" s="345">
        <v>34.35</v>
      </c>
      <c r="S62" s="345">
        <v>107.79</v>
      </c>
      <c r="T62" s="345">
        <v>1857</v>
      </c>
      <c r="U62" s="345">
        <v>137.80000000000001</v>
      </c>
      <c r="V62" s="345">
        <v>1097</v>
      </c>
      <c r="W62" s="345">
        <v>122.28</v>
      </c>
      <c r="X62" s="345">
        <v>50</v>
      </c>
      <c r="Y62" s="345">
        <v>0</v>
      </c>
      <c r="Z62" s="345">
        <v>12</v>
      </c>
      <c r="AA62" s="345">
        <v>2</v>
      </c>
      <c r="AB62" s="345">
        <v>272</v>
      </c>
      <c r="AC62" s="345">
        <v>27</v>
      </c>
      <c r="AD62" s="349">
        <v>8724</v>
      </c>
      <c r="AE62" s="349">
        <v>26</v>
      </c>
      <c r="AF62" s="349">
        <v>30</v>
      </c>
      <c r="AG62" s="349">
        <v>56</v>
      </c>
    </row>
    <row r="63" spans="1:33" x14ac:dyDescent="0.2">
      <c r="A63" s="344" t="s">
        <v>182</v>
      </c>
      <c r="B63" s="350" t="s">
        <v>183</v>
      </c>
      <c r="C63" s="346">
        <v>2950</v>
      </c>
      <c r="D63" s="346">
        <v>0</v>
      </c>
      <c r="E63" s="346">
        <v>322</v>
      </c>
      <c r="F63" s="346">
        <v>264</v>
      </c>
      <c r="G63" s="346">
        <v>637</v>
      </c>
      <c r="H63" s="346">
        <v>4173</v>
      </c>
      <c r="I63" s="345">
        <v>3536</v>
      </c>
      <c r="J63" s="345">
        <v>2</v>
      </c>
      <c r="K63" s="347">
        <v>91.05</v>
      </c>
      <c r="L63" s="347">
        <v>89.34</v>
      </c>
      <c r="M63" s="347">
        <v>6.83</v>
      </c>
      <c r="N63" s="347">
        <v>96.22</v>
      </c>
      <c r="O63" s="348">
        <v>2224</v>
      </c>
      <c r="P63" s="345">
        <v>94.29</v>
      </c>
      <c r="Q63" s="345">
        <v>84.64</v>
      </c>
      <c r="R63" s="345">
        <v>62.38</v>
      </c>
      <c r="S63" s="345">
        <v>154.24</v>
      </c>
      <c r="T63" s="345">
        <v>512</v>
      </c>
      <c r="U63" s="345">
        <v>106.59</v>
      </c>
      <c r="V63" s="345">
        <v>644</v>
      </c>
      <c r="W63" s="345">
        <v>0</v>
      </c>
      <c r="X63" s="345">
        <v>0</v>
      </c>
      <c r="Y63" s="345">
        <v>0</v>
      </c>
      <c r="Z63" s="345">
        <v>3</v>
      </c>
      <c r="AA63" s="345">
        <v>3</v>
      </c>
      <c r="AB63" s="345">
        <v>61</v>
      </c>
      <c r="AC63" s="345">
        <v>20</v>
      </c>
      <c r="AD63" s="349">
        <v>2950</v>
      </c>
      <c r="AE63" s="349">
        <v>16</v>
      </c>
      <c r="AF63" s="349">
        <v>6</v>
      </c>
      <c r="AG63" s="349">
        <v>22</v>
      </c>
    </row>
    <row r="64" spans="1:33" x14ac:dyDescent="0.2">
      <c r="A64" s="344" t="s">
        <v>184</v>
      </c>
      <c r="B64" s="350" t="s">
        <v>185</v>
      </c>
      <c r="C64" s="346">
        <v>9556</v>
      </c>
      <c r="D64" s="346">
        <v>251</v>
      </c>
      <c r="E64" s="346">
        <v>352</v>
      </c>
      <c r="F64" s="346">
        <v>286</v>
      </c>
      <c r="G64" s="346">
        <v>621</v>
      </c>
      <c r="H64" s="346">
        <v>11066</v>
      </c>
      <c r="I64" s="345">
        <v>10445</v>
      </c>
      <c r="J64" s="345">
        <v>8</v>
      </c>
      <c r="K64" s="347">
        <v>100.83</v>
      </c>
      <c r="L64" s="347">
        <v>100.55</v>
      </c>
      <c r="M64" s="347">
        <v>10.41</v>
      </c>
      <c r="N64" s="347">
        <v>105.83</v>
      </c>
      <c r="O64" s="348">
        <v>8637</v>
      </c>
      <c r="P64" s="345">
        <v>97.43</v>
      </c>
      <c r="Q64" s="345">
        <v>94.81</v>
      </c>
      <c r="R64" s="345">
        <v>75.36</v>
      </c>
      <c r="S64" s="345">
        <v>166.98</v>
      </c>
      <c r="T64" s="345">
        <v>518</v>
      </c>
      <c r="U64" s="345">
        <v>137.54</v>
      </c>
      <c r="V64" s="345">
        <v>730</v>
      </c>
      <c r="W64" s="345">
        <v>0</v>
      </c>
      <c r="X64" s="345">
        <v>0</v>
      </c>
      <c r="Y64" s="345">
        <v>8</v>
      </c>
      <c r="Z64" s="345">
        <v>7</v>
      </c>
      <c r="AA64" s="345">
        <v>2</v>
      </c>
      <c r="AB64" s="345">
        <v>127</v>
      </c>
      <c r="AC64" s="345">
        <v>13</v>
      </c>
      <c r="AD64" s="349">
        <v>9548</v>
      </c>
      <c r="AE64" s="349">
        <v>56</v>
      </c>
      <c r="AF64" s="349">
        <v>69</v>
      </c>
      <c r="AG64" s="349">
        <v>125</v>
      </c>
    </row>
    <row r="65" spans="1:33" x14ac:dyDescent="0.2">
      <c r="A65" s="344" t="s">
        <v>186</v>
      </c>
      <c r="B65" s="350" t="s">
        <v>187</v>
      </c>
      <c r="C65" s="346">
        <v>1852</v>
      </c>
      <c r="D65" s="346">
        <v>3</v>
      </c>
      <c r="E65" s="346">
        <v>396</v>
      </c>
      <c r="F65" s="346">
        <v>222</v>
      </c>
      <c r="G65" s="346">
        <v>344</v>
      </c>
      <c r="H65" s="346">
        <v>2817</v>
      </c>
      <c r="I65" s="345">
        <v>2473</v>
      </c>
      <c r="J65" s="345">
        <v>0</v>
      </c>
      <c r="K65" s="347">
        <v>95.93</v>
      </c>
      <c r="L65" s="347">
        <v>91.13</v>
      </c>
      <c r="M65" s="347">
        <v>5.15</v>
      </c>
      <c r="N65" s="347">
        <v>99.75</v>
      </c>
      <c r="O65" s="348">
        <v>1485</v>
      </c>
      <c r="P65" s="345">
        <v>89.69</v>
      </c>
      <c r="Q65" s="345">
        <v>81.8</v>
      </c>
      <c r="R65" s="345">
        <v>52.81</v>
      </c>
      <c r="S65" s="345">
        <v>136.82</v>
      </c>
      <c r="T65" s="345">
        <v>474</v>
      </c>
      <c r="U65" s="345">
        <v>130.63</v>
      </c>
      <c r="V65" s="345">
        <v>283</v>
      </c>
      <c r="W65" s="345">
        <v>234.74</v>
      </c>
      <c r="X65" s="345">
        <v>110</v>
      </c>
      <c r="Y65" s="345">
        <v>0</v>
      </c>
      <c r="Z65" s="345">
        <v>0</v>
      </c>
      <c r="AA65" s="345">
        <v>3</v>
      </c>
      <c r="AB65" s="345">
        <v>16</v>
      </c>
      <c r="AC65" s="345">
        <v>6</v>
      </c>
      <c r="AD65" s="349">
        <v>1695</v>
      </c>
      <c r="AE65" s="349">
        <v>8</v>
      </c>
      <c r="AF65" s="349">
        <v>38</v>
      </c>
      <c r="AG65" s="349">
        <v>46</v>
      </c>
    </row>
    <row r="66" spans="1:33" x14ac:dyDescent="0.2">
      <c r="A66" s="344" t="s">
        <v>188</v>
      </c>
      <c r="B66" s="350" t="s">
        <v>189</v>
      </c>
      <c r="C66" s="346">
        <v>6596</v>
      </c>
      <c r="D66" s="346">
        <v>7</v>
      </c>
      <c r="E66" s="346">
        <v>195</v>
      </c>
      <c r="F66" s="346">
        <v>1500</v>
      </c>
      <c r="G66" s="346">
        <v>724</v>
      </c>
      <c r="H66" s="346">
        <v>9022</v>
      </c>
      <c r="I66" s="345">
        <v>8298</v>
      </c>
      <c r="J66" s="345">
        <v>4</v>
      </c>
      <c r="K66" s="347">
        <v>104.44</v>
      </c>
      <c r="L66" s="347">
        <v>104.07</v>
      </c>
      <c r="M66" s="347">
        <v>6.15</v>
      </c>
      <c r="N66" s="347">
        <v>106.42</v>
      </c>
      <c r="O66" s="348">
        <v>5094</v>
      </c>
      <c r="P66" s="345">
        <v>94.65</v>
      </c>
      <c r="Q66" s="345">
        <v>96.18</v>
      </c>
      <c r="R66" s="345">
        <v>22.55</v>
      </c>
      <c r="S66" s="345">
        <v>116.37</v>
      </c>
      <c r="T66" s="345">
        <v>1526</v>
      </c>
      <c r="U66" s="345">
        <v>155.49</v>
      </c>
      <c r="V66" s="345">
        <v>1433</v>
      </c>
      <c r="W66" s="345">
        <v>186.38</v>
      </c>
      <c r="X66" s="345">
        <v>140</v>
      </c>
      <c r="Y66" s="345">
        <v>0</v>
      </c>
      <c r="Z66" s="345">
        <v>10</v>
      </c>
      <c r="AA66" s="345">
        <v>2</v>
      </c>
      <c r="AB66" s="345">
        <v>106</v>
      </c>
      <c r="AC66" s="345">
        <v>10</v>
      </c>
      <c r="AD66" s="349">
        <v>6501</v>
      </c>
      <c r="AE66" s="349">
        <v>33</v>
      </c>
      <c r="AF66" s="349">
        <v>56</v>
      </c>
      <c r="AG66" s="349">
        <v>89</v>
      </c>
    </row>
    <row r="67" spans="1:33" x14ac:dyDescent="0.2">
      <c r="A67" s="344" t="s">
        <v>190</v>
      </c>
      <c r="B67" s="350" t="s">
        <v>191</v>
      </c>
      <c r="C67" s="346">
        <v>16984</v>
      </c>
      <c r="D67" s="346">
        <v>23</v>
      </c>
      <c r="E67" s="346">
        <v>880</v>
      </c>
      <c r="F67" s="346">
        <v>2985</v>
      </c>
      <c r="G67" s="346">
        <v>1101</v>
      </c>
      <c r="H67" s="346">
        <v>21973</v>
      </c>
      <c r="I67" s="345">
        <v>20872</v>
      </c>
      <c r="J67" s="345">
        <v>366</v>
      </c>
      <c r="K67" s="347">
        <v>88.79</v>
      </c>
      <c r="L67" s="347">
        <v>87.8</v>
      </c>
      <c r="M67" s="347">
        <v>6.25</v>
      </c>
      <c r="N67" s="347">
        <v>91.36</v>
      </c>
      <c r="O67" s="348">
        <v>13283</v>
      </c>
      <c r="P67" s="345">
        <v>87.96</v>
      </c>
      <c r="Q67" s="345">
        <v>80.45</v>
      </c>
      <c r="R67" s="345">
        <v>28.73</v>
      </c>
      <c r="S67" s="345">
        <v>110.4</v>
      </c>
      <c r="T67" s="345">
        <v>3465</v>
      </c>
      <c r="U67" s="345">
        <v>109.35</v>
      </c>
      <c r="V67" s="345">
        <v>3622</v>
      </c>
      <c r="W67" s="345">
        <v>104.17</v>
      </c>
      <c r="X67" s="345">
        <v>160</v>
      </c>
      <c r="Y67" s="345">
        <v>0</v>
      </c>
      <c r="Z67" s="345">
        <v>61</v>
      </c>
      <c r="AA67" s="345">
        <v>8</v>
      </c>
      <c r="AB67" s="345">
        <v>183</v>
      </c>
      <c r="AC67" s="345">
        <v>23</v>
      </c>
      <c r="AD67" s="349">
        <v>16942</v>
      </c>
      <c r="AE67" s="349">
        <v>112</v>
      </c>
      <c r="AF67" s="349">
        <v>118</v>
      </c>
      <c r="AG67" s="349">
        <v>230</v>
      </c>
    </row>
    <row r="68" spans="1:33" x14ac:dyDescent="0.2">
      <c r="A68" s="344" t="s">
        <v>192</v>
      </c>
      <c r="B68" s="350" t="s">
        <v>193</v>
      </c>
      <c r="C68" s="346">
        <v>14274</v>
      </c>
      <c r="D68" s="346">
        <v>11</v>
      </c>
      <c r="E68" s="346">
        <v>767</v>
      </c>
      <c r="F68" s="346">
        <v>3344</v>
      </c>
      <c r="G68" s="346">
        <v>1612</v>
      </c>
      <c r="H68" s="346">
        <v>20008</v>
      </c>
      <c r="I68" s="345">
        <v>18396</v>
      </c>
      <c r="J68" s="345">
        <v>7</v>
      </c>
      <c r="K68" s="347">
        <v>91.96</v>
      </c>
      <c r="L68" s="347">
        <v>93.34</v>
      </c>
      <c r="M68" s="347">
        <v>4.3899999999999997</v>
      </c>
      <c r="N68" s="347">
        <v>93.49</v>
      </c>
      <c r="O68" s="348">
        <v>11877</v>
      </c>
      <c r="P68" s="345">
        <v>89.22</v>
      </c>
      <c r="Q68" s="345">
        <v>86.94</v>
      </c>
      <c r="R68" s="345">
        <v>29.79</v>
      </c>
      <c r="S68" s="345">
        <v>110.49</v>
      </c>
      <c r="T68" s="345">
        <v>3313</v>
      </c>
      <c r="U68" s="345">
        <v>111.72</v>
      </c>
      <c r="V68" s="345">
        <v>2112</v>
      </c>
      <c r="W68" s="345">
        <v>155.35</v>
      </c>
      <c r="X68" s="345">
        <v>453</v>
      </c>
      <c r="Y68" s="345">
        <v>0</v>
      </c>
      <c r="Z68" s="345">
        <v>57</v>
      </c>
      <c r="AA68" s="345">
        <v>1</v>
      </c>
      <c r="AB68" s="345">
        <v>140</v>
      </c>
      <c r="AC68" s="345">
        <v>29</v>
      </c>
      <c r="AD68" s="349">
        <v>14120</v>
      </c>
      <c r="AE68" s="349">
        <v>86</v>
      </c>
      <c r="AF68" s="349">
        <v>64</v>
      </c>
      <c r="AG68" s="349">
        <v>150</v>
      </c>
    </row>
    <row r="69" spans="1:33" x14ac:dyDescent="0.2">
      <c r="A69" s="344" t="s">
        <v>194</v>
      </c>
      <c r="B69" s="350" t="s">
        <v>195</v>
      </c>
      <c r="C69" s="346">
        <v>827</v>
      </c>
      <c r="D69" s="346">
        <v>0</v>
      </c>
      <c r="E69" s="346">
        <v>152</v>
      </c>
      <c r="F69" s="346">
        <v>496</v>
      </c>
      <c r="G69" s="346">
        <v>98</v>
      </c>
      <c r="H69" s="346">
        <v>1573</v>
      </c>
      <c r="I69" s="345">
        <v>1475</v>
      </c>
      <c r="J69" s="345">
        <v>0</v>
      </c>
      <c r="K69" s="347">
        <v>86.78</v>
      </c>
      <c r="L69" s="347">
        <v>84.96</v>
      </c>
      <c r="M69" s="347">
        <v>6.31</v>
      </c>
      <c r="N69" s="347">
        <v>89.38</v>
      </c>
      <c r="O69" s="348">
        <v>651</v>
      </c>
      <c r="P69" s="345">
        <v>89.13</v>
      </c>
      <c r="Q69" s="345">
        <v>83.65</v>
      </c>
      <c r="R69" s="345">
        <v>26</v>
      </c>
      <c r="S69" s="345">
        <v>114.08</v>
      </c>
      <c r="T69" s="345">
        <v>591</v>
      </c>
      <c r="U69" s="345">
        <v>96.27</v>
      </c>
      <c r="V69" s="345">
        <v>70</v>
      </c>
      <c r="W69" s="345">
        <v>0</v>
      </c>
      <c r="X69" s="345">
        <v>0</v>
      </c>
      <c r="Y69" s="345">
        <v>0</v>
      </c>
      <c r="Z69" s="345">
        <v>0</v>
      </c>
      <c r="AA69" s="345">
        <v>3</v>
      </c>
      <c r="AB69" s="345">
        <v>4</v>
      </c>
      <c r="AC69" s="345">
        <v>2</v>
      </c>
      <c r="AD69" s="349">
        <v>722</v>
      </c>
      <c r="AE69" s="349">
        <v>17</v>
      </c>
      <c r="AF69" s="349">
        <v>1</v>
      </c>
      <c r="AG69" s="349">
        <v>18</v>
      </c>
    </row>
    <row r="70" spans="1:33" x14ac:dyDescent="0.2">
      <c r="A70" s="344" t="s">
        <v>196</v>
      </c>
      <c r="B70" s="350" t="s">
        <v>197</v>
      </c>
      <c r="C70" s="346">
        <v>7275</v>
      </c>
      <c r="D70" s="346">
        <v>0</v>
      </c>
      <c r="E70" s="346">
        <v>156</v>
      </c>
      <c r="F70" s="346">
        <v>736</v>
      </c>
      <c r="G70" s="346">
        <v>646</v>
      </c>
      <c r="H70" s="346">
        <v>8813</v>
      </c>
      <c r="I70" s="345">
        <v>8167</v>
      </c>
      <c r="J70" s="345">
        <v>227</v>
      </c>
      <c r="K70" s="347">
        <v>104.87</v>
      </c>
      <c r="L70" s="347">
        <v>105.6</v>
      </c>
      <c r="M70" s="347">
        <v>7.47</v>
      </c>
      <c r="N70" s="347">
        <v>108.44</v>
      </c>
      <c r="O70" s="348">
        <v>6294</v>
      </c>
      <c r="P70" s="345">
        <v>95.25</v>
      </c>
      <c r="Q70" s="345">
        <v>94.94</v>
      </c>
      <c r="R70" s="345">
        <v>29.85</v>
      </c>
      <c r="S70" s="345">
        <v>123.46</v>
      </c>
      <c r="T70" s="345">
        <v>675</v>
      </c>
      <c r="U70" s="345">
        <v>155.66</v>
      </c>
      <c r="V70" s="345">
        <v>931</v>
      </c>
      <c r="W70" s="345">
        <v>141.1</v>
      </c>
      <c r="X70" s="345">
        <v>4</v>
      </c>
      <c r="Y70" s="345">
        <v>7</v>
      </c>
      <c r="Z70" s="345">
        <v>6</v>
      </c>
      <c r="AA70" s="345">
        <v>3</v>
      </c>
      <c r="AB70" s="345">
        <v>53</v>
      </c>
      <c r="AC70" s="345">
        <v>16</v>
      </c>
      <c r="AD70" s="349">
        <v>7261</v>
      </c>
      <c r="AE70" s="349">
        <v>88</v>
      </c>
      <c r="AF70" s="349">
        <v>14</v>
      </c>
      <c r="AG70" s="349">
        <v>102</v>
      </c>
    </row>
    <row r="71" spans="1:33" x14ac:dyDescent="0.2">
      <c r="A71" s="344" t="s">
        <v>198</v>
      </c>
      <c r="B71" s="350" t="s">
        <v>199</v>
      </c>
      <c r="C71" s="346">
        <v>6054</v>
      </c>
      <c r="D71" s="346">
        <v>1</v>
      </c>
      <c r="E71" s="346">
        <v>379</v>
      </c>
      <c r="F71" s="346">
        <v>525</v>
      </c>
      <c r="G71" s="346">
        <v>209</v>
      </c>
      <c r="H71" s="346">
        <v>7168</v>
      </c>
      <c r="I71" s="345">
        <v>6959</v>
      </c>
      <c r="J71" s="345">
        <v>10</v>
      </c>
      <c r="K71" s="347">
        <v>80.180000000000007</v>
      </c>
      <c r="L71" s="347">
        <v>77.37</v>
      </c>
      <c r="M71" s="347">
        <v>6.06</v>
      </c>
      <c r="N71" s="347">
        <v>84.56</v>
      </c>
      <c r="O71" s="348">
        <v>5255</v>
      </c>
      <c r="P71" s="345">
        <v>89.14</v>
      </c>
      <c r="Q71" s="345">
        <v>69.900000000000006</v>
      </c>
      <c r="R71" s="345">
        <v>28.8</v>
      </c>
      <c r="S71" s="345">
        <v>116.8</v>
      </c>
      <c r="T71" s="345">
        <v>784</v>
      </c>
      <c r="U71" s="345">
        <v>100.87</v>
      </c>
      <c r="V71" s="345">
        <v>746</v>
      </c>
      <c r="W71" s="345">
        <v>0</v>
      </c>
      <c r="X71" s="345">
        <v>0</v>
      </c>
      <c r="Y71" s="345">
        <v>5</v>
      </c>
      <c r="Z71" s="345">
        <v>19</v>
      </c>
      <c r="AA71" s="345">
        <v>8</v>
      </c>
      <c r="AB71" s="345">
        <v>4</v>
      </c>
      <c r="AC71" s="345">
        <v>5</v>
      </c>
      <c r="AD71" s="349">
        <v>6022</v>
      </c>
      <c r="AE71" s="349">
        <v>48</v>
      </c>
      <c r="AF71" s="349">
        <v>9</v>
      </c>
      <c r="AG71" s="349">
        <v>57</v>
      </c>
    </row>
    <row r="72" spans="1:33" x14ac:dyDescent="0.2">
      <c r="A72" s="344" t="s">
        <v>200</v>
      </c>
      <c r="B72" s="350" t="s">
        <v>201</v>
      </c>
      <c r="C72" s="346">
        <v>194</v>
      </c>
      <c r="D72" s="346">
        <v>0</v>
      </c>
      <c r="E72" s="346">
        <v>17</v>
      </c>
      <c r="F72" s="346">
        <v>19</v>
      </c>
      <c r="G72" s="346">
        <v>0</v>
      </c>
      <c r="H72" s="346">
        <v>230</v>
      </c>
      <c r="I72" s="345">
        <v>230</v>
      </c>
      <c r="J72" s="345">
        <v>0</v>
      </c>
      <c r="K72" s="347">
        <v>126.59</v>
      </c>
      <c r="L72" s="347">
        <v>128.87</v>
      </c>
      <c r="M72" s="347">
        <v>15.74</v>
      </c>
      <c r="N72" s="347">
        <v>142.22999999999999</v>
      </c>
      <c r="O72" s="348">
        <v>160</v>
      </c>
      <c r="P72" s="345">
        <v>114.68</v>
      </c>
      <c r="Q72" s="345">
        <v>111.67</v>
      </c>
      <c r="R72" s="345">
        <v>109.21</v>
      </c>
      <c r="S72" s="345">
        <v>223.89</v>
      </c>
      <c r="T72" s="345">
        <v>36</v>
      </c>
      <c r="U72" s="345">
        <v>210.07</v>
      </c>
      <c r="V72" s="345">
        <v>34</v>
      </c>
      <c r="W72" s="345">
        <v>0</v>
      </c>
      <c r="X72" s="345">
        <v>0</v>
      </c>
      <c r="Y72" s="345">
        <v>0</v>
      </c>
      <c r="Z72" s="345">
        <v>0</v>
      </c>
      <c r="AA72" s="345">
        <v>0</v>
      </c>
      <c r="AB72" s="345">
        <v>0</v>
      </c>
      <c r="AC72" s="345">
        <v>0</v>
      </c>
      <c r="AD72" s="349">
        <v>194</v>
      </c>
      <c r="AE72" s="349">
        <v>1</v>
      </c>
      <c r="AF72" s="349">
        <v>0</v>
      </c>
      <c r="AG72" s="349">
        <v>1</v>
      </c>
    </row>
    <row r="73" spans="1:33" x14ac:dyDescent="0.2">
      <c r="A73" s="344" t="s">
        <v>202</v>
      </c>
      <c r="B73" s="350" t="s">
        <v>203</v>
      </c>
      <c r="C73" s="346">
        <v>4066</v>
      </c>
      <c r="D73" s="346">
        <v>173</v>
      </c>
      <c r="E73" s="346">
        <v>668</v>
      </c>
      <c r="F73" s="346">
        <v>348</v>
      </c>
      <c r="G73" s="346">
        <v>311</v>
      </c>
      <c r="H73" s="346">
        <v>5566</v>
      </c>
      <c r="I73" s="345">
        <v>5255</v>
      </c>
      <c r="J73" s="345">
        <v>43</v>
      </c>
      <c r="K73" s="347">
        <v>102.31</v>
      </c>
      <c r="L73" s="347">
        <v>102.02</v>
      </c>
      <c r="M73" s="347">
        <v>6.12</v>
      </c>
      <c r="N73" s="347">
        <v>107.35</v>
      </c>
      <c r="O73" s="348">
        <v>2792</v>
      </c>
      <c r="P73" s="345">
        <v>99.52</v>
      </c>
      <c r="Q73" s="345">
        <v>82.91</v>
      </c>
      <c r="R73" s="345">
        <v>56.14</v>
      </c>
      <c r="S73" s="345">
        <v>148.80000000000001</v>
      </c>
      <c r="T73" s="345">
        <v>655</v>
      </c>
      <c r="U73" s="345">
        <v>130.72</v>
      </c>
      <c r="V73" s="345">
        <v>988</v>
      </c>
      <c r="W73" s="345">
        <v>117.2</v>
      </c>
      <c r="X73" s="345">
        <v>34</v>
      </c>
      <c r="Y73" s="345">
        <v>43</v>
      </c>
      <c r="Z73" s="345">
        <v>1</v>
      </c>
      <c r="AA73" s="345">
        <v>10</v>
      </c>
      <c r="AB73" s="345">
        <v>30</v>
      </c>
      <c r="AC73" s="345">
        <v>4</v>
      </c>
      <c r="AD73" s="349">
        <v>3991</v>
      </c>
      <c r="AE73" s="349">
        <v>58</v>
      </c>
      <c r="AF73" s="349">
        <v>44</v>
      </c>
      <c r="AG73" s="349">
        <v>102</v>
      </c>
    </row>
    <row r="74" spans="1:33" x14ac:dyDescent="0.2">
      <c r="A74" s="344" t="s">
        <v>204</v>
      </c>
      <c r="B74" s="350" t="s">
        <v>205</v>
      </c>
      <c r="C74" s="346">
        <v>5633</v>
      </c>
      <c r="D74" s="346">
        <v>26</v>
      </c>
      <c r="E74" s="346">
        <v>77</v>
      </c>
      <c r="F74" s="346">
        <v>308</v>
      </c>
      <c r="G74" s="346">
        <v>7</v>
      </c>
      <c r="H74" s="346">
        <v>6051</v>
      </c>
      <c r="I74" s="345">
        <v>6044</v>
      </c>
      <c r="J74" s="345">
        <v>2</v>
      </c>
      <c r="K74" s="347">
        <v>85.3</v>
      </c>
      <c r="L74" s="347">
        <v>82.13</v>
      </c>
      <c r="M74" s="347">
        <v>1.1599999999999999</v>
      </c>
      <c r="N74" s="347">
        <v>86.32</v>
      </c>
      <c r="O74" s="348">
        <v>5332</v>
      </c>
      <c r="P74" s="345">
        <v>79.3</v>
      </c>
      <c r="Q74" s="345">
        <v>74.86</v>
      </c>
      <c r="R74" s="345">
        <v>43.06</v>
      </c>
      <c r="S74" s="345">
        <v>121.3</v>
      </c>
      <c r="T74" s="345">
        <v>367</v>
      </c>
      <c r="U74" s="345">
        <v>93.59</v>
      </c>
      <c r="V74" s="345">
        <v>294</v>
      </c>
      <c r="W74" s="345">
        <v>0</v>
      </c>
      <c r="X74" s="345">
        <v>0</v>
      </c>
      <c r="Y74" s="345">
        <v>0</v>
      </c>
      <c r="Z74" s="345">
        <v>0</v>
      </c>
      <c r="AA74" s="345">
        <v>1</v>
      </c>
      <c r="AB74" s="345">
        <v>0</v>
      </c>
      <c r="AC74" s="345">
        <v>0</v>
      </c>
      <c r="AD74" s="349">
        <v>5600</v>
      </c>
      <c r="AE74" s="349">
        <v>70</v>
      </c>
      <c r="AF74" s="349">
        <v>153</v>
      </c>
      <c r="AG74" s="349">
        <v>223</v>
      </c>
    </row>
    <row r="75" spans="1:33" x14ac:dyDescent="0.2">
      <c r="A75" s="344" t="s">
        <v>206</v>
      </c>
      <c r="B75" s="350" t="s">
        <v>207</v>
      </c>
      <c r="C75" s="346">
        <v>18622</v>
      </c>
      <c r="D75" s="346">
        <v>0</v>
      </c>
      <c r="E75" s="346">
        <v>939</v>
      </c>
      <c r="F75" s="346">
        <v>2468</v>
      </c>
      <c r="G75" s="346">
        <v>2240</v>
      </c>
      <c r="H75" s="346">
        <v>24269</v>
      </c>
      <c r="I75" s="345">
        <v>22029</v>
      </c>
      <c r="J75" s="345">
        <v>10</v>
      </c>
      <c r="K75" s="347">
        <v>83.94</v>
      </c>
      <c r="L75" s="347">
        <v>78.66</v>
      </c>
      <c r="M75" s="347">
        <v>3.32</v>
      </c>
      <c r="N75" s="347">
        <v>86.68</v>
      </c>
      <c r="O75" s="348">
        <v>14250</v>
      </c>
      <c r="P75" s="345">
        <v>81.569999999999993</v>
      </c>
      <c r="Q75" s="345">
        <v>71.44</v>
      </c>
      <c r="R75" s="345">
        <v>39.18</v>
      </c>
      <c r="S75" s="345">
        <v>119.49</v>
      </c>
      <c r="T75" s="345">
        <v>3162</v>
      </c>
      <c r="U75" s="345">
        <v>117.34</v>
      </c>
      <c r="V75" s="345">
        <v>2979</v>
      </c>
      <c r="W75" s="345">
        <v>136.66999999999999</v>
      </c>
      <c r="X75" s="345">
        <v>59</v>
      </c>
      <c r="Y75" s="345">
        <v>1</v>
      </c>
      <c r="Z75" s="345">
        <v>20</v>
      </c>
      <c r="AA75" s="345">
        <v>80</v>
      </c>
      <c r="AB75" s="345">
        <v>209</v>
      </c>
      <c r="AC75" s="345">
        <v>34</v>
      </c>
      <c r="AD75" s="349">
        <v>18204</v>
      </c>
      <c r="AE75" s="349">
        <v>108</v>
      </c>
      <c r="AF75" s="349">
        <v>68</v>
      </c>
      <c r="AG75" s="349">
        <v>176</v>
      </c>
    </row>
    <row r="76" spans="1:33" x14ac:dyDescent="0.2">
      <c r="A76" s="344" t="s">
        <v>208</v>
      </c>
      <c r="B76" s="350" t="s">
        <v>209</v>
      </c>
      <c r="C76" s="346">
        <v>5531</v>
      </c>
      <c r="D76" s="346">
        <v>0</v>
      </c>
      <c r="E76" s="346">
        <v>58</v>
      </c>
      <c r="F76" s="346">
        <v>553</v>
      </c>
      <c r="G76" s="346">
        <v>725</v>
      </c>
      <c r="H76" s="346">
        <v>6867</v>
      </c>
      <c r="I76" s="345">
        <v>6142</v>
      </c>
      <c r="J76" s="345">
        <v>0</v>
      </c>
      <c r="K76" s="347">
        <v>103.16</v>
      </c>
      <c r="L76" s="347">
        <v>98.68</v>
      </c>
      <c r="M76" s="347">
        <v>4.0199999999999996</v>
      </c>
      <c r="N76" s="347">
        <v>104.71</v>
      </c>
      <c r="O76" s="348">
        <v>4439</v>
      </c>
      <c r="P76" s="345">
        <v>95.34</v>
      </c>
      <c r="Q76" s="345">
        <v>87.01</v>
      </c>
      <c r="R76" s="345">
        <v>22.99</v>
      </c>
      <c r="S76" s="345">
        <v>117.21</v>
      </c>
      <c r="T76" s="345">
        <v>552</v>
      </c>
      <c r="U76" s="345">
        <v>135.09</v>
      </c>
      <c r="V76" s="345">
        <v>854</v>
      </c>
      <c r="W76" s="345">
        <v>172.5</v>
      </c>
      <c r="X76" s="345">
        <v>52</v>
      </c>
      <c r="Y76" s="345">
        <v>0</v>
      </c>
      <c r="Z76" s="345">
        <v>6</v>
      </c>
      <c r="AA76" s="345">
        <v>3</v>
      </c>
      <c r="AB76" s="345">
        <v>84</v>
      </c>
      <c r="AC76" s="345">
        <v>13</v>
      </c>
      <c r="AD76" s="349">
        <v>5286</v>
      </c>
      <c r="AE76" s="349">
        <v>35</v>
      </c>
      <c r="AF76" s="349">
        <v>107</v>
      </c>
      <c r="AG76" s="349">
        <v>142</v>
      </c>
    </row>
    <row r="77" spans="1:33" x14ac:dyDescent="0.2">
      <c r="A77" s="344" t="s">
        <v>210</v>
      </c>
      <c r="B77" s="350" t="s">
        <v>211</v>
      </c>
      <c r="C77" s="346">
        <v>45436</v>
      </c>
      <c r="D77" s="346">
        <v>82</v>
      </c>
      <c r="E77" s="346">
        <v>1066</v>
      </c>
      <c r="F77" s="346">
        <v>1438</v>
      </c>
      <c r="G77" s="346">
        <v>279</v>
      </c>
      <c r="H77" s="346">
        <v>48301</v>
      </c>
      <c r="I77" s="345">
        <v>48022</v>
      </c>
      <c r="J77" s="345">
        <v>11</v>
      </c>
      <c r="K77" s="347">
        <v>72.12</v>
      </c>
      <c r="L77" s="347">
        <v>72.31</v>
      </c>
      <c r="M77" s="347">
        <v>6.78</v>
      </c>
      <c r="N77" s="347">
        <v>73.11</v>
      </c>
      <c r="O77" s="348">
        <v>41194</v>
      </c>
      <c r="P77" s="345">
        <v>100.31</v>
      </c>
      <c r="Q77" s="345">
        <v>78.19</v>
      </c>
      <c r="R77" s="345">
        <v>53.79</v>
      </c>
      <c r="S77" s="345">
        <v>151.69</v>
      </c>
      <c r="T77" s="345">
        <v>1964</v>
      </c>
      <c r="U77" s="345">
        <v>90.12</v>
      </c>
      <c r="V77" s="345">
        <v>3511</v>
      </c>
      <c r="W77" s="345">
        <v>150.5</v>
      </c>
      <c r="X77" s="345">
        <v>155</v>
      </c>
      <c r="Y77" s="345">
        <v>0</v>
      </c>
      <c r="Z77" s="345">
        <v>225</v>
      </c>
      <c r="AA77" s="345">
        <v>42</v>
      </c>
      <c r="AB77" s="345">
        <v>31</v>
      </c>
      <c r="AC77" s="345">
        <v>11</v>
      </c>
      <c r="AD77" s="349">
        <v>44499</v>
      </c>
      <c r="AE77" s="349">
        <v>527</v>
      </c>
      <c r="AF77" s="349">
        <v>311</v>
      </c>
      <c r="AG77" s="349">
        <v>838</v>
      </c>
    </row>
    <row r="78" spans="1:33" x14ac:dyDescent="0.2">
      <c r="A78" s="344" t="s">
        <v>212</v>
      </c>
      <c r="B78" s="350" t="s">
        <v>213</v>
      </c>
      <c r="C78" s="346">
        <v>22402</v>
      </c>
      <c r="D78" s="346">
        <v>4</v>
      </c>
      <c r="E78" s="346">
        <v>689</v>
      </c>
      <c r="F78" s="346">
        <v>1765</v>
      </c>
      <c r="G78" s="346">
        <v>652</v>
      </c>
      <c r="H78" s="346">
        <v>25512</v>
      </c>
      <c r="I78" s="345">
        <v>24860</v>
      </c>
      <c r="J78" s="345">
        <v>3</v>
      </c>
      <c r="K78" s="347">
        <v>84.26</v>
      </c>
      <c r="L78" s="347">
        <v>84.56</v>
      </c>
      <c r="M78" s="347">
        <v>5.66</v>
      </c>
      <c r="N78" s="347">
        <v>89.52</v>
      </c>
      <c r="O78" s="348">
        <v>19986</v>
      </c>
      <c r="P78" s="345">
        <v>90.83</v>
      </c>
      <c r="Q78" s="345">
        <v>86.47</v>
      </c>
      <c r="R78" s="345">
        <v>49.94</v>
      </c>
      <c r="S78" s="345">
        <v>139.66999999999999</v>
      </c>
      <c r="T78" s="345">
        <v>2189</v>
      </c>
      <c r="U78" s="345">
        <v>109.07</v>
      </c>
      <c r="V78" s="345">
        <v>2068</v>
      </c>
      <c r="W78" s="345">
        <v>0</v>
      </c>
      <c r="X78" s="345">
        <v>0</v>
      </c>
      <c r="Y78" s="345">
        <v>309</v>
      </c>
      <c r="Z78" s="345">
        <v>75</v>
      </c>
      <c r="AA78" s="345">
        <v>19</v>
      </c>
      <c r="AB78" s="345">
        <v>59</v>
      </c>
      <c r="AC78" s="345">
        <v>22</v>
      </c>
      <c r="AD78" s="349">
        <v>22277</v>
      </c>
      <c r="AE78" s="349">
        <v>137</v>
      </c>
      <c r="AF78" s="349">
        <v>146</v>
      </c>
      <c r="AG78" s="349">
        <v>283</v>
      </c>
    </row>
    <row r="79" spans="1:33" x14ac:dyDescent="0.2">
      <c r="A79" s="344" t="s">
        <v>214</v>
      </c>
      <c r="B79" s="350" t="s">
        <v>215</v>
      </c>
      <c r="C79" s="346">
        <v>2228</v>
      </c>
      <c r="D79" s="346">
        <v>17</v>
      </c>
      <c r="E79" s="346">
        <v>30</v>
      </c>
      <c r="F79" s="346">
        <v>169</v>
      </c>
      <c r="G79" s="346">
        <v>63</v>
      </c>
      <c r="H79" s="346">
        <v>2507</v>
      </c>
      <c r="I79" s="345">
        <v>2444</v>
      </c>
      <c r="J79" s="345">
        <v>7</v>
      </c>
      <c r="K79" s="347">
        <v>84.81</v>
      </c>
      <c r="L79" s="347">
        <v>81.290000000000006</v>
      </c>
      <c r="M79" s="347">
        <v>6.59</v>
      </c>
      <c r="N79" s="347">
        <v>88.53</v>
      </c>
      <c r="O79" s="348">
        <v>1596</v>
      </c>
      <c r="P79" s="345">
        <v>78.47</v>
      </c>
      <c r="Q79" s="345">
        <v>71.75</v>
      </c>
      <c r="R79" s="345">
        <v>28.37</v>
      </c>
      <c r="S79" s="345">
        <v>105.51</v>
      </c>
      <c r="T79" s="345">
        <v>149</v>
      </c>
      <c r="U79" s="345">
        <v>94.46</v>
      </c>
      <c r="V79" s="345">
        <v>597</v>
      </c>
      <c r="W79" s="345">
        <v>155.69999999999999</v>
      </c>
      <c r="X79" s="345">
        <v>34</v>
      </c>
      <c r="Y79" s="345">
        <v>34</v>
      </c>
      <c r="Z79" s="345">
        <v>6</v>
      </c>
      <c r="AA79" s="345">
        <v>8</v>
      </c>
      <c r="AB79" s="345">
        <v>19</v>
      </c>
      <c r="AC79" s="345">
        <v>2</v>
      </c>
      <c r="AD79" s="349">
        <v>2212</v>
      </c>
      <c r="AE79" s="349">
        <v>6</v>
      </c>
      <c r="AF79" s="349">
        <v>5</v>
      </c>
      <c r="AG79" s="349">
        <v>11</v>
      </c>
    </row>
    <row r="80" spans="1:33" x14ac:dyDescent="0.2">
      <c r="A80" s="344" t="s">
        <v>216</v>
      </c>
      <c r="B80" s="350" t="s">
        <v>217</v>
      </c>
      <c r="C80" s="346">
        <v>2061</v>
      </c>
      <c r="D80" s="346">
        <v>0</v>
      </c>
      <c r="E80" s="346">
        <v>174</v>
      </c>
      <c r="F80" s="346">
        <v>285</v>
      </c>
      <c r="G80" s="346">
        <v>400</v>
      </c>
      <c r="H80" s="346">
        <v>2920</v>
      </c>
      <c r="I80" s="345">
        <v>2520</v>
      </c>
      <c r="J80" s="345">
        <v>1</v>
      </c>
      <c r="K80" s="347">
        <v>110.98</v>
      </c>
      <c r="L80" s="347">
        <v>103.99</v>
      </c>
      <c r="M80" s="347">
        <v>8.93</v>
      </c>
      <c r="N80" s="347">
        <v>118.94</v>
      </c>
      <c r="O80" s="348">
        <v>1678</v>
      </c>
      <c r="P80" s="345">
        <v>100.53</v>
      </c>
      <c r="Q80" s="345">
        <v>99.77</v>
      </c>
      <c r="R80" s="345">
        <v>36.6</v>
      </c>
      <c r="S80" s="345">
        <v>130.54</v>
      </c>
      <c r="T80" s="345">
        <v>200</v>
      </c>
      <c r="U80" s="345">
        <v>155.54</v>
      </c>
      <c r="V80" s="345">
        <v>404</v>
      </c>
      <c r="W80" s="345">
        <v>254.56</v>
      </c>
      <c r="X80" s="345">
        <v>103</v>
      </c>
      <c r="Y80" s="345">
        <v>0</v>
      </c>
      <c r="Z80" s="345">
        <v>7</v>
      </c>
      <c r="AA80" s="345">
        <v>2</v>
      </c>
      <c r="AB80" s="345">
        <v>25</v>
      </c>
      <c r="AC80" s="345">
        <v>7</v>
      </c>
      <c r="AD80" s="349">
        <v>2032</v>
      </c>
      <c r="AE80" s="349">
        <v>21</v>
      </c>
      <c r="AF80" s="349">
        <v>7</v>
      </c>
      <c r="AG80" s="349">
        <v>28</v>
      </c>
    </row>
    <row r="81" spans="1:33" x14ac:dyDescent="0.2">
      <c r="A81" s="344" t="s">
        <v>218</v>
      </c>
      <c r="B81" s="350" t="s">
        <v>219</v>
      </c>
      <c r="C81" s="346">
        <v>11198</v>
      </c>
      <c r="D81" s="346">
        <v>106</v>
      </c>
      <c r="E81" s="346">
        <v>998</v>
      </c>
      <c r="F81" s="346">
        <v>801</v>
      </c>
      <c r="G81" s="346">
        <v>1988</v>
      </c>
      <c r="H81" s="346">
        <v>15091</v>
      </c>
      <c r="I81" s="345">
        <v>13103</v>
      </c>
      <c r="J81" s="345">
        <v>62</v>
      </c>
      <c r="K81" s="347">
        <v>122.2</v>
      </c>
      <c r="L81" s="347">
        <v>121.24</v>
      </c>
      <c r="M81" s="347">
        <v>9.39</v>
      </c>
      <c r="N81" s="347">
        <v>128.08000000000001</v>
      </c>
      <c r="O81" s="348">
        <v>8839</v>
      </c>
      <c r="P81" s="345">
        <v>101.76</v>
      </c>
      <c r="Q81" s="345">
        <v>96.84</v>
      </c>
      <c r="R81" s="345">
        <v>61.63</v>
      </c>
      <c r="S81" s="345">
        <v>157.91999999999999</v>
      </c>
      <c r="T81" s="345">
        <v>1139</v>
      </c>
      <c r="U81" s="345">
        <v>184.07</v>
      </c>
      <c r="V81" s="345">
        <v>1827</v>
      </c>
      <c r="W81" s="345">
        <v>0</v>
      </c>
      <c r="X81" s="345">
        <v>0</v>
      </c>
      <c r="Y81" s="345">
        <v>1</v>
      </c>
      <c r="Z81" s="345">
        <v>3</v>
      </c>
      <c r="AA81" s="345">
        <v>15</v>
      </c>
      <c r="AB81" s="345">
        <v>105</v>
      </c>
      <c r="AC81" s="345">
        <v>46</v>
      </c>
      <c r="AD81" s="349">
        <v>10952</v>
      </c>
      <c r="AE81" s="349">
        <v>75</v>
      </c>
      <c r="AF81" s="349">
        <v>54</v>
      </c>
      <c r="AG81" s="349">
        <v>129</v>
      </c>
    </row>
    <row r="82" spans="1:33" x14ac:dyDescent="0.2">
      <c r="A82" s="344" t="s">
        <v>220</v>
      </c>
      <c r="B82" s="350" t="s">
        <v>221</v>
      </c>
      <c r="C82" s="346">
        <v>2864</v>
      </c>
      <c r="D82" s="346">
        <v>0</v>
      </c>
      <c r="E82" s="346">
        <v>250</v>
      </c>
      <c r="F82" s="346">
        <v>267</v>
      </c>
      <c r="G82" s="346">
        <v>334</v>
      </c>
      <c r="H82" s="346">
        <v>3715</v>
      </c>
      <c r="I82" s="345">
        <v>3381</v>
      </c>
      <c r="J82" s="345">
        <v>8</v>
      </c>
      <c r="K82" s="347">
        <v>116.28</v>
      </c>
      <c r="L82" s="347">
        <v>114.12</v>
      </c>
      <c r="M82" s="347">
        <v>6.82</v>
      </c>
      <c r="N82" s="347">
        <v>122.1</v>
      </c>
      <c r="O82" s="348">
        <v>1961</v>
      </c>
      <c r="P82" s="345">
        <v>115.97</v>
      </c>
      <c r="Q82" s="345">
        <v>98.69</v>
      </c>
      <c r="R82" s="345">
        <v>35.299999999999997</v>
      </c>
      <c r="S82" s="345">
        <v>150.16999999999999</v>
      </c>
      <c r="T82" s="345">
        <v>417</v>
      </c>
      <c r="U82" s="345">
        <v>169.49</v>
      </c>
      <c r="V82" s="345">
        <v>706</v>
      </c>
      <c r="W82" s="345">
        <v>153.99</v>
      </c>
      <c r="X82" s="345">
        <v>8</v>
      </c>
      <c r="Y82" s="345">
        <v>0</v>
      </c>
      <c r="Z82" s="345">
        <v>3</v>
      </c>
      <c r="AA82" s="345">
        <v>1</v>
      </c>
      <c r="AB82" s="345">
        <v>6</v>
      </c>
      <c r="AC82" s="345">
        <v>7</v>
      </c>
      <c r="AD82" s="349">
        <v>2831</v>
      </c>
      <c r="AE82" s="349">
        <v>21</v>
      </c>
      <c r="AF82" s="349">
        <v>5</v>
      </c>
      <c r="AG82" s="349">
        <v>26</v>
      </c>
    </row>
    <row r="83" spans="1:33" x14ac:dyDescent="0.2">
      <c r="A83" s="344" t="s">
        <v>222</v>
      </c>
      <c r="B83" s="350" t="s">
        <v>223</v>
      </c>
      <c r="C83" s="346">
        <v>2040</v>
      </c>
      <c r="D83" s="346">
        <v>22</v>
      </c>
      <c r="E83" s="346">
        <v>298</v>
      </c>
      <c r="F83" s="346">
        <v>525</v>
      </c>
      <c r="G83" s="346">
        <v>125</v>
      </c>
      <c r="H83" s="346">
        <v>3010</v>
      </c>
      <c r="I83" s="345">
        <v>2885</v>
      </c>
      <c r="J83" s="345">
        <v>1</v>
      </c>
      <c r="K83" s="347">
        <v>79.55</v>
      </c>
      <c r="L83" s="347">
        <v>76.959999999999994</v>
      </c>
      <c r="M83" s="347">
        <v>4.6500000000000004</v>
      </c>
      <c r="N83" s="347">
        <v>82.49</v>
      </c>
      <c r="O83" s="348">
        <v>1161</v>
      </c>
      <c r="P83" s="345">
        <v>88.52</v>
      </c>
      <c r="Q83" s="345">
        <v>79.38</v>
      </c>
      <c r="R83" s="345">
        <v>49.52</v>
      </c>
      <c r="S83" s="345">
        <v>137.88</v>
      </c>
      <c r="T83" s="345">
        <v>581</v>
      </c>
      <c r="U83" s="345">
        <v>94.76</v>
      </c>
      <c r="V83" s="345">
        <v>537</v>
      </c>
      <c r="W83" s="345">
        <v>95.53</v>
      </c>
      <c r="X83" s="345">
        <v>22</v>
      </c>
      <c r="Y83" s="345">
        <v>0</v>
      </c>
      <c r="Z83" s="345">
        <v>0</v>
      </c>
      <c r="AA83" s="345">
        <v>4</v>
      </c>
      <c r="AB83" s="345">
        <v>0</v>
      </c>
      <c r="AC83" s="345">
        <v>5</v>
      </c>
      <c r="AD83" s="349">
        <v>1807</v>
      </c>
      <c r="AE83" s="349">
        <v>40</v>
      </c>
      <c r="AF83" s="349">
        <v>7</v>
      </c>
      <c r="AG83" s="349">
        <v>47</v>
      </c>
    </row>
    <row r="84" spans="1:33" x14ac:dyDescent="0.2">
      <c r="A84" s="344" t="s">
        <v>224</v>
      </c>
      <c r="B84" s="350" t="s">
        <v>225</v>
      </c>
      <c r="C84" s="346">
        <v>1739</v>
      </c>
      <c r="D84" s="346">
        <v>12</v>
      </c>
      <c r="E84" s="346">
        <v>151</v>
      </c>
      <c r="F84" s="346">
        <v>107</v>
      </c>
      <c r="G84" s="346">
        <v>892</v>
      </c>
      <c r="H84" s="346">
        <v>2901</v>
      </c>
      <c r="I84" s="345">
        <v>2009</v>
      </c>
      <c r="J84" s="345">
        <v>2</v>
      </c>
      <c r="K84" s="347">
        <v>107.99</v>
      </c>
      <c r="L84" s="347">
        <v>103.82</v>
      </c>
      <c r="M84" s="347">
        <v>6.88</v>
      </c>
      <c r="N84" s="347">
        <v>114.28</v>
      </c>
      <c r="O84" s="348">
        <v>860</v>
      </c>
      <c r="P84" s="345">
        <v>124.19</v>
      </c>
      <c r="Q84" s="345">
        <v>84.1</v>
      </c>
      <c r="R84" s="345">
        <v>38.78</v>
      </c>
      <c r="S84" s="345">
        <v>159.69</v>
      </c>
      <c r="T84" s="345">
        <v>142</v>
      </c>
      <c r="U84" s="345">
        <v>156.69</v>
      </c>
      <c r="V84" s="345">
        <v>438</v>
      </c>
      <c r="W84" s="345">
        <v>0</v>
      </c>
      <c r="X84" s="345">
        <v>0</v>
      </c>
      <c r="Y84" s="345">
        <v>0</v>
      </c>
      <c r="Z84" s="345">
        <v>0</v>
      </c>
      <c r="AA84" s="345">
        <v>0</v>
      </c>
      <c r="AB84" s="345">
        <v>114</v>
      </c>
      <c r="AC84" s="345">
        <v>21</v>
      </c>
      <c r="AD84" s="349">
        <v>1361</v>
      </c>
      <c r="AE84" s="349">
        <v>8</v>
      </c>
      <c r="AF84" s="349">
        <v>7</v>
      </c>
      <c r="AG84" s="349">
        <v>15</v>
      </c>
    </row>
    <row r="85" spans="1:33" x14ac:dyDescent="0.2">
      <c r="A85" s="344" t="s">
        <v>226</v>
      </c>
      <c r="B85" s="350" t="s">
        <v>227</v>
      </c>
      <c r="C85" s="346">
        <v>5999</v>
      </c>
      <c r="D85" s="346">
        <v>18</v>
      </c>
      <c r="E85" s="346">
        <v>604</v>
      </c>
      <c r="F85" s="346">
        <v>1315</v>
      </c>
      <c r="G85" s="346">
        <v>511</v>
      </c>
      <c r="H85" s="346">
        <v>8447</v>
      </c>
      <c r="I85" s="345">
        <v>7936</v>
      </c>
      <c r="J85" s="345">
        <v>2</v>
      </c>
      <c r="K85" s="347">
        <v>87.91</v>
      </c>
      <c r="L85" s="347">
        <v>86.75</v>
      </c>
      <c r="M85" s="347">
        <v>6.35</v>
      </c>
      <c r="N85" s="347">
        <v>92.41</v>
      </c>
      <c r="O85" s="348">
        <v>5470</v>
      </c>
      <c r="P85" s="345">
        <v>100.18</v>
      </c>
      <c r="Q85" s="345">
        <v>91.71</v>
      </c>
      <c r="R85" s="345">
        <v>51.97</v>
      </c>
      <c r="S85" s="345">
        <v>150.74</v>
      </c>
      <c r="T85" s="345">
        <v>1468</v>
      </c>
      <c r="U85" s="345">
        <v>100.54</v>
      </c>
      <c r="V85" s="345">
        <v>386</v>
      </c>
      <c r="W85" s="345">
        <v>149.08000000000001</v>
      </c>
      <c r="X85" s="345">
        <v>107</v>
      </c>
      <c r="Y85" s="345">
        <v>0</v>
      </c>
      <c r="Z85" s="345">
        <v>0</v>
      </c>
      <c r="AA85" s="345">
        <v>8</v>
      </c>
      <c r="AB85" s="345">
        <v>4</v>
      </c>
      <c r="AC85" s="345">
        <v>14</v>
      </c>
      <c r="AD85" s="349">
        <v>5867</v>
      </c>
      <c r="AE85" s="349">
        <v>56</v>
      </c>
      <c r="AF85" s="349">
        <v>5</v>
      </c>
      <c r="AG85" s="349">
        <v>61</v>
      </c>
    </row>
    <row r="86" spans="1:33" x14ac:dyDescent="0.2">
      <c r="A86" s="344" t="s">
        <v>228</v>
      </c>
      <c r="B86" s="350" t="s">
        <v>229</v>
      </c>
      <c r="C86" s="346">
        <v>3758</v>
      </c>
      <c r="D86" s="346">
        <v>0</v>
      </c>
      <c r="E86" s="346">
        <v>61</v>
      </c>
      <c r="F86" s="346">
        <v>274</v>
      </c>
      <c r="G86" s="346">
        <v>215</v>
      </c>
      <c r="H86" s="346">
        <v>4308</v>
      </c>
      <c r="I86" s="345">
        <v>4093</v>
      </c>
      <c r="J86" s="345">
        <v>0</v>
      </c>
      <c r="K86" s="347">
        <v>91.32</v>
      </c>
      <c r="L86" s="347">
        <v>93.48</v>
      </c>
      <c r="M86" s="347">
        <v>2.75</v>
      </c>
      <c r="N86" s="347">
        <v>93.73</v>
      </c>
      <c r="O86" s="348">
        <v>3382</v>
      </c>
      <c r="P86" s="345">
        <v>85.39</v>
      </c>
      <c r="Q86" s="345">
        <v>82.93</v>
      </c>
      <c r="R86" s="345">
        <v>27.65</v>
      </c>
      <c r="S86" s="345">
        <v>112.19</v>
      </c>
      <c r="T86" s="345">
        <v>323</v>
      </c>
      <c r="U86" s="345">
        <v>110.15</v>
      </c>
      <c r="V86" s="345">
        <v>266</v>
      </c>
      <c r="W86" s="345">
        <v>189.69</v>
      </c>
      <c r="X86" s="345">
        <v>2</v>
      </c>
      <c r="Y86" s="345">
        <v>0</v>
      </c>
      <c r="Z86" s="345">
        <v>7</v>
      </c>
      <c r="AA86" s="345">
        <v>2</v>
      </c>
      <c r="AB86" s="345">
        <v>30</v>
      </c>
      <c r="AC86" s="345">
        <v>3</v>
      </c>
      <c r="AD86" s="349">
        <v>3643</v>
      </c>
      <c r="AE86" s="349">
        <v>21</v>
      </c>
      <c r="AF86" s="349">
        <v>10</v>
      </c>
      <c r="AG86" s="349">
        <v>31</v>
      </c>
    </row>
    <row r="87" spans="1:33" x14ac:dyDescent="0.2">
      <c r="A87" s="344" t="s">
        <v>230</v>
      </c>
      <c r="B87" s="350" t="s">
        <v>231</v>
      </c>
      <c r="C87" s="346">
        <v>2419</v>
      </c>
      <c r="D87" s="346">
        <v>3</v>
      </c>
      <c r="E87" s="346">
        <v>659</v>
      </c>
      <c r="F87" s="346">
        <v>888</v>
      </c>
      <c r="G87" s="346">
        <v>199</v>
      </c>
      <c r="H87" s="346">
        <v>4168</v>
      </c>
      <c r="I87" s="345">
        <v>3969</v>
      </c>
      <c r="J87" s="345">
        <v>0</v>
      </c>
      <c r="K87" s="347">
        <v>81.17</v>
      </c>
      <c r="L87" s="347">
        <v>78.81</v>
      </c>
      <c r="M87" s="347">
        <v>5.93</v>
      </c>
      <c r="N87" s="347">
        <v>84.75</v>
      </c>
      <c r="O87" s="348">
        <v>1716</v>
      </c>
      <c r="P87" s="345">
        <v>97.73</v>
      </c>
      <c r="Q87" s="345">
        <v>78.599999999999994</v>
      </c>
      <c r="R87" s="345">
        <v>34.06</v>
      </c>
      <c r="S87" s="345">
        <v>131.44</v>
      </c>
      <c r="T87" s="345">
        <v>1341</v>
      </c>
      <c r="U87" s="345">
        <v>93.23</v>
      </c>
      <c r="V87" s="345">
        <v>593</v>
      </c>
      <c r="W87" s="345">
        <v>145.12</v>
      </c>
      <c r="X87" s="345">
        <v>91</v>
      </c>
      <c r="Y87" s="345">
        <v>0</v>
      </c>
      <c r="Z87" s="345">
        <v>1</v>
      </c>
      <c r="AA87" s="345">
        <v>5</v>
      </c>
      <c r="AB87" s="345">
        <v>15</v>
      </c>
      <c r="AC87" s="345">
        <v>4</v>
      </c>
      <c r="AD87" s="349">
        <v>2354</v>
      </c>
      <c r="AE87" s="349">
        <v>32</v>
      </c>
      <c r="AF87" s="349">
        <v>10</v>
      </c>
      <c r="AG87" s="349">
        <v>42</v>
      </c>
    </row>
    <row r="88" spans="1:33" x14ac:dyDescent="0.2">
      <c r="A88" s="344" t="s">
        <v>232</v>
      </c>
      <c r="B88" s="350" t="s">
        <v>233</v>
      </c>
      <c r="C88" s="345">
        <v>16237</v>
      </c>
      <c r="D88" s="345">
        <v>39</v>
      </c>
      <c r="E88" s="345">
        <v>759</v>
      </c>
      <c r="F88" s="345">
        <v>3935</v>
      </c>
      <c r="G88" s="345">
        <v>1124</v>
      </c>
      <c r="H88" s="345">
        <v>22094</v>
      </c>
      <c r="I88" s="345">
        <v>20970</v>
      </c>
      <c r="J88" s="345">
        <v>0</v>
      </c>
      <c r="K88" s="345">
        <v>98.54</v>
      </c>
      <c r="L88" s="347">
        <v>98.19</v>
      </c>
      <c r="M88" s="347">
        <v>3.26</v>
      </c>
      <c r="N88" s="347">
        <v>100.77</v>
      </c>
      <c r="O88" s="348">
        <v>14643</v>
      </c>
      <c r="P88" s="345">
        <v>92.45</v>
      </c>
      <c r="Q88" s="345">
        <v>87.11</v>
      </c>
      <c r="R88" s="345">
        <v>23.24</v>
      </c>
      <c r="S88" s="345">
        <v>115.51</v>
      </c>
      <c r="T88" s="345">
        <v>4178</v>
      </c>
      <c r="U88" s="345">
        <v>133.36000000000001</v>
      </c>
      <c r="V88" s="345">
        <v>1471</v>
      </c>
      <c r="W88" s="345">
        <v>161.94</v>
      </c>
      <c r="X88" s="345">
        <v>86</v>
      </c>
      <c r="Y88" s="345">
        <v>65</v>
      </c>
      <c r="Z88" s="345">
        <v>12</v>
      </c>
      <c r="AA88" s="345">
        <v>53</v>
      </c>
      <c r="AB88" s="345">
        <v>55</v>
      </c>
      <c r="AC88" s="345">
        <v>12</v>
      </c>
      <c r="AD88" s="345">
        <v>16098</v>
      </c>
      <c r="AE88" s="345">
        <v>45</v>
      </c>
      <c r="AF88" s="345">
        <v>43</v>
      </c>
      <c r="AG88" s="345">
        <v>88</v>
      </c>
    </row>
    <row r="89" spans="1:33" x14ac:dyDescent="0.2">
      <c r="A89" s="344" t="s">
        <v>234</v>
      </c>
      <c r="B89" s="350" t="s">
        <v>235</v>
      </c>
      <c r="C89" s="346">
        <v>2106</v>
      </c>
      <c r="D89" s="346">
        <v>0</v>
      </c>
      <c r="E89" s="346">
        <v>123</v>
      </c>
      <c r="F89" s="346">
        <v>460</v>
      </c>
      <c r="G89" s="346">
        <v>232</v>
      </c>
      <c r="H89" s="346">
        <v>2921</v>
      </c>
      <c r="I89" s="345">
        <v>2689</v>
      </c>
      <c r="J89" s="345">
        <v>2</v>
      </c>
      <c r="K89" s="347">
        <v>89.35</v>
      </c>
      <c r="L89" s="347">
        <v>88.2</v>
      </c>
      <c r="M89" s="347">
        <v>7.4</v>
      </c>
      <c r="N89" s="347">
        <v>95.17</v>
      </c>
      <c r="O89" s="348">
        <v>1784</v>
      </c>
      <c r="P89" s="345">
        <v>107.27</v>
      </c>
      <c r="Q89" s="345">
        <v>89.93</v>
      </c>
      <c r="R89" s="345">
        <v>42.67</v>
      </c>
      <c r="S89" s="345">
        <v>149.72</v>
      </c>
      <c r="T89" s="345">
        <v>579</v>
      </c>
      <c r="U89" s="345">
        <v>119.9</v>
      </c>
      <c r="V89" s="345">
        <v>237</v>
      </c>
      <c r="W89" s="345">
        <v>0</v>
      </c>
      <c r="X89" s="345">
        <v>0</v>
      </c>
      <c r="Y89" s="345">
        <v>0</v>
      </c>
      <c r="Z89" s="345">
        <v>1</v>
      </c>
      <c r="AA89" s="345">
        <v>1</v>
      </c>
      <c r="AB89" s="345">
        <v>33</v>
      </c>
      <c r="AC89" s="345">
        <v>3</v>
      </c>
      <c r="AD89" s="349">
        <v>2054</v>
      </c>
      <c r="AE89" s="349">
        <v>4</v>
      </c>
      <c r="AF89" s="349">
        <v>8</v>
      </c>
      <c r="AG89" s="349">
        <v>12</v>
      </c>
    </row>
    <row r="90" spans="1:33" x14ac:dyDescent="0.2">
      <c r="A90" s="344" t="s">
        <v>236</v>
      </c>
      <c r="B90" s="350" t="s">
        <v>237</v>
      </c>
      <c r="C90" s="346">
        <v>3703</v>
      </c>
      <c r="D90" s="346">
        <v>0</v>
      </c>
      <c r="E90" s="346">
        <v>417</v>
      </c>
      <c r="F90" s="346">
        <v>789</v>
      </c>
      <c r="G90" s="346">
        <v>696</v>
      </c>
      <c r="H90" s="346">
        <v>5605</v>
      </c>
      <c r="I90" s="345">
        <v>4909</v>
      </c>
      <c r="J90" s="345">
        <v>0</v>
      </c>
      <c r="K90" s="347">
        <v>93.21</v>
      </c>
      <c r="L90" s="347">
        <v>90.22</v>
      </c>
      <c r="M90" s="347">
        <v>6.42</v>
      </c>
      <c r="N90" s="347">
        <v>98.52</v>
      </c>
      <c r="O90" s="348">
        <v>3283</v>
      </c>
      <c r="P90" s="345">
        <v>104.2</v>
      </c>
      <c r="Q90" s="345">
        <v>94.9</v>
      </c>
      <c r="R90" s="345">
        <v>52.23</v>
      </c>
      <c r="S90" s="345">
        <v>154.19999999999999</v>
      </c>
      <c r="T90" s="345">
        <v>865</v>
      </c>
      <c r="U90" s="345">
        <v>109.91</v>
      </c>
      <c r="V90" s="345">
        <v>347</v>
      </c>
      <c r="W90" s="345">
        <v>177.81</v>
      </c>
      <c r="X90" s="345">
        <v>100</v>
      </c>
      <c r="Y90" s="345">
        <v>0</v>
      </c>
      <c r="Z90" s="345">
        <v>14</v>
      </c>
      <c r="AA90" s="345">
        <v>7</v>
      </c>
      <c r="AB90" s="345">
        <v>12</v>
      </c>
      <c r="AC90" s="345">
        <v>16</v>
      </c>
      <c r="AD90" s="349">
        <v>3703</v>
      </c>
      <c r="AE90" s="349">
        <v>10</v>
      </c>
      <c r="AF90" s="349">
        <v>26</v>
      </c>
      <c r="AG90" s="349">
        <v>36</v>
      </c>
    </row>
    <row r="91" spans="1:33" x14ac:dyDescent="0.2">
      <c r="A91" s="344" t="s">
        <v>238</v>
      </c>
      <c r="B91" s="350" t="s">
        <v>239</v>
      </c>
      <c r="C91" s="346">
        <v>10109</v>
      </c>
      <c r="D91" s="346">
        <v>346</v>
      </c>
      <c r="E91" s="346">
        <v>929</v>
      </c>
      <c r="F91" s="346">
        <v>787</v>
      </c>
      <c r="G91" s="346">
        <v>2422</v>
      </c>
      <c r="H91" s="346">
        <v>14593</v>
      </c>
      <c r="I91" s="345">
        <v>12171</v>
      </c>
      <c r="J91" s="345">
        <v>89</v>
      </c>
      <c r="K91" s="347">
        <v>130.37</v>
      </c>
      <c r="L91" s="347">
        <v>127.4</v>
      </c>
      <c r="M91" s="347">
        <v>10.68</v>
      </c>
      <c r="N91" s="347">
        <v>138.12</v>
      </c>
      <c r="O91" s="348">
        <v>8387</v>
      </c>
      <c r="P91" s="345">
        <v>122.93</v>
      </c>
      <c r="Q91" s="345">
        <v>115.33</v>
      </c>
      <c r="R91" s="345">
        <v>45.06</v>
      </c>
      <c r="S91" s="345">
        <v>161.87</v>
      </c>
      <c r="T91" s="345">
        <v>1089</v>
      </c>
      <c r="U91" s="345">
        <v>194.56</v>
      </c>
      <c r="V91" s="345">
        <v>1180</v>
      </c>
      <c r="W91" s="345">
        <v>192.02</v>
      </c>
      <c r="X91" s="345">
        <v>44</v>
      </c>
      <c r="Y91" s="345">
        <v>1</v>
      </c>
      <c r="Z91" s="345">
        <v>1</v>
      </c>
      <c r="AA91" s="345">
        <v>3</v>
      </c>
      <c r="AB91" s="345">
        <v>115</v>
      </c>
      <c r="AC91" s="345">
        <v>49</v>
      </c>
      <c r="AD91" s="349">
        <v>9730</v>
      </c>
      <c r="AE91" s="349">
        <v>56</v>
      </c>
      <c r="AF91" s="349">
        <v>44</v>
      </c>
      <c r="AG91" s="349">
        <v>100</v>
      </c>
    </row>
    <row r="92" spans="1:33" x14ac:dyDescent="0.2">
      <c r="A92" s="344" t="s">
        <v>240</v>
      </c>
      <c r="B92" s="350" t="s">
        <v>241</v>
      </c>
      <c r="C92" s="346">
        <v>4085</v>
      </c>
      <c r="D92" s="346">
        <v>5</v>
      </c>
      <c r="E92" s="346">
        <v>127</v>
      </c>
      <c r="F92" s="346">
        <v>1023</v>
      </c>
      <c r="G92" s="346">
        <v>430</v>
      </c>
      <c r="H92" s="346">
        <v>5670</v>
      </c>
      <c r="I92" s="345">
        <v>5240</v>
      </c>
      <c r="J92" s="345">
        <v>4</v>
      </c>
      <c r="K92" s="347">
        <v>101.29</v>
      </c>
      <c r="L92" s="347">
        <v>101.12</v>
      </c>
      <c r="M92" s="347">
        <v>3.14</v>
      </c>
      <c r="N92" s="347">
        <v>102.51</v>
      </c>
      <c r="O92" s="348">
        <v>3664</v>
      </c>
      <c r="P92" s="345">
        <v>98.26</v>
      </c>
      <c r="Q92" s="345">
        <v>98.16</v>
      </c>
      <c r="R92" s="345">
        <v>24.22</v>
      </c>
      <c r="S92" s="345">
        <v>122.19</v>
      </c>
      <c r="T92" s="345">
        <v>1139</v>
      </c>
      <c r="U92" s="345">
        <v>126.26</v>
      </c>
      <c r="V92" s="345">
        <v>364</v>
      </c>
      <c r="W92" s="345">
        <v>0</v>
      </c>
      <c r="X92" s="345">
        <v>0</v>
      </c>
      <c r="Y92" s="345">
        <v>2</v>
      </c>
      <c r="Z92" s="345">
        <v>1</v>
      </c>
      <c r="AA92" s="345">
        <v>1</v>
      </c>
      <c r="AB92" s="345">
        <v>15</v>
      </c>
      <c r="AC92" s="345">
        <v>8</v>
      </c>
      <c r="AD92" s="349">
        <v>4077</v>
      </c>
      <c r="AE92" s="349">
        <v>3</v>
      </c>
      <c r="AF92" s="349">
        <v>14</v>
      </c>
      <c r="AG92" s="349">
        <v>17</v>
      </c>
    </row>
    <row r="93" spans="1:33" x14ac:dyDescent="0.2">
      <c r="A93" s="344" t="s">
        <v>242</v>
      </c>
      <c r="B93" s="350" t="s">
        <v>243</v>
      </c>
      <c r="C93" s="346">
        <v>2217</v>
      </c>
      <c r="D93" s="346">
        <v>1</v>
      </c>
      <c r="E93" s="346">
        <v>179</v>
      </c>
      <c r="F93" s="346">
        <v>154</v>
      </c>
      <c r="G93" s="346">
        <v>565</v>
      </c>
      <c r="H93" s="346">
        <v>3116</v>
      </c>
      <c r="I93" s="345">
        <v>2551</v>
      </c>
      <c r="J93" s="345">
        <v>0</v>
      </c>
      <c r="K93" s="347">
        <v>93.31</v>
      </c>
      <c r="L93" s="347">
        <v>90.71</v>
      </c>
      <c r="M93" s="347">
        <v>2.77</v>
      </c>
      <c r="N93" s="347">
        <v>95.39</v>
      </c>
      <c r="O93" s="348">
        <v>1484</v>
      </c>
      <c r="P93" s="345">
        <v>110.26</v>
      </c>
      <c r="Q93" s="345">
        <v>78.81</v>
      </c>
      <c r="R93" s="345">
        <v>56.37</v>
      </c>
      <c r="S93" s="345">
        <v>162.30000000000001</v>
      </c>
      <c r="T93" s="345">
        <v>234</v>
      </c>
      <c r="U93" s="345">
        <v>127.04</v>
      </c>
      <c r="V93" s="345">
        <v>520</v>
      </c>
      <c r="W93" s="345">
        <v>0</v>
      </c>
      <c r="X93" s="345">
        <v>0</v>
      </c>
      <c r="Y93" s="345">
        <v>0</v>
      </c>
      <c r="Z93" s="345">
        <v>0</v>
      </c>
      <c r="AA93" s="345">
        <v>5</v>
      </c>
      <c r="AB93" s="345">
        <v>82</v>
      </c>
      <c r="AC93" s="345">
        <v>4</v>
      </c>
      <c r="AD93" s="349">
        <v>2172</v>
      </c>
      <c r="AE93" s="349">
        <v>24</v>
      </c>
      <c r="AF93" s="349">
        <v>3</v>
      </c>
      <c r="AG93" s="349">
        <v>27</v>
      </c>
    </row>
    <row r="94" spans="1:33" x14ac:dyDescent="0.2">
      <c r="A94" s="344" t="s">
        <v>244</v>
      </c>
      <c r="B94" s="350" t="s">
        <v>245</v>
      </c>
      <c r="C94" s="346">
        <v>5650</v>
      </c>
      <c r="D94" s="346">
        <v>9</v>
      </c>
      <c r="E94" s="346">
        <v>92</v>
      </c>
      <c r="F94" s="346">
        <v>785</v>
      </c>
      <c r="G94" s="346">
        <v>597</v>
      </c>
      <c r="H94" s="346">
        <v>7133</v>
      </c>
      <c r="I94" s="345">
        <v>6536</v>
      </c>
      <c r="J94" s="345">
        <v>0</v>
      </c>
      <c r="K94" s="347">
        <v>114.8</v>
      </c>
      <c r="L94" s="347">
        <v>112.62</v>
      </c>
      <c r="M94" s="347">
        <v>4.21</v>
      </c>
      <c r="N94" s="347">
        <v>116.22</v>
      </c>
      <c r="O94" s="348">
        <v>4256</v>
      </c>
      <c r="P94" s="345">
        <v>95.11</v>
      </c>
      <c r="Q94" s="345">
        <v>93.43</v>
      </c>
      <c r="R94" s="345">
        <v>14.29</v>
      </c>
      <c r="S94" s="345">
        <v>109</v>
      </c>
      <c r="T94" s="345">
        <v>873</v>
      </c>
      <c r="U94" s="345">
        <v>151.9</v>
      </c>
      <c r="V94" s="345">
        <v>997</v>
      </c>
      <c r="W94" s="345">
        <v>0</v>
      </c>
      <c r="X94" s="345">
        <v>0</v>
      </c>
      <c r="Y94" s="345">
        <v>17</v>
      </c>
      <c r="Z94" s="345">
        <v>3</v>
      </c>
      <c r="AA94" s="345">
        <v>0</v>
      </c>
      <c r="AB94" s="345">
        <v>49</v>
      </c>
      <c r="AC94" s="345">
        <v>7</v>
      </c>
      <c r="AD94" s="349">
        <v>5337</v>
      </c>
      <c r="AE94" s="349">
        <v>44</v>
      </c>
      <c r="AF94" s="349">
        <v>4</v>
      </c>
      <c r="AG94" s="349">
        <v>48</v>
      </c>
    </row>
    <row r="95" spans="1:33" x14ac:dyDescent="0.2">
      <c r="A95" s="344" t="s">
        <v>246</v>
      </c>
      <c r="B95" s="350" t="s">
        <v>247</v>
      </c>
      <c r="C95" s="346">
        <v>6909</v>
      </c>
      <c r="D95" s="346">
        <v>6</v>
      </c>
      <c r="E95" s="346">
        <v>190</v>
      </c>
      <c r="F95" s="346">
        <v>1060</v>
      </c>
      <c r="G95" s="346">
        <v>706</v>
      </c>
      <c r="H95" s="346">
        <v>8871</v>
      </c>
      <c r="I95" s="345">
        <v>8165</v>
      </c>
      <c r="J95" s="345">
        <v>24</v>
      </c>
      <c r="K95" s="347">
        <v>115.39</v>
      </c>
      <c r="L95" s="347">
        <v>117.04</v>
      </c>
      <c r="M95" s="347">
        <v>4.97</v>
      </c>
      <c r="N95" s="347">
        <v>117.15</v>
      </c>
      <c r="O95" s="348">
        <v>5125</v>
      </c>
      <c r="P95" s="345">
        <v>104.63</v>
      </c>
      <c r="Q95" s="345">
        <v>104.44</v>
      </c>
      <c r="R95" s="345">
        <v>31.46</v>
      </c>
      <c r="S95" s="345">
        <v>135.25</v>
      </c>
      <c r="T95" s="345">
        <v>1207</v>
      </c>
      <c r="U95" s="345">
        <v>160.33000000000001</v>
      </c>
      <c r="V95" s="345">
        <v>1673</v>
      </c>
      <c r="W95" s="345">
        <v>0</v>
      </c>
      <c r="X95" s="345">
        <v>0</v>
      </c>
      <c r="Y95" s="345">
        <v>0</v>
      </c>
      <c r="Z95" s="345">
        <v>7</v>
      </c>
      <c r="AA95" s="345">
        <v>2</v>
      </c>
      <c r="AB95" s="345">
        <v>109</v>
      </c>
      <c r="AC95" s="345">
        <v>17</v>
      </c>
      <c r="AD95" s="349">
        <v>6899</v>
      </c>
      <c r="AE95" s="349">
        <v>42</v>
      </c>
      <c r="AF95" s="349">
        <v>12</v>
      </c>
      <c r="AG95" s="349">
        <v>54</v>
      </c>
    </row>
    <row r="96" spans="1:33" x14ac:dyDescent="0.2">
      <c r="A96" s="344" t="s">
        <v>248</v>
      </c>
      <c r="B96" s="350" t="s">
        <v>249</v>
      </c>
      <c r="C96" s="346">
        <v>6819</v>
      </c>
      <c r="D96" s="346">
        <v>11</v>
      </c>
      <c r="E96" s="346">
        <v>252</v>
      </c>
      <c r="F96" s="346">
        <v>594</v>
      </c>
      <c r="G96" s="346">
        <v>559</v>
      </c>
      <c r="H96" s="346">
        <v>8235</v>
      </c>
      <c r="I96" s="345">
        <v>7676</v>
      </c>
      <c r="J96" s="345">
        <v>1</v>
      </c>
      <c r="K96" s="347">
        <v>82.46</v>
      </c>
      <c r="L96" s="347">
        <v>82.1</v>
      </c>
      <c r="M96" s="347">
        <v>2.95</v>
      </c>
      <c r="N96" s="347">
        <v>84.9</v>
      </c>
      <c r="O96" s="348">
        <v>5209</v>
      </c>
      <c r="P96" s="345">
        <v>83.56</v>
      </c>
      <c r="Q96" s="345">
        <v>77.77</v>
      </c>
      <c r="R96" s="345">
        <v>40.74</v>
      </c>
      <c r="S96" s="345">
        <v>122.62</v>
      </c>
      <c r="T96" s="345">
        <v>779</v>
      </c>
      <c r="U96" s="345">
        <v>92.4</v>
      </c>
      <c r="V96" s="345">
        <v>1399</v>
      </c>
      <c r="W96" s="345">
        <v>132.18</v>
      </c>
      <c r="X96" s="345">
        <v>59</v>
      </c>
      <c r="Y96" s="345">
        <v>0</v>
      </c>
      <c r="Z96" s="345">
        <v>7</v>
      </c>
      <c r="AA96" s="345">
        <v>3</v>
      </c>
      <c r="AB96" s="345">
        <v>35</v>
      </c>
      <c r="AC96" s="345">
        <v>2</v>
      </c>
      <c r="AD96" s="349">
        <v>6684</v>
      </c>
      <c r="AE96" s="349">
        <v>38</v>
      </c>
      <c r="AF96" s="349">
        <v>15</v>
      </c>
      <c r="AG96" s="349">
        <v>53</v>
      </c>
    </row>
    <row r="97" spans="1:33" x14ac:dyDescent="0.2">
      <c r="A97" s="344" t="s">
        <v>250</v>
      </c>
      <c r="B97" s="350" t="s">
        <v>251</v>
      </c>
      <c r="C97" s="346">
        <v>2106</v>
      </c>
      <c r="D97" s="346">
        <v>1</v>
      </c>
      <c r="E97" s="346">
        <v>269</v>
      </c>
      <c r="F97" s="346">
        <v>634</v>
      </c>
      <c r="G97" s="346">
        <v>181</v>
      </c>
      <c r="H97" s="346">
        <v>3191</v>
      </c>
      <c r="I97" s="345">
        <v>3010</v>
      </c>
      <c r="J97" s="345">
        <v>6</v>
      </c>
      <c r="K97" s="347">
        <v>89.63</v>
      </c>
      <c r="L97" s="347">
        <v>85.84</v>
      </c>
      <c r="M97" s="347">
        <v>5.2</v>
      </c>
      <c r="N97" s="347">
        <v>92.71</v>
      </c>
      <c r="O97" s="348">
        <v>1402</v>
      </c>
      <c r="P97" s="345">
        <v>89.61</v>
      </c>
      <c r="Q97" s="345">
        <v>82.6</v>
      </c>
      <c r="R97" s="345">
        <v>45.41</v>
      </c>
      <c r="S97" s="345">
        <v>134.21</v>
      </c>
      <c r="T97" s="345">
        <v>781</v>
      </c>
      <c r="U97" s="345">
        <v>101.6</v>
      </c>
      <c r="V97" s="345">
        <v>366</v>
      </c>
      <c r="W97" s="345">
        <v>115.98</v>
      </c>
      <c r="X97" s="345">
        <v>36</v>
      </c>
      <c r="Y97" s="345">
        <v>0</v>
      </c>
      <c r="Z97" s="345">
        <v>0</v>
      </c>
      <c r="AA97" s="345">
        <v>1</v>
      </c>
      <c r="AB97" s="345">
        <v>22</v>
      </c>
      <c r="AC97" s="345">
        <v>8</v>
      </c>
      <c r="AD97" s="349">
        <v>1924</v>
      </c>
      <c r="AE97" s="349">
        <v>22</v>
      </c>
      <c r="AF97" s="349">
        <v>5</v>
      </c>
      <c r="AG97" s="349">
        <v>27</v>
      </c>
    </row>
    <row r="98" spans="1:33" x14ac:dyDescent="0.2">
      <c r="A98" s="344" t="s">
        <v>252</v>
      </c>
      <c r="B98" s="350" t="s">
        <v>253</v>
      </c>
      <c r="C98" s="346">
        <v>6131</v>
      </c>
      <c r="D98" s="346">
        <v>4</v>
      </c>
      <c r="E98" s="346">
        <v>134</v>
      </c>
      <c r="F98" s="346">
        <v>463</v>
      </c>
      <c r="G98" s="346">
        <v>205</v>
      </c>
      <c r="H98" s="346">
        <v>6937</v>
      </c>
      <c r="I98" s="345">
        <v>6732</v>
      </c>
      <c r="J98" s="345">
        <v>2</v>
      </c>
      <c r="K98" s="347">
        <v>81.53</v>
      </c>
      <c r="L98" s="347">
        <v>78.81</v>
      </c>
      <c r="M98" s="347">
        <v>7.4</v>
      </c>
      <c r="N98" s="347">
        <v>84.48</v>
      </c>
      <c r="O98" s="348">
        <v>5036</v>
      </c>
      <c r="P98" s="345">
        <v>79.48</v>
      </c>
      <c r="Q98" s="345">
        <v>77.52</v>
      </c>
      <c r="R98" s="345">
        <v>46.66</v>
      </c>
      <c r="S98" s="345">
        <v>125.98</v>
      </c>
      <c r="T98" s="345">
        <v>591</v>
      </c>
      <c r="U98" s="345">
        <v>93.14</v>
      </c>
      <c r="V98" s="345">
        <v>1075</v>
      </c>
      <c r="W98" s="345">
        <v>0</v>
      </c>
      <c r="X98" s="345">
        <v>0</v>
      </c>
      <c r="Y98" s="345">
        <v>0</v>
      </c>
      <c r="Z98" s="345">
        <v>25</v>
      </c>
      <c r="AA98" s="345">
        <v>19</v>
      </c>
      <c r="AB98" s="345">
        <v>21</v>
      </c>
      <c r="AC98" s="345">
        <v>2</v>
      </c>
      <c r="AD98" s="349">
        <v>6131</v>
      </c>
      <c r="AE98" s="349">
        <v>33</v>
      </c>
      <c r="AF98" s="349">
        <v>23</v>
      </c>
      <c r="AG98" s="349">
        <v>56</v>
      </c>
    </row>
    <row r="99" spans="1:33" x14ac:dyDescent="0.2">
      <c r="A99" s="344" t="s">
        <v>254</v>
      </c>
      <c r="B99" s="350" t="s">
        <v>255</v>
      </c>
      <c r="C99" s="345">
        <v>8121</v>
      </c>
      <c r="D99" s="345">
        <v>0</v>
      </c>
      <c r="E99" s="345">
        <v>421</v>
      </c>
      <c r="F99" s="345">
        <v>1385</v>
      </c>
      <c r="G99" s="345">
        <v>256</v>
      </c>
      <c r="H99" s="345">
        <v>10183</v>
      </c>
      <c r="I99" s="345">
        <v>9927</v>
      </c>
      <c r="J99" s="345">
        <v>8</v>
      </c>
      <c r="K99" s="345">
        <v>91.46</v>
      </c>
      <c r="L99" s="347">
        <v>91.59</v>
      </c>
      <c r="M99" s="347">
        <v>3.7</v>
      </c>
      <c r="N99" s="347">
        <v>93.06</v>
      </c>
      <c r="O99" s="348">
        <v>7056</v>
      </c>
      <c r="P99" s="345">
        <v>83.33</v>
      </c>
      <c r="Q99" s="345">
        <v>77.5</v>
      </c>
      <c r="R99" s="345">
        <v>32.69</v>
      </c>
      <c r="S99" s="345">
        <v>114.53</v>
      </c>
      <c r="T99" s="345">
        <v>1724</v>
      </c>
      <c r="U99" s="345">
        <v>102.32</v>
      </c>
      <c r="V99" s="345">
        <v>888</v>
      </c>
      <c r="W99" s="345">
        <v>151.01</v>
      </c>
      <c r="X99" s="345">
        <v>44</v>
      </c>
      <c r="Y99" s="345">
        <v>0</v>
      </c>
      <c r="Z99" s="345">
        <v>3</v>
      </c>
      <c r="AA99" s="345">
        <v>3</v>
      </c>
      <c r="AB99" s="345">
        <v>11</v>
      </c>
      <c r="AC99" s="345">
        <v>4</v>
      </c>
      <c r="AD99" s="345">
        <v>8080</v>
      </c>
      <c r="AE99" s="345">
        <v>32</v>
      </c>
      <c r="AF99" s="345">
        <v>27</v>
      </c>
      <c r="AG99" s="345">
        <v>59</v>
      </c>
    </row>
    <row r="100" spans="1:33" x14ac:dyDescent="0.2">
      <c r="A100" s="344" t="s">
        <v>256</v>
      </c>
      <c r="B100" s="350" t="s">
        <v>257</v>
      </c>
      <c r="C100" s="346">
        <v>1791</v>
      </c>
      <c r="D100" s="346">
        <v>0</v>
      </c>
      <c r="E100" s="346">
        <v>383</v>
      </c>
      <c r="F100" s="346">
        <v>550</v>
      </c>
      <c r="G100" s="346">
        <v>174</v>
      </c>
      <c r="H100" s="346">
        <v>2898</v>
      </c>
      <c r="I100" s="345">
        <v>2724</v>
      </c>
      <c r="J100" s="345">
        <v>1</v>
      </c>
      <c r="K100" s="347">
        <v>93.91</v>
      </c>
      <c r="L100" s="347">
        <v>90.15</v>
      </c>
      <c r="M100" s="347">
        <v>8.3000000000000007</v>
      </c>
      <c r="N100" s="347">
        <v>101.02</v>
      </c>
      <c r="O100" s="348">
        <v>1545</v>
      </c>
      <c r="P100" s="345">
        <v>80.72</v>
      </c>
      <c r="Q100" s="345">
        <v>75.89</v>
      </c>
      <c r="R100" s="345">
        <v>41.42</v>
      </c>
      <c r="S100" s="345">
        <v>121.8</v>
      </c>
      <c r="T100" s="345">
        <v>618</v>
      </c>
      <c r="U100" s="345">
        <v>133.54</v>
      </c>
      <c r="V100" s="345">
        <v>221</v>
      </c>
      <c r="W100" s="345">
        <v>154.6</v>
      </c>
      <c r="X100" s="345">
        <v>47</v>
      </c>
      <c r="Y100" s="345">
        <v>33</v>
      </c>
      <c r="Z100" s="345">
        <v>1</v>
      </c>
      <c r="AA100" s="345">
        <v>2</v>
      </c>
      <c r="AB100" s="345">
        <v>0</v>
      </c>
      <c r="AC100" s="345">
        <v>4</v>
      </c>
      <c r="AD100" s="349">
        <v>1789</v>
      </c>
      <c r="AE100" s="349">
        <v>3</v>
      </c>
      <c r="AF100" s="349">
        <v>4</v>
      </c>
      <c r="AG100" s="349">
        <v>7</v>
      </c>
    </row>
    <row r="101" spans="1:33" x14ac:dyDescent="0.2">
      <c r="A101" s="344" t="s">
        <v>258</v>
      </c>
      <c r="B101" s="350" t="s">
        <v>259</v>
      </c>
      <c r="C101" s="346">
        <v>6270</v>
      </c>
      <c r="D101" s="346">
        <v>0</v>
      </c>
      <c r="E101" s="346">
        <v>152</v>
      </c>
      <c r="F101" s="346">
        <v>707</v>
      </c>
      <c r="G101" s="346">
        <v>786</v>
      </c>
      <c r="H101" s="346">
        <v>7915</v>
      </c>
      <c r="I101" s="345">
        <v>7129</v>
      </c>
      <c r="J101" s="345">
        <v>0</v>
      </c>
      <c r="K101" s="347">
        <v>107.44</v>
      </c>
      <c r="L101" s="347">
        <v>102.97</v>
      </c>
      <c r="M101" s="347">
        <v>4.8</v>
      </c>
      <c r="N101" s="347">
        <v>109.98</v>
      </c>
      <c r="O101" s="348">
        <v>4723</v>
      </c>
      <c r="P101" s="345">
        <v>93.36</v>
      </c>
      <c r="Q101" s="345">
        <v>88.35</v>
      </c>
      <c r="R101" s="345">
        <v>35.520000000000003</v>
      </c>
      <c r="S101" s="345">
        <v>128.35</v>
      </c>
      <c r="T101" s="345">
        <v>739</v>
      </c>
      <c r="U101" s="345">
        <v>147.54</v>
      </c>
      <c r="V101" s="345">
        <v>1400</v>
      </c>
      <c r="W101" s="345">
        <v>176.51</v>
      </c>
      <c r="X101" s="345">
        <v>50</v>
      </c>
      <c r="Y101" s="345">
        <v>44</v>
      </c>
      <c r="Z101" s="345">
        <v>7</v>
      </c>
      <c r="AA101" s="345">
        <v>0</v>
      </c>
      <c r="AB101" s="345">
        <v>129</v>
      </c>
      <c r="AC101" s="345">
        <v>25</v>
      </c>
      <c r="AD101" s="349">
        <v>6270</v>
      </c>
      <c r="AE101" s="349">
        <v>32</v>
      </c>
      <c r="AF101" s="349">
        <v>6</v>
      </c>
      <c r="AG101" s="349">
        <v>38</v>
      </c>
    </row>
    <row r="102" spans="1:33" x14ac:dyDescent="0.2">
      <c r="A102" s="344" t="s">
        <v>260</v>
      </c>
      <c r="B102" s="350" t="s">
        <v>261</v>
      </c>
      <c r="C102" s="346">
        <v>2174</v>
      </c>
      <c r="D102" s="346">
        <v>9</v>
      </c>
      <c r="E102" s="346">
        <v>179</v>
      </c>
      <c r="F102" s="346">
        <v>185</v>
      </c>
      <c r="G102" s="346">
        <v>196</v>
      </c>
      <c r="H102" s="346">
        <v>2743</v>
      </c>
      <c r="I102" s="345">
        <v>2547</v>
      </c>
      <c r="J102" s="345">
        <v>32</v>
      </c>
      <c r="K102" s="347">
        <v>95.11</v>
      </c>
      <c r="L102" s="347">
        <v>94.43</v>
      </c>
      <c r="M102" s="347">
        <v>4.76</v>
      </c>
      <c r="N102" s="347">
        <v>97.13</v>
      </c>
      <c r="O102" s="348">
        <v>1962</v>
      </c>
      <c r="P102" s="345">
        <v>87.15</v>
      </c>
      <c r="Q102" s="345">
        <v>81.53</v>
      </c>
      <c r="R102" s="345">
        <v>36.85</v>
      </c>
      <c r="S102" s="345">
        <v>122.01</v>
      </c>
      <c r="T102" s="345">
        <v>351</v>
      </c>
      <c r="U102" s="345">
        <v>107.2</v>
      </c>
      <c r="V102" s="345">
        <v>188</v>
      </c>
      <c r="W102" s="345">
        <v>0</v>
      </c>
      <c r="X102" s="345">
        <v>0</v>
      </c>
      <c r="Y102" s="345">
        <v>0</v>
      </c>
      <c r="Z102" s="345">
        <v>4</v>
      </c>
      <c r="AA102" s="345">
        <v>2</v>
      </c>
      <c r="AB102" s="345">
        <v>16</v>
      </c>
      <c r="AC102" s="345">
        <v>0</v>
      </c>
      <c r="AD102" s="349">
        <v>2136</v>
      </c>
      <c r="AE102" s="349">
        <v>33</v>
      </c>
      <c r="AF102" s="349">
        <v>3</v>
      </c>
      <c r="AG102" s="349">
        <v>36</v>
      </c>
    </row>
    <row r="103" spans="1:33" x14ac:dyDescent="0.2">
      <c r="A103" s="344" t="s">
        <v>262</v>
      </c>
      <c r="B103" s="350" t="s">
        <v>263</v>
      </c>
      <c r="C103" s="346">
        <v>4405</v>
      </c>
      <c r="D103" s="346">
        <v>5</v>
      </c>
      <c r="E103" s="346">
        <v>147</v>
      </c>
      <c r="F103" s="346">
        <v>952</v>
      </c>
      <c r="G103" s="346">
        <v>473</v>
      </c>
      <c r="H103" s="346">
        <v>5982</v>
      </c>
      <c r="I103" s="345">
        <v>5509</v>
      </c>
      <c r="J103" s="345">
        <v>1</v>
      </c>
      <c r="K103" s="347">
        <v>125.65</v>
      </c>
      <c r="L103" s="347">
        <v>127.89</v>
      </c>
      <c r="M103" s="347">
        <v>8.93</v>
      </c>
      <c r="N103" s="347">
        <v>130.13</v>
      </c>
      <c r="O103" s="348">
        <v>3763</v>
      </c>
      <c r="P103" s="345">
        <v>119.87</v>
      </c>
      <c r="Q103" s="345">
        <v>115.67</v>
      </c>
      <c r="R103" s="345">
        <v>21.68</v>
      </c>
      <c r="S103" s="345">
        <v>141.49</v>
      </c>
      <c r="T103" s="345">
        <v>817</v>
      </c>
      <c r="U103" s="345">
        <v>194.96</v>
      </c>
      <c r="V103" s="345">
        <v>546</v>
      </c>
      <c r="W103" s="345">
        <v>126.25</v>
      </c>
      <c r="X103" s="345">
        <v>17</v>
      </c>
      <c r="Y103" s="345">
        <v>0</v>
      </c>
      <c r="Z103" s="345">
        <v>6</v>
      </c>
      <c r="AA103" s="345">
        <v>5</v>
      </c>
      <c r="AB103" s="345">
        <v>20</v>
      </c>
      <c r="AC103" s="345">
        <v>9</v>
      </c>
      <c r="AD103" s="349">
        <v>4280</v>
      </c>
      <c r="AE103" s="349">
        <v>10</v>
      </c>
      <c r="AF103" s="349">
        <v>2</v>
      </c>
      <c r="AG103" s="349">
        <v>12</v>
      </c>
    </row>
    <row r="104" spans="1:33" x14ac:dyDescent="0.2">
      <c r="A104" s="344" t="s">
        <v>264</v>
      </c>
      <c r="B104" s="350" t="s">
        <v>265</v>
      </c>
      <c r="C104" s="346">
        <v>6981</v>
      </c>
      <c r="D104" s="346">
        <v>315</v>
      </c>
      <c r="E104" s="346">
        <v>578</v>
      </c>
      <c r="F104" s="346">
        <v>692</v>
      </c>
      <c r="G104" s="346">
        <v>1252</v>
      </c>
      <c r="H104" s="346">
        <v>9818</v>
      </c>
      <c r="I104" s="345">
        <v>8566</v>
      </c>
      <c r="J104" s="345">
        <v>3</v>
      </c>
      <c r="K104" s="347">
        <v>121</v>
      </c>
      <c r="L104" s="347">
        <v>120.02</v>
      </c>
      <c r="M104" s="347">
        <v>13.94</v>
      </c>
      <c r="N104" s="347">
        <v>132.29</v>
      </c>
      <c r="O104" s="348">
        <v>5861</v>
      </c>
      <c r="P104" s="345">
        <v>113.07</v>
      </c>
      <c r="Q104" s="345">
        <v>101.29</v>
      </c>
      <c r="R104" s="345">
        <v>64.81</v>
      </c>
      <c r="S104" s="345">
        <v>173.92</v>
      </c>
      <c r="T104" s="345">
        <v>1114</v>
      </c>
      <c r="U104" s="345">
        <v>193.17</v>
      </c>
      <c r="V104" s="345">
        <v>678</v>
      </c>
      <c r="W104" s="345">
        <v>0</v>
      </c>
      <c r="X104" s="345">
        <v>0</v>
      </c>
      <c r="Y104" s="345">
        <v>27</v>
      </c>
      <c r="Z104" s="345">
        <v>5</v>
      </c>
      <c r="AA104" s="345">
        <v>7</v>
      </c>
      <c r="AB104" s="345">
        <v>58</v>
      </c>
      <c r="AC104" s="345">
        <v>41</v>
      </c>
      <c r="AD104" s="349">
        <v>6530</v>
      </c>
      <c r="AE104" s="349">
        <v>49</v>
      </c>
      <c r="AF104" s="349">
        <v>30</v>
      </c>
      <c r="AG104" s="349">
        <v>79</v>
      </c>
    </row>
    <row r="105" spans="1:33" x14ac:dyDescent="0.2">
      <c r="A105" s="344" t="s">
        <v>266</v>
      </c>
      <c r="B105" s="350" t="s">
        <v>267</v>
      </c>
      <c r="C105" s="346">
        <v>1416</v>
      </c>
      <c r="D105" s="346">
        <v>0</v>
      </c>
      <c r="E105" s="346">
        <v>114</v>
      </c>
      <c r="F105" s="346">
        <v>275</v>
      </c>
      <c r="G105" s="346">
        <v>251</v>
      </c>
      <c r="H105" s="346">
        <v>2056</v>
      </c>
      <c r="I105" s="345">
        <v>1805</v>
      </c>
      <c r="J105" s="345">
        <v>2</v>
      </c>
      <c r="K105" s="347">
        <v>119.49</v>
      </c>
      <c r="L105" s="347">
        <v>116.96</v>
      </c>
      <c r="M105" s="347">
        <v>5.81</v>
      </c>
      <c r="N105" s="347">
        <v>124.57</v>
      </c>
      <c r="O105" s="348">
        <v>1222</v>
      </c>
      <c r="P105" s="345">
        <v>96.93</v>
      </c>
      <c r="Q105" s="345">
        <v>87.73</v>
      </c>
      <c r="R105" s="345">
        <v>61.17</v>
      </c>
      <c r="S105" s="345">
        <v>148.47</v>
      </c>
      <c r="T105" s="345">
        <v>286</v>
      </c>
      <c r="U105" s="345">
        <v>177.11</v>
      </c>
      <c r="V105" s="345">
        <v>177</v>
      </c>
      <c r="W105" s="345">
        <v>0</v>
      </c>
      <c r="X105" s="345">
        <v>0</v>
      </c>
      <c r="Y105" s="345">
        <v>6</v>
      </c>
      <c r="Z105" s="345">
        <v>0</v>
      </c>
      <c r="AA105" s="345">
        <v>0</v>
      </c>
      <c r="AB105" s="345">
        <v>23</v>
      </c>
      <c r="AC105" s="345">
        <v>7</v>
      </c>
      <c r="AD105" s="349">
        <v>1415</v>
      </c>
      <c r="AE105" s="349">
        <v>10</v>
      </c>
      <c r="AF105" s="349">
        <v>2</v>
      </c>
      <c r="AG105" s="349">
        <v>12</v>
      </c>
    </row>
    <row r="106" spans="1:33" x14ac:dyDescent="0.2">
      <c r="A106" s="344" t="s">
        <v>268</v>
      </c>
      <c r="B106" s="350" t="s">
        <v>269</v>
      </c>
      <c r="C106" s="346">
        <v>2130</v>
      </c>
      <c r="D106" s="346">
        <v>0</v>
      </c>
      <c r="E106" s="346">
        <v>170</v>
      </c>
      <c r="F106" s="346">
        <v>382</v>
      </c>
      <c r="G106" s="346">
        <v>350</v>
      </c>
      <c r="H106" s="346">
        <v>3032</v>
      </c>
      <c r="I106" s="345">
        <v>2682</v>
      </c>
      <c r="J106" s="345">
        <v>0</v>
      </c>
      <c r="K106" s="347">
        <v>121.38</v>
      </c>
      <c r="L106" s="347">
        <v>113.84</v>
      </c>
      <c r="M106" s="347">
        <v>9.6</v>
      </c>
      <c r="N106" s="347">
        <v>126.67</v>
      </c>
      <c r="O106" s="348">
        <v>1959</v>
      </c>
      <c r="P106" s="345">
        <v>111.56</v>
      </c>
      <c r="Q106" s="345">
        <v>96.53</v>
      </c>
      <c r="R106" s="345">
        <v>25.05</v>
      </c>
      <c r="S106" s="345">
        <v>136.16</v>
      </c>
      <c r="T106" s="345">
        <v>333</v>
      </c>
      <c r="U106" s="345">
        <v>195.02</v>
      </c>
      <c r="V106" s="345">
        <v>248</v>
      </c>
      <c r="W106" s="345">
        <v>156.25</v>
      </c>
      <c r="X106" s="345">
        <v>50</v>
      </c>
      <c r="Y106" s="345">
        <v>0</v>
      </c>
      <c r="Z106" s="345">
        <v>0</v>
      </c>
      <c r="AA106" s="345">
        <v>3</v>
      </c>
      <c r="AB106" s="345">
        <v>20</v>
      </c>
      <c r="AC106" s="345">
        <v>4</v>
      </c>
      <c r="AD106" s="349">
        <v>2130</v>
      </c>
      <c r="AE106" s="349">
        <v>6</v>
      </c>
      <c r="AF106" s="349">
        <v>2</v>
      </c>
      <c r="AG106" s="349">
        <v>8</v>
      </c>
    </row>
    <row r="107" spans="1:33" x14ac:dyDescent="0.2">
      <c r="A107" s="344" t="s">
        <v>270</v>
      </c>
      <c r="B107" s="350" t="s">
        <v>271</v>
      </c>
      <c r="C107" s="346">
        <v>4595</v>
      </c>
      <c r="D107" s="346">
        <v>0</v>
      </c>
      <c r="E107" s="346">
        <v>97</v>
      </c>
      <c r="F107" s="346">
        <v>1902</v>
      </c>
      <c r="G107" s="346">
        <v>173</v>
      </c>
      <c r="H107" s="346">
        <v>6767</v>
      </c>
      <c r="I107" s="345">
        <v>6594</v>
      </c>
      <c r="J107" s="345">
        <v>0</v>
      </c>
      <c r="K107" s="347">
        <v>87.64</v>
      </c>
      <c r="L107" s="347">
        <v>87.26</v>
      </c>
      <c r="M107" s="347">
        <v>3.68</v>
      </c>
      <c r="N107" s="347">
        <v>89.76</v>
      </c>
      <c r="O107" s="348">
        <v>4249</v>
      </c>
      <c r="P107" s="345">
        <v>80.819999999999993</v>
      </c>
      <c r="Q107" s="345">
        <v>79.09</v>
      </c>
      <c r="R107" s="345">
        <v>11.49</v>
      </c>
      <c r="S107" s="345">
        <v>91.59</v>
      </c>
      <c r="T107" s="345">
        <v>1996</v>
      </c>
      <c r="U107" s="345">
        <v>95.22</v>
      </c>
      <c r="V107" s="345">
        <v>307</v>
      </c>
      <c r="W107" s="345">
        <v>0</v>
      </c>
      <c r="X107" s="345">
        <v>0</v>
      </c>
      <c r="Y107" s="345">
        <v>0</v>
      </c>
      <c r="Z107" s="345">
        <v>20</v>
      </c>
      <c r="AA107" s="345">
        <v>3</v>
      </c>
      <c r="AB107" s="345">
        <v>3</v>
      </c>
      <c r="AC107" s="345">
        <v>6</v>
      </c>
      <c r="AD107" s="349">
        <v>4595</v>
      </c>
      <c r="AE107" s="349">
        <v>26</v>
      </c>
      <c r="AF107" s="349">
        <v>9</v>
      </c>
      <c r="AG107" s="349">
        <v>35</v>
      </c>
    </row>
    <row r="108" spans="1:33" x14ac:dyDescent="0.2">
      <c r="A108" s="344" t="s">
        <v>272</v>
      </c>
      <c r="B108" s="350" t="s">
        <v>273</v>
      </c>
      <c r="C108" s="346">
        <v>3647</v>
      </c>
      <c r="D108" s="346">
        <v>4</v>
      </c>
      <c r="E108" s="346">
        <v>542</v>
      </c>
      <c r="F108" s="346">
        <v>274</v>
      </c>
      <c r="G108" s="346">
        <v>466</v>
      </c>
      <c r="H108" s="346">
        <v>4933</v>
      </c>
      <c r="I108" s="345">
        <v>4467</v>
      </c>
      <c r="J108" s="345">
        <v>0</v>
      </c>
      <c r="K108" s="347">
        <v>87.26</v>
      </c>
      <c r="L108" s="347">
        <v>85.99</v>
      </c>
      <c r="M108" s="347">
        <v>6.44</v>
      </c>
      <c r="N108" s="347">
        <v>92.23</v>
      </c>
      <c r="O108" s="348">
        <v>3296</v>
      </c>
      <c r="P108" s="345">
        <v>92.38</v>
      </c>
      <c r="Q108" s="345">
        <v>68.02</v>
      </c>
      <c r="R108" s="345">
        <v>88.34</v>
      </c>
      <c r="S108" s="345">
        <v>174.85</v>
      </c>
      <c r="T108" s="345">
        <v>482</v>
      </c>
      <c r="U108" s="345">
        <v>123.1</v>
      </c>
      <c r="V108" s="345">
        <v>216</v>
      </c>
      <c r="W108" s="345">
        <v>120.11</v>
      </c>
      <c r="X108" s="345">
        <v>37</v>
      </c>
      <c r="Y108" s="345">
        <v>0</v>
      </c>
      <c r="Z108" s="345">
        <v>0</v>
      </c>
      <c r="AA108" s="345">
        <v>35</v>
      </c>
      <c r="AB108" s="345">
        <v>23</v>
      </c>
      <c r="AC108" s="345">
        <v>12</v>
      </c>
      <c r="AD108" s="349">
        <v>3519</v>
      </c>
      <c r="AE108" s="349">
        <v>29</v>
      </c>
      <c r="AF108" s="349">
        <v>43</v>
      </c>
      <c r="AG108" s="349">
        <v>72</v>
      </c>
    </row>
    <row r="109" spans="1:33" x14ac:dyDescent="0.2">
      <c r="A109" s="344" t="s">
        <v>274</v>
      </c>
      <c r="B109" s="350" t="s">
        <v>275</v>
      </c>
      <c r="C109" s="346">
        <v>1491</v>
      </c>
      <c r="D109" s="346">
        <v>2</v>
      </c>
      <c r="E109" s="346">
        <v>174</v>
      </c>
      <c r="F109" s="346">
        <v>182</v>
      </c>
      <c r="G109" s="346">
        <v>245</v>
      </c>
      <c r="H109" s="346">
        <v>2094</v>
      </c>
      <c r="I109" s="345">
        <v>1849</v>
      </c>
      <c r="J109" s="345">
        <v>4</v>
      </c>
      <c r="K109" s="347">
        <v>102.54</v>
      </c>
      <c r="L109" s="347">
        <v>102.33</v>
      </c>
      <c r="M109" s="347">
        <v>8.18</v>
      </c>
      <c r="N109" s="347">
        <v>108.49</v>
      </c>
      <c r="O109" s="348">
        <v>1061</v>
      </c>
      <c r="P109" s="345">
        <v>98.51</v>
      </c>
      <c r="Q109" s="345">
        <v>88.49</v>
      </c>
      <c r="R109" s="345">
        <v>45.75</v>
      </c>
      <c r="S109" s="345">
        <v>139.54</v>
      </c>
      <c r="T109" s="345">
        <v>242</v>
      </c>
      <c r="U109" s="345">
        <v>143.93</v>
      </c>
      <c r="V109" s="345">
        <v>318</v>
      </c>
      <c r="W109" s="345">
        <v>0</v>
      </c>
      <c r="X109" s="345">
        <v>0</v>
      </c>
      <c r="Y109" s="345">
        <v>14</v>
      </c>
      <c r="Z109" s="345">
        <v>0</v>
      </c>
      <c r="AA109" s="345">
        <v>0</v>
      </c>
      <c r="AB109" s="345">
        <v>3</v>
      </c>
      <c r="AC109" s="345">
        <v>8</v>
      </c>
      <c r="AD109" s="349">
        <v>1479</v>
      </c>
      <c r="AE109" s="349">
        <v>5</v>
      </c>
      <c r="AF109" s="349">
        <v>4</v>
      </c>
      <c r="AG109" s="349">
        <v>9</v>
      </c>
    </row>
    <row r="110" spans="1:33" x14ac:dyDescent="0.2">
      <c r="A110" s="344" t="s">
        <v>276</v>
      </c>
      <c r="B110" s="350" t="s">
        <v>277</v>
      </c>
      <c r="C110" s="346">
        <v>4799</v>
      </c>
      <c r="D110" s="346">
        <v>0</v>
      </c>
      <c r="E110" s="346">
        <v>202</v>
      </c>
      <c r="F110" s="346">
        <v>680</v>
      </c>
      <c r="G110" s="346">
        <v>162</v>
      </c>
      <c r="H110" s="346">
        <v>5843</v>
      </c>
      <c r="I110" s="345">
        <v>5681</v>
      </c>
      <c r="J110" s="345">
        <v>9</v>
      </c>
      <c r="K110" s="347">
        <v>89.25</v>
      </c>
      <c r="L110" s="347">
        <v>85.97</v>
      </c>
      <c r="M110" s="347">
        <v>4.08</v>
      </c>
      <c r="N110" s="347">
        <v>90.62</v>
      </c>
      <c r="O110" s="348">
        <v>4416</v>
      </c>
      <c r="P110" s="345">
        <v>91.44</v>
      </c>
      <c r="Q110" s="345">
        <v>84.12</v>
      </c>
      <c r="R110" s="345">
        <v>41.72</v>
      </c>
      <c r="S110" s="345">
        <v>132.26</v>
      </c>
      <c r="T110" s="345">
        <v>840</v>
      </c>
      <c r="U110" s="345">
        <v>107.85</v>
      </c>
      <c r="V110" s="345">
        <v>359</v>
      </c>
      <c r="W110" s="345">
        <v>0</v>
      </c>
      <c r="X110" s="345">
        <v>0</v>
      </c>
      <c r="Y110" s="345">
        <v>51</v>
      </c>
      <c r="Z110" s="345">
        <v>14</v>
      </c>
      <c r="AA110" s="345">
        <v>0</v>
      </c>
      <c r="AB110" s="345">
        <v>5</v>
      </c>
      <c r="AC110" s="345">
        <v>2</v>
      </c>
      <c r="AD110" s="349">
        <v>4799</v>
      </c>
      <c r="AE110" s="349">
        <v>27</v>
      </c>
      <c r="AF110" s="349">
        <v>3</v>
      </c>
      <c r="AG110" s="349">
        <v>30</v>
      </c>
    </row>
    <row r="111" spans="1:33" x14ac:dyDescent="0.2">
      <c r="A111" s="344" t="s">
        <v>278</v>
      </c>
      <c r="B111" s="350" t="s">
        <v>279</v>
      </c>
      <c r="C111" s="346">
        <v>1544</v>
      </c>
      <c r="D111" s="346">
        <v>2</v>
      </c>
      <c r="E111" s="346">
        <v>140</v>
      </c>
      <c r="F111" s="346">
        <v>264</v>
      </c>
      <c r="G111" s="346">
        <v>289</v>
      </c>
      <c r="H111" s="346">
        <v>2239</v>
      </c>
      <c r="I111" s="345">
        <v>1950</v>
      </c>
      <c r="J111" s="345">
        <v>2</v>
      </c>
      <c r="K111" s="347">
        <v>94.1</v>
      </c>
      <c r="L111" s="347">
        <v>92.76</v>
      </c>
      <c r="M111" s="347">
        <v>7.59</v>
      </c>
      <c r="N111" s="347">
        <v>99.72</v>
      </c>
      <c r="O111" s="348">
        <v>1185</v>
      </c>
      <c r="P111" s="345">
        <v>98.85</v>
      </c>
      <c r="Q111" s="345">
        <v>82.9</v>
      </c>
      <c r="R111" s="345">
        <v>51.58</v>
      </c>
      <c r="S111" s="345">
        <v>148.62</v>
      </c>
      <c r="T111" s="345">
        <v>370</v>
      </c>
      <c r="U111" s="345">
        <v>138.62</v>
      </c>
      <c r="V111" s="345">
        <v>176</v>
      </c>
      <c r="W111" s="345">
        <v>74.06</v>
      </c>
      <c r="X111" s="345">
        <v>7</v>
      </c>
      <c r="Y111" s="345">
        <v>0</v>
      </c>
      <c r="Z111" s="345">
        <v>8</v>
      </c>
      <c r="AA111" s="345">
        <v>26</v>
      </c>
      <c r="AB111" s="345">
        <v>26</v>
      </c>
      <c r="AC111" s="345">
        <v>3</v>
      </c>
      <c r="AD111" s="349">
        <v>1385</v>
      </c>
      <c r="AE111" s="349">
        <v>1</v>
      </c>
      <c r="AF111" s="349">
        <v>49</v>
      </c>
      <c r="AG111" s="349">
        <v>50</v>
      </c>
    </row>
    <row r="112" spans="1:33" x14ac:dyDescent="0.2">
      <c r="A112" s="344" t="s">
        <v>280</v>
      </c>
      <c r="B112" s="350" t="s">
        <v>281</v>
      </c>
      <c r="C112" s="346">
        <v>4188</v>
      </c>
      <c r="D112" s="346">
        <v>0</v>
      </c>
      <c r="E112" s="346">
        <v>108</v>
      </c>
      <c r="F112" s="346">
        <v>785</v>
      </c>
      <c r="G112" s="346">
        <v>206</v>
      </c>
      <c r="H112" s="346">
        <v>5287</v>
      </c>
      <c r="I112" s="345">
        <v>5081</v>
      </c>
      <c r="J112" s="345">
        <v>6</v>
      </c>
      <c r="K112" s="347">
        <v>93.39</v>
      </c>
      <c r="L112" s="347">
        <v>90.92</v>
      </c>
      <c r="M112" s="347">
        <v>2</v>
      </c>
      <c r="N112" s="347">
        <v>95.13</v>
      </c>
      <c r="O112" s="348">
        <v>3339</v>
      </c>
      <c r="P112" s="345">
        <v>90.47</v>
      </c>
      <c r="Q112" s="345">
        <v>87.27</v>
      </c>
      <c r="R112" s="345">
        <v>22.93</v>
      </c>
      <c r="S112" s="345">
        <v>112.59</v>
      </c>
      <c r="T112" s="345">
        <v>768</v>
      </c>
      <c r="U112" s="345">
        <v>109.16</v>
      </c>
      <c r="V112" s="345">
        <v>416</v>
      </c>
      <c r="W112" s="345">
        <v>214.95</v>
      </c>
      <c r="X112" s="345">
        <v>67</v>
      </c>
      <c r="Y112" s="345">
        <v>0</v>
      </c>
      <c r="Z112" s="345">
        <v>12</v>
      </c>
      <c r="AA112" s="345">
        <v>7</v>
      </c>
      <c r="AB112" s="345">
        <v>9</v>
      </c>
      <c r="AC112" s="345">
        <v>4</v>
      </c>
      <c r="AD112" s="349">
        <v>3753</v>
      </c>
      <c r="AE112" s="349">
        <v>5</v>
      </c>
      <c r="AF112" s="349">
        <v>5</v>
      </c>
      <c r="AG112" s="349">
        <v>10</v>
      </c>
    </row>
    <row r="113" spans="1:33" x14ac:dyDescent="0.2">
      <c r="A113" s="344" t="s">
        <v>282</v>
      </c>
      <c r="B113" s="350" t="s">
        <v>283</v>
      </c>
      <c r="C113" s="346">
        <v>2189</v>
      </c>
      <c r="D113" s="346">
        <v>0</v>
      </c>
      <c r="E113" s="346">
        <v>142</v>
      </c>
      <c r="F113" s="346">
        <v>528</v>
      </c>
      <c r="G113" s="346">
        <v>142</v>
      </c>
      <c r="H113" s="346">
        <v>3001</v>
      </c>
      <c r="I113" s="345">
        <v>2859</v>
      </c>
      <c r="J113" s="345">
        <v>0</v>
      </c>
      <c r="K113" s="347">
        <v>86.41</v>
      </c>
      <c r="L113" s="347">
        <v>85.84</v>
      </c>
      <c r="M113" s="347">
        <v>3.25</v>
      </c>
      <c r="N113" s="347">
        <v>89.4</v>
      </c>
      <c r="O113" s="348">
        <v>1749</v>
      </c>
      <c r="P113" s="345">
        <v>90.92</v>
      </c>
      <c r="Q113" s="345">
        <v>78.22</v>
      </c>
      <c r="R113" s="345">
        <v>21.85</v>
      </c>
      <c r="S113" s="345">
        <v>112.7</v>
      </c>
      <c r="T113" s="345">
        <v>626</v>
      </c>
      <c r="U113" s="345">
        <v>107.14</v>
      </c>
      <c r="V113" s="345">
        <v>416</v>
      </c>
      <c r="W113" s="345">
        <v>0</v>
      </c>
      <c r="X113" s="345">
        <v>0</v>
      </c>
      <c r="Y113" s="345">
        <v>0</v>
      </c>
      <c r="Z113" s="345">
        <v>4</v>
      </c>
      <c r="AA113" s="345">
        <v>0</v>
      </c>
      <c r="AB113" s="345">
        <v>24</v>
      </c>
      <c r="AC113" s="345">
        <v>3</v>
      </c>
      <c r="AD113" s="349">
        <v>2173</v>
      </c>
      <c r="AE113" s="349">
        <v>15</v>
      </c>
      <c r="AF113" s="349">
        <v>1</v>
      </c>
      <c r="AG113" s="349">
        <v>16</v>
      </c>
    </row>
    <row r="114" spans="1:33" x14ac:dyDescent="0.2">
      <c r="A114" s="344" t="s">
        <v>284</v>
      </c>
      <c r="B114" s="350" t="s">
        <v>285</v>
      </c>
      <c r="C114" s="346">
        <v>3978</v>
      </c>
      <c r="D114" s="346">
        <v>27</v>
      </c>
      <c r="E114" s="346">
        <v>352</v>
      </c>
      <c r="F114" s="346">
        <v>930</v>
      </c>
      <c r="G114" s="346">
        <v>193</v>
      </c>
      <c r="H114" s="346">
        <v>5480</v>
      </c>
      <c r="I114" s="345">
        <v>5287</v>
      </c>
      <c r="J114" s="345">
        <v>0</v>
      </c>
      <c r="K114" s="347">
        <v>78.47</v>
      </c>
      <c r="L114" s="347">
        <v>74.98</v>
      </c>
      <c r="M114" s="347">
        <v>7.81</v>
      </c>
      <c r="N114" s="347">
        <v>83.16</v>
      </c>
      <c r="O114" s="348">
        <v>2939</v>
      </c>
      <c r="P114" s="345">
        <v>88.85</v>
      </c>
      <c r="Q114" s="345">
        <v>78.459999999999994</v>
      </c>
      <c r="R114" s="345">
        <v>46.4</v>
      </c>
      <c r="S114" s="345">
        <v>134.63999999999999</v>
      </c>
      <c r="T114" s="345">
        <v>1070</v>
      </c>
      <c r="U114" s="345">
        <v>96.01</v>
      </c>
      <c r="V114" s="345">
        <v>1052</v>
      </c>
      <c r="W114" s="345">
        <v>145.75</v>
      </c>
      <c r="X114" s="345">
        <v>193</v>
      </c>
      <c r="Y114" s="345">
        <v>30</v>
      </c>
      <c r="Z114" s="345">
        <v>4</v>
      </c>
      <c r="AA114" s="345">
        <v>8</v>
      </c>
      <c r="AB114" s="345">
        <v>12</v>
      </c>
      <c r="AC114" s="345">
        <v>4</v>
      </c>
      <c r="AD114" s="349">
        <v>3726</v>
      </c>
      <c r="AE114" s="349">
        <v>64</v>
      </c>
      <c r="AF114" s="349">
        <v>67</v>
      </c>
      <c r="AG114" s="349">
        <v>131</v>
      </c>
    </row>
    <row r="115" spans="1:33" x14ac:dyDescent="0.2">
      <c r="A115" s="344" t="s">
        <v>286</v>
      </c>
      <c r="B115" s="350" t="s">
        <v>287</v>
      </c>
      <c r="C115" s="346">
        <v>3775</v>
      </c>
      <c r="D115" s="346">
        <v>0</v>
      </c>
      <c r="E115" s="346">
        <v>191</v>
      </c>
      <c r="F115" s="346">
        <v>1182</v>
      </c>
      <c r="G115" s="346">
        <v>225</v>
      </c>
      <c r="H115" s="346">
        <v>5373</v>
      </c>
      <c r="I115" s="345">
        <v>5148</v>
      </c>
      <c r="J115" s="345">
        <v>0</v>
      </c>
      <c r="K115" s="347">
        <v>82.29</v>
      </c>
      <c r="L115" s="347">
        <v>80.48</v>
      </c>
      <c r="M115" s="347">
        <v>4.68</v>
      </c>
      <c r="N115" s="347">
        <v>84.08</v>
      </c>
      <c r="O115" s="348">
        <v>3529</v>
      </c>
      <c r="P115" s="345">
        <v>84.87</v>
      </c>
      <c r="Q115" s="345">
        <v>72.61</v>
      </c>
      <c r="R115" s="345">
        <v>28.69</v>
      </c>
      <c r="S115" s="345">
        <v>113.31</v>
      </c>
      <c r="T115" s="345">
        <v>1353</v>
      </c>
      <c r="U115" s="345">
        <v>105.72</v>
      </c>
      <c r="V115" s="345">
        <v>223</v>
      </c>
      <c r="W115" s="345">
        <v>172.65</v>
      </c>
      <c r="X115" s="345">
        <v>17</v>
      </c>
      <c r="Y115" s="345">
        <v>0</v>
      </c>
      <c r="Z115" s="345">
        <v>14</v>
      </c>
      <c r="AA115" s="345">
        <v>4</v>
      </c>
      <c r="AB115" s="345">
        <v>22</v>
      </c>
      <c r="AC115" s="345">
        <v>5</v>
      </c>
      <c r="AD115" s="349">
        <v>3775</v>
      </c>
      <c r="AE115" s="349">
        <v>9</v>
      </c>
      <c r="AF115" s="349">
        <v>1</v>
      </c>
      <c r="AG115" s="349">
        <v>10</v>
      </c>
    </row>
    <row r="116" spans="1:33" x14ac:dyDescent="0.2">
      <c r="A116" s="344" t="s">
        <v>288</v>
      </c>
      <c r="B116" s="350" t="s">
        <v>289</v>
      </c>
      <c r="C116" s="346">
        <v>6640</v>
      </c>
      <c r="D116" s="346">
        <v>95</v>
      </c>
      <c r="E116" s="346">
        <v>567</v>
      </c>
      <c r="F116" s="346">
        <v>950</v>
      </c>
      <c r="G116" s="346">
        <v>495</v>
      </c>
      <c r="H116" s="346">
        <v>8747</v>
      </c>
      <c r="I116" s="345">
        <v>8252</v>
      </c>
      <c r="J116" s="345">
        <v>111</v>
      </c>
      <c r="K116" s="347">
        <v>93.06</v>
      </c>
      <c r="L116" s="347">
        <v>84.48</v>
      </c>
      <c r="M116" s="347">
        <v>7.57</v>
      </c>
      <c r="N116" s="347">
        <v>93.2</v>
      </c>
      <c r="O116" s="348">
        <v>6369</v>
      </c>
      <c r="P116" s="345">
        <v>97.4</v>
      </c>
      <c r="Q116" s="345">
        <v>83.65</v>
      </c>
      <c r="R116" s="345">
        <v>49.16</v>
      </c>
      <c r="S116" s="345">
        <v>145.22</v>
      </c>
      <c r="T116" s="345">
        <v>1170</v>
      </c>
      <c r="U116" s="345">
        <v>113.32</v>
      </c>
      <c r="V116" s="345">
        <v>288</v>
      </c>
      <c r="W116" s="345">
        <v>187.86</v>
      </c>
      <c r="X116" s="345">
        <v>31</v>
      </c>
      <c r="Y116" s="345">
        <v>0</v>
      </c>
      <c r="Z116" s="345">
        <v>34</v>
      </c>
      <c r="AA116" s="345">
        <v>0</v>
      </c>
      <c r="AB116" s="345">
        <v>19</v>
      </c>
      <c r="AC116" s="345">
        <v>9</v>
      </c>
      <c r="AD116" s="349">
        <v>6581</v>
      </c>
      <c r="AE116" s="349">
        <v>36</v>
      </c>
      <c r="AF116" s="349">
        <v>34</v>
      </c>
      <c r="AG116" s="349">
        <v>70</v>
      </c>
    </row>
    <row r="117" spans="1:33" x14ac:dyDescent="0.2">
      <c r="A117" s="344" t="s">
        <v>290</v>
      </c>
      <c r="B117" s="350" t="s">
        <v>291</v>
      </c>
      <c r="C117" s="346">
        <v>2477</v>
      </c>
      <c r="D117" s="346">
        <v>10</v>
      </c>
      <c r="E117" s="346">
        <v>71</v>
      </c>
      <c r="F117" s="346">
        <v>477</v>
      </c>
      <c r="G117" s="346">
        <v>375</v>
      </c>
      <c r="H117" s="346">
        <v>3410</v>
      </c>
      <c r="I117" s="345">
        <v>3035</v>
      </c>
      <c r="J117" s="345">
        <v>1</v>
      </c>
      <c r="K117" s="347">
        <v>97.67</v>
      </c>
      <c r="L117" s="347">
        <v>93</v>
      </c>
      <c r="M117" s="347">
        <v>9.6</v>
      </c>
      <c r="N117" s="347">
        <v>106</v>
      </c>
      <c r="O117" s="348">
        <v>2019</v>
      </c>
      <c r="P117" s="345">
        <v>97.6</v>
      </c>
      <c r="Q117" s="345">
        <v>89.57</v>
      </c>
      <c r="R117" s="345">
        <v>57.91</v>
      </c>
      <c r="S117" s="345">
        <v>154.25</v>
      </c>
      <c r="T117" s="345">
        <v>277</v>
      </c>
      <c r="U117" s="345">
        <v>126.11</v>
      </c>
      <c r="V117" s="345">
        <v>299</v>
      </c>
      <c r="W117" s="345">
        <v>126.26</v>
      </c>
      <c r="X117" s="345">
        <v>27</v>
      </c>
      <c r="Y117" s="345">
        <v>0</v>
      </c>
      <c r="Z117" s="345">
        <v>0</v>
      </c>
      <c r="AA117" s="345">
        <v>1</v>
      </c>
      <c r="AB117" s="345">
        <v>1</v>
      </c>
      <c r="AC117" s="345">
        <v>13</v>
      </c>
      <c r="AD117" s="349">
        <v>2441</v>
      </c>
      <c r="AE117" s="349">
        <v>9</v>
      </c>
      <c r="AF117" s="349">
        <v>1</v>
      </c>
      <c r="AG117" s="349">
        <v>10</v>
      </c>
    </row>
    <row r="118" spans="1:33" x14ac:dyDescent="0.2">
      <c r="A118" s="344" t="s">
        <v>292</v>
      </c>
      <c r="B118" s="350" t="s">
        <v>293</v>
      </c>
      <c r="C118" s="346">
        <v>1516</v>
      </c>
      <c r="D118" s="346">
        <v>0</v>
      </c>
      <c r="E118" s="346">
        <v>76</v>
      </c>
      <c r="F118" s="346">
        <v>179</v>
      </c>
      <c r="G118" s="346">
        <v>336</v>
      </c>
      <c r="H118" s="346">
        <v>2107</v>
      </c>
      <c r="I118" s="345">
        <v>1771</v>
      </c>
      <c r="J118" s="345">
        <v>0</v>
      </c>
      <c r="K118" s="347">
        <v>107.03</v>
      </c>
      <c r="L118" s="347">
        <v>101.96</v>
      </c>
      <c r="M118" s="347">
        <v>6.91</v>
      </c>
      <c r="N118" s="347">
        <v>111.13</v>
      </c>
      <c r="O118" s="348">
        <v>755</v>
      </c>
      <c r="P118" s="345">
        <v>94.85</v>
      </c>
      <c r="Q118" s="345">
        <v>91.69</v>
      </c>
      <c r="R118" s="345">
        <v>64.239999999999995</v>
      </c>
      <c r="S118" s="345">
        <v>157.19999999999999</v>
      </c>
      <c r="T118" s="345">
        <v>68</v>
      </c>
      <c r="U118" s="345">
        <v>141.74</v>
      </c>
      <c r="V118" s="345">
        <v>363</v>
      </c>
      <c r="W118" s="345">
        <v>207.82</v>
      </c>
      <c r="X118" s="345">
        <v>57</v>
      </c>
      <c r="Y118" s="345">
        <v>0</v>
      </c>
      <c r="Z118" s="345">
        <v>3</v>
      </c>
      <c r="AA118" s="345">
        <v>1</v>
      </c>
      <c r="AB118" s="345">
        <v>48</v>
      </c>
      <c r="AC118" s="345">
        <v>12</v>
      </c>
      <c r="AD118" s="349">
        <v>1129</v>
      </c>
      <c r="AE118" s="349">
        <v>8</v>
      </c>
      <c r="AF118" s="349">
        <v>2</v>
      </c>
      <c r="AG118" s="349">
        <v>10</v>
      </c>
    </row>
    <row r="119" spans="1:33" x14ac:dyDescent="0.2">
      <c r="A119" s="344" t="s">
        <v>294</v>
      </c>
      <c r="B119" s="350" t="s">
        <v>295</v>
      </c>
      <c r="C119" s="346">
        <v>1438</v>
      </c>
      <c r="D119" s="346">
        <v>0</v>
      </c>
      <c r="E119" s="346">
        <v>248</v>
      </c>
      <c r="F119" s="346">
        <v>141</v>
      </c>
      <c r="G119" s="346">
        <v>87</v>
      </c>
      <c r="H119" s="346">
        <v>1914</v>
      </c>
      <c r="I119" s="345">
        <v>1827</v>
      </c>
      <c r="J119" s="345">
        <v>2</v>
      </c>
      <c r="K119" s="347">
        <v>86.67</v>
      </c>
      <c r="L119" s="347">
        <v>86.43</v>
      </c>
      <c r="M119" s="347">
        <v>5.38</v>
      </c>
      <c r="N119" s="347">
        <v>90.12</v>
      </c>
      <c r="O119" s="348">
        <v>1234</v>
      </c>
      <c r="P119" s="345">
        <v>93.71</v>
      </c>
      <c r="Q119" s="345">
        <v>82.41</v>
      </c>
      <c r="R119" s="345">
        <v>71.77</v>
      </c>
      <c r="S119" s="345">
        <v>165.25</v>
      </c>
      <c r="T119" s="345">
        <v>297</v>
      </c>
      <c r="U119" s="345">
        <v>98.05</v>
      </c>
      <c r="V119" s="345">
        <v>169</v>
      </c>
      <c r="W119" s="345">
        <v>0</v>
      </c>
      <c r="X119" s="345">
        <v>0</v>
      </c>
      <c r="Y119" s="345">
        <v>4</v>
      </c>
      <c r="Z119" s="345">
        <v>1</v>
      </c>
      <c r="AA119" s="345">
        <v>5</v>
      </c>
      <c r="AB119" s="345">
        <v>0</v>
      </c>
      <c r="AC119" s="345">
        <v>3</v>
      </c>
      <c r="AD119" s="349">
        <v>1438</v>
      </c>
      <c r="AE119" s="349">
        <v>12</v>
      </c>
      <c r="AF119" s="349">
        <v>22</v>
      </c>
      <c r="AG119" s="349">
        <v>34</v>
      </c>
    </row>
    <row r="120" spans="1:33" x14ac:dyDescent="0.2">
      <c r="A120" s="344" t="s">
        <v>296</v>
      </c>
      <c r="B120" s="350" t="s">
        <v>297</v>
      </c>
      <c r="C120" s="346">
        <v>13036</v>
      </c>
      <c r="D120" s="346">
        <v>154</v>
      </c>
      <c r="E120" s="346">
        <v>450</v>
      </c>
      <c r="F120" s="346">
        <v>990</v>
      </c>
      <c r="G120" s="346">
        <v>2485</v>
      </c>
      <c r="H120" s="346">
        <v>17115</v>
      </c>
      <c r="I120" s="345">
        <v>14630</v>
      </c>
      <c r="J120" s="345">
        <v>77</v>
      </c>
      <c r="K120" s="347">
        <v>118.43</v>
      </c>
      <c r="L120" s="347">
        <v>118.26</v>
      </c>
      <c r="M120" s="347">
        <v>14.78</v>
      </c>
      <c r="N120" s="347">
        <v>130.07</v>
      </c>
      <c r="O120" s="348">
        <v>10039</v>
      </c>
      <c r="P120" s="345">
        <v>114.03</v>
      </c>
      <c r="Q120" s="345">
        <v>107.47</v>
      </c>
      <c r="R120" s="345">
        <v>55.02</v>
      </c>
      <c r="S120" s="345">
        <v>158.71</v>
      </c>
      <c r="T120" s="345">
        <v>1219</v>
      </c>
      <c r="U120" s="345">
        <v>172.21</v>
      </c>
      <c r="V120" s="345">
        <v>1225</v>
      </c>
      <c r="W120" s="345">
        <v>0</v>
      </c>
      <c r="X120" s="345">
        <v>0</v>
      </c>
      <c r="Y120" s="345">
        <v>0</v>
      </c>
      <c r="Z120" s="345">
        <v>39</v>
      </c>
      <c r="AA120" s="345">
        <v>18</v>
      </c>
      <c r="AB120" s="345">
        <v>119</v>
      </c>
      <c r="AC120" s="345">
        <v>77</v>
      </c>
      <c r="AD120" s="349">
        <v>11692</v>
      </c>
      <c r="AE120" s="349">
        <v>99</v>
      </c>
      <c r="AF120" s="349">
        <v>87</v>
      </c>
      <c r="AG120" s="349">
        <v>186</v>
      </c>
    </row>
    <row r="121" spans="1:33" x14ac:dyDescent="0.2">
      <c r="A121" s="344" t="s">
        <v>298</v>
      </c>
      <c r="B121" s="350" t="s">
        <v>299</v>
      </c>
      <c r="C121" s="346">
        <v>1751</v>
      </c>
      <c r="D121" s="346">
        <v>11</v>
      </c>
      <c r="E121" s="346">
        <v>274</v>
      </c>
      <c r="F121" s="346">
        <v>226</v>
      </c>
      <c r="G121" s="346">
        <v>413</v>
      </c>
      <c r="H121" s="346">
        <v>2675</v>
      </c>
      <c r="I121" s="345">
        <v>2262</v>
      </c>
      <c r="J121" s="345">
        <v>0</v>
      </c>
      <c r="K121" s="347">
        <v>124.71</v>
      </c>
      <c r="L121" s="347">
        <v>122.42</v>
      </c>
      <c r="M121" s="347">
        <v>7.63</v>
      </c>
      <c r="N121" s="347">
        <v>130.97999999999999</v>
      </c>
      <c r="O121" s="348">
        <v>1335</v>
      </c>
      <c r="P121" s="345">
        <v>104.3</v>
      </c>
      <c r="Q121" s="345">
        <v>88.95</v>
      </c>
      <c r="R121" s="345">
        <v>79.180000000000007</v>
      </c>
      <c r="S121" s="345">
        <v>179.42</v>
      </c>
      <c r="T121" s="345">
        <v>234</v>
      </c>
      <c r="U121" s="345">
        <v>166</v>
      </c>
      <c r="V121" s="345">
        <v>284</v>
      </c>
      <c r="W121" s="345">
        <v>234.99</v>
      </c>
      <c r="X121" s="345">
        <v>39</v>
      </c>
      <c r="Y121" s="345">
        <v>0</v>
      </c>
      <c r="Z121" s="345">
        <v>0</v>
      </c>
      <c r="AA121" s="345">
        <v>2</v>
      </c>
      <c r="AB121" s="345">
        <v>25</v>
      </c>
      <c r="AC121" s="345">
        <v>5</v>
      </c>
      <c r="AD121" s="349">
        <v>1601</v>
      </c>
      <c r="AE121" s="349">
        <v>12</v>
      </c>
      <c r="AF121" s="349">
        <v>1</v>
      </c>
      <c r="AG121" s="349">
        <v>13</v>
      </c>
    </row>
    <row r="122" spans="1:33" x14ac:dyDescent="0.2">
      <c r="A122" s="344" t="s">
        <v>300</v>
      </c>
      <c r="B122" s="350" t="s">
        <v>301</v>
      </c>
      <c r="C122" s="346">
        <v>20112</v>
      </c>
      <c r="D122" s="346">
        <v>559</v>
      </c>
      <c r="E122" s="346">
        <v>1428</v>
      </c>
      <c r="F122" s="346">
        <v>1640</v>
      </c>
      <c r="G122" s="346">
        <v>2509</v>
      </c>
      <c r="H122" s="346">
        <v>26248</v>
      </c>
      <c r="I122" s="345">
        <v>23739</v>
      </c>
      <c r="J122" s="345">
        <v>56</v>
      </c>
      <c r="K122" s="347">
        <v>119.13</v>
      </c>
      <c r="L122" s="347">
        <v>124.79</v>
      </c>
      <c r="M122" s="347">
        <v>14.13</v>
      </c>
      <c r="N122" s="347">
        <v>129.81</v>
      </c>
      <c r="O122" s="348">
        <v>17115</v>
      </c>
      <c r="P122" s="345">
        <v>111.22</v>
      </c>
      <c r="Q122" s="345">
        <v>108.51</v>
      </c>
      <c r="R122" s="345">
        <v>51.46</v>
      </c>
      <c r="S122" s="345">
        <v>158.34</v>
      </c>
      <c r="T122" s="345">
        <v>2705</v>
      </c>
      <c r="U122" s="345">
        <v>207.01</v>
      </c>
      <c r="V122" s="345">
        <v>1090</v>
      </c>
      <c r="W122" s="345">
        <v>250.22</v>
      </c>
      <c r="X122" s="345">
        <v>18</v>
      </c>
      <c r="Y122" s="345">
        <v>20</v>
      </c>
      <c r="Z122" s="345">
        <v>51</v>
      </c>
      <c r="AA122" s="345">
        <v>71</v>
      </c>
      <c r="AB122" s="345">
        <v>22</v>
      </c>
      <c r="AC122" s="345">
        <v>63</v>
      </c>
      <c r="AD122" s="349">
        <v>18396</v>
      </c>
      <c r="AE122" s="349">
        <v>73</v>
      </c>
      <c r="AF122" s="349">
        <v>112</v>
      </c>
      <c r="AG122" s="349">
        <v>185</v>
      </c>
    </row>
    <row r="123" spans="1:33" x14ac:dyDescent="0.2">
      <c r="A123" s="344" t="s">
        <v>302</v>
      </c>
      <c r="B123" s="350" t="s">
        <v>303</v>
      </c>
      <c r="C123" s="346">
        <v>13381</v>
      </c>
      <c r="D123" s="346">
        <v>2</v>
      </c>
      <c r="E123" s="346">
        <v>486</v>
      </c>
      <c r="F123" s="346">
        <v>511</v>
      </c>
      <c r="G123" s="346">
        <v>313</v>
      </c>
      <c r="H123" s="346">
        <v>14693</v>
      </c>
      <c r="I123" s="345">
        <v>14380</v>
      </c>
      <c r="J123" s="345">
        <v>22</v>
      </c>
      <c r="K123" s="347">
        <v>82.81</v>
      </c>
      <c r="L123" s="347">
        <v>82.38</v>
      </c>
      <c r="M123" s="347">
        <v>3.84</v>
      </c>
      <c r="N123" s="347">
        <v>86.51</v>
      </c>
      <c r="O123" s="348">
        <v>11356</v>
      </c>
      <c r="P123" s="345">
        <v>87.12</v>
      </c>
      <c r="Q123" s="345">
        <v>72.91</v>
      </c>
      <c r="R123" s="345">
        <v>30.87</v>
      </c>
      <c r="S123" s="345">
        <v>117.39</v>
      </c>
      <c r="T123" s="345">
        <v>870</v>
      </c>
      <c r="U123" s="345">
        <v>98.58</v>
      </c>
      <c r="V123" s="345">
        <v>2003</v>
      </c>
      <c r="W123" s="345">
        <v>146.47</v>
      </c>
      <c r="X123" s="345">
        <v>82</v>
      </c>
      <c r="Y123" s="345">
        <v>6</v>
      </c>
      <c r="Z123" s="345">
        <v>68</v>
      </c>
      <c r="AA123" s="345">
        <v>4</v>
      </c>
      <c r="AB123" s="345">
        <v>10</v>
      </c>
      <c r="AC123" s="345">
        <v>9</v>
      </c>
      <c r="AD123" s="349">
        <v>13381</v>
      </c>
      <c r="AE123" s="349">
        <v>56</v>
      </c>
      <c r="AF123" s="349">
        <v>41</v>
      </c>
      <c r="AG123" s="349">
        <v>97</v>
      </c>
    </row>
    <row r="124" spans="1:33" x14ac:dyDescent="0.2">
      <c r="A124" s="344" t="s">
        <v>304</v>
      </c>
      <c r="B124" s="350" t="s">
        <v>305</v>
      </c>
      <c r="C124" s="346">
        <v>5039</v>
      </c>
      <c r="D124" s="346">
        <v>5</v>
      </c>
      <c r="E124" s="346">
        <v>408</v>
      </c>
      <c r="F124" s="346">
        <v>78</v>
      </c>
      <c r="G124" s="346">
        <v>168</v>
      </c>
      <c r="H124" s="346">
        <v>5698</v>
      </c>
      <c r="I124" s="345">
        <v>5530</v>
      </c>
      <c r="J124" s="345">
        <v>200</v>
      </c>
      <c r="K124" s="347">
        <v>90.84</v>
      </c>
      <c r="L124" s="347">
        <v>91.72</v>
      </c>
      <c r="M124" s="347">
        <v>1.78</v>
      </c>
      <c r="N124" s="347">
        <v>92.4</v>
      </c>
      <c r="O124" s="348">
        <v>4786</v>
      </c>
      <c r="P124" s="345">
        <v>109.03</v>
      </c>
      <c r="Q124" s="345">
        <v>85.55</v>
      </c>
      <c r="R124" s="345">
        <v>64.239999999999995</v>
      </c>
      <c r="S124" s="345">
        <v>172.7</v>
      </c>
      <c r="T124" s="345">
        <v>339</v>
      </c>
      <c r="U124" s="345">
        <v>107.91</v>
      </c>
      <c r="V124" s="345">
        <v>142</v>
      </c>
      <c r="W124" s="345">
        <v>167.56</v>
      </c>
      <c r="X124" s="345">
        <v>119</v>
      </c>
      <c r="Y124" s="345">
        <v>0</v>
      </c>
      <c r="Z124" s="345">
        <v>4</v>
      </c>
      <c r="AA124" s="345">
        <v>0</v>
      </c>
      <c r="AB124" s="345">
        <v>1</v>
      </c>
      <c r="AC124" s="345">
        <v>1</v>
      </c>
      <c r="AD124" s="349">
        <v>5027</v>
      </c>
      <c r="AE124" s="349">
        <v>15</v>
      </c>
      <c r="AF124" s="349">
        <v>97</v>
      </c>
      <c r="AG124" s="349">
        <v>112</v>
      </c>
    </row>
    <row r="125" spans="1:33" x14ac:dyDescent="0.2">
      <c r="A125" s="344" t="s">
        <v>306</v>
      </c>
      <c r="B125" s="350" t="s">
        <v>307</v>
      </c>
      <c r="C125" s="346">
        <v>11700</v>
      </c>
      <c r="D125" s="346">
        <v>45</v>
      </c>
      <c r="E125" s="346">
        <v>947</v>
      </c>
      <c r="F125" s="346">
        <v>551</v>
      </c>
      <c r="G125" s="346">
        <v>1020</v>
      </c>
      <c r="H125" s="346">
        <v>14263</v>
      </c>
      <c r="I125" s="345">
        <v>13243</v>
      </c>
      <c r="J125" s="345">
        <v>307</v>
      </c>
      <c r="K125" s="347">
        <v>128.47</v>
      </c>
      <c r="L125" s="347">
        <v>139.16</v>
      </c>
      <c r="M125" s="347">
        <v>11.94</v>
      </c>
      <c r="N125" s="347">
        <v>134.6</v>
      </c>
      <c r="O125" s="348">
        <v>9915</v>
      </c>
      <c r="P125" s="345">
        <v>124.48</v>
      </c>
      <c r="Q125" s="345">
        <v>123.63</v>
      </c>
      <c r="R125" s="345">
        <v>68.06</v>
      </c>
      <c r="S125" s="345">
        <v>177.77</v>
      </c>
      <c r="T125" s="345">
        <v>1032</v>
      </c>
      <c r="U125" s="345">
        <v>204.66</v>
      </c>
      <c r="V125" s="345">
        <v>1132</v>
      </c>
      <c r="W125" s="345">
        <v>209.02</v>
      </c>
      <c r="X125" s="345">
        <v>86</v>
      </c>
      <c r="Y125" s="345">
        <v>3</v>
      </c>
      <c r="Z125" s="345">
        <v>2</v>
      </c>
      <c r="AA125" s="345">
        <v>0</v>
      </c>
      <c r="AB125" s="345">
        <v>10</v>
      </c>
      <c r="AC125" s="345">
        <v>29</v>
      </c>
      <c r="AD125" s="349">
        <v>11304</v>
      </c>
      <c r="AE125" s="349">
        <v>30</v>
      </c>
      <c r="AF125" s="349">
        <v>226</v>
      </c>
      <c r="AG125" s="349">
        <v>256</v>
      </c>
    </row>
    <row r="126" spans="1:33" x14ac:dyDescent="0.2">
      <c r="A126" s="344" t="s">
        <v>308</v>
      </c>
      <c r="B126" s="350" t="s">
        <v>309</v>
      </c>
      <c r="C126" s="346">
        <v>2907</v>
      </c>
      <c r="D126" s="346">
        <v>0</v>
      </c>
      <c r="E126" s="346">
        <v>96</v>
      </c>
      <c r="F126" s="346">
        <v>311</v>
      </c>
      <c r="G126" s="346">
        <v>576</v>
      </c>
      <c r="H126" s="346">
        <v>3890</v>
      </c>
      <c r="I126" s="345">
        <v>3314</v>
      </c>
      <c r="J126" s="345">
        <v>0</v>
      </c>
      <c r="K126" s="347">
        <v>89.08</v>
      </c>
      <c r="L126" s="347">
        <v>88.94</v>
      </c>
      <c r="M126" s="347">
        <v>3.81</v>
      </c>
      <c r="N126" s="347">
        <v>91.74</v>
      </c>
      <c r="O126" s="348">
        <v>2406</v>
      </c>
      <c r="P126" s="345">
        <v>80.48</v>
      </c>
      <c r="Q126" s="345">
        <v>75.849999999999994</v>
      </c>
      <c r="R126" s="345">
        <v>40.29</v>
      </c>
      <c r="S126" s="345">
        <v>118.53</v>
      </c>
      <c r="T126" s="345">
        <v>379</v>
      </c>
      <c r="U126" s="345">
        <v>109.19</v>
      </c>
      <c r="V126" s="345">
        <v>389</v>
      </c>
      <c r="W126" s="345">
        <v>117.58</v>
      </c>
      <c r="X126" s="345">
        <v>12</v>
      </c>
      <c r="Y126" s="345">
        <v>0</v>
      </c>
      <c r="Z126" s="345">
        <v>12</v>
      </c>
      <c r="AA126" s="345">
        <v>27</v>
      </c>
      <c r="AB126" s="345">
        <v>59</v>
      </c>
      <c r="AC126" s="345">
        <v>9</v>
      </c>
      <c r="AD126" s="349">
        <v>2903</v>
      </c>
      <c r="AE126" s="349">
        <v>10</v>
      </c>
      <c r="AF126" s="349">
        <v>17</v>
      </c>
      <c r="AG126" s="349">
        <v>27</v>
      </c>
    </row>
    <row r="127" spans="1:33" x14ac:dyDescent="0.2">
      <c r="A127" s="344" t="s">
        <v>310</v>
      </c>
      <c r="B127" s="350" t="s">
        <v>311</v>
      </c>
      <c r="C127" s="346">
        <v>10179</v>
      </c>
      <c r="D127" s="346">
        <v>52</v>
      </c>
      <c r="E127" s="346">
        <v>862</v>
      </c>
      <c r="F127" s="346">
        <v>814</v>
      </c>
      <c r="G127" s="346">
        <v>1612</v>
      </c>
      <c r="H127" s="346">
        <v>13519</v>
      </c>
      <c r="I127" s="345">
        <v>11907</v>
      </c>
      <c r="J127" s="345">
        <v>13</v>
      </c>
      <c r="K127" s="347">
        <v>119.16</v>
      </c>
      <c r="L127" s="347">
        <v>118.78</v>
      </c>
      <c r="M127" s="347">
        <v>12.11</v>
      </c>
      <c r="N127" s="347">
        <v>127.01</v>
      </c>
      <c r="O127" s="348">
        <v>8175</v>
      </c>
      <c r="P127" s="345">
        <v>115.11</v>
      </c>
      <c r="Q127" s="345">
        <v>104.72</v>
      </c>
      <c r="R127" s="345">
        <v>55.95</v>
      </c>
      <c r="S127" s="345">
        <v>160.91</v>
      </c>
      <c r="T127" s="345">
        <v>1207</v>
      </c>
      <c r="U127" s="345">
        <v>188.6</v>
      </c>
      <c r="V127" s="345">
        <v>689</v>
      </c>
      <c r="W127" s="345">
        <v>202.96</v>
      </c>
      <c r="X127" s="345">
        <v>33</v>
      </c>
      <c r="Y127" s="345">
        <v>13</v>
      </c>
      <c r="Z127" s="345">
        <v>0</v>
      </c>
      <c r="AA127" s="345">
        <v>4</v>
      </c>
      <c r="AB127" s="345">
        <v>59</v>
      </c>
      <c r="AC127" s="345">
        <v>38</v>
      </c>
      <c r="AD127" s="349">
        <v>9173</v>
      </c>
      <c r="AE127" s="349">
        <v>32</v>
      </c>
      <c r="AF127" s="349">
        <v>25</v>
      </c>
      <c r="AG127" s="349">
        <v>57</v>
      </c>
    </row>
    <row r="128" spans="1:33" x14ac:dyDescent="0.2">
      <c r="A128" s="344" t="s">
        <v>312</v>
      </c>
      <c r="B128" s="350" t="s">
        <v>313</v>
      </c>
      <c r="C128" s="346">
        <v>1409</v>
      </c>
      <c r="D128" s="346">
        <v>288</v>
      </c>
      <c r="E128" s="346">
        <v>166</v>
      </c>
      <c r="F128" s="346">
        <v>259</v>
      </c>
      <c r="G128" s="346">
        <v>334</v>
      </c>
      <c r="H128" s="346">
        <v>2456</v>
      </c>
      <c r="I128" s="345">
        <v>2122</v>
      </c>
      <c r="J128" s="345">
        <v>3</v>
      </c>
      <c r="K128" s="347">
        <v>101.57</v>
      </c>
      <c r="L128" s="347">
        <v>103.17</v>
      </c>
      <c r="M128" s="347">
        <v>7.6</v>
      </c>
      <c r="N128" s="347">
        <v>107.32</v>
      </c>
      <c r="O128" s="348">
        <v>1170</v>
      </c>
      <c r="P128" s="345">
        <v>89.51</v>
      </c>
      <c r="Q128" s="345">
        <v>86.34</v>
      </c>
      <c r="R128" s="345">
        <v>44.34</v>
      </c>
      <c r="S128" s="345">
        <v>129.53</v>
      </c>
      <c r="T128" s="345">
        <v>359</v>
      </c>
      <c r="U128" s="345">
        <v>150.32</v>
      </c>
      <c r="V128" s="345">
        <v>236</v>
      </c>
      <c r="W128" s="345">
        <v>0</v>
      </c>
      <c r="X128" s="345">
        <v>0</v>
      </c>
      <c r="Y128" s="345">
        <v>16</v>
      </c>
      <c r="Z128" s="345">
        <v>2</v>
      </c>
      <c r="AA128" s="345">
        <v>0</v>
      </c>
      <c r="AB128" s="345">
        <v>5</v>
      </c>
      <c r="AC128" s="345">
        <v>10</v>
      </c>
      <c r="AD128" s="349">
        <v>1396</v>
      </c>
      <c r="AE128" s="349">
        <v>10</v>
      </c>
      <c r="AF128" s="349">
        <v>134</v>
      </c>
      <c r="AG128" s="349">
        <v>144</v>
      </c>
    </row>
    <row r="129" spans="1:33" x14ac:dyDescent="0.2">
      <c r="A129" s="344" t="s">
        <v>314</v>
      </c>
      <c r="B129" s="350" t="s">
        <v>315</v>
      </c>
      <c r="C129" s="346">
        <v>2350</v>
      </c>
      <c r="D129" s="346">
        <v>21</v>
      </c>
      <c r="E129" s="346">
        <v>210</v>
      </c>
      <c r="F129" s="346">
        <v>407</v>
      </c>
      <c r="G129" s="346">
        <v>320</v>
      </c>
      <c r="H129" s="346">
        <v>3308</v>
      </c>
      <c r="I129" s="345">
        <v>2988</v>
      </c>
      <c r="J129" s="345">
        <v>21</v>
      </c>
      <c r="K129" s="347">
        <v>94.62</v>
      </c>
      <c r="L129" s="347">
        <v>92.1</v>
      </c>
      <c r="M129" s="347">
        <v>6.72</v>
      </c>
      <c r="N129" s="347">
        <v>99.14</v>
      </c>
      <c r="O129" s="348">
        <v>1654</v>
      </c>
      <c r="P129" s="345">
        <v>108.14</v>
      </c>
      <c r="Q129" s="345">
        <v>84.12</v>
      </c>
      <c r="R129" s="345">
        <v>44.13</v>
      </c>
      <c r="S129" s="345">
        <v>151.54</v>
      </c>
      <c r="T129" s="345">
        <v>480</v>
      </c>
      <c r="U129" s="345">
        <v>115.76</v>
      </c>
      <c r="V129" s="345">
        <v>556</v>
      </c>
      <c r="W129" s="345">
        <v>111.87</v>
      </c>
      <c r="X129" s="345">
        <v>11</v>
      </c>
      <c r="Y129" s="345">
        <v>0</v>
      </c>
      <c r="Z129" s="345">
        <v>1</v>
      </c>
      <c r="AA129" s="345">
        <v>3</v>
      </c>
      <c r="AB129" s="345">
        <v>22</v>
      </c>
      <c r="AC129" s="345">
        <v>4</v>
      </c>
      <c r="AD129" s="349">
        <v>2124</v>
      </c>
      <c r="AE129" s="349">
        <v>16</v>
      </c>
      <c r="AF129" s="349">
        <v>25</v>
      </c>
      <c r="AG129" s="349">
        <v>41</v>
      </c>
    </row>
    <row r="130" spans="1:33" x14ac:dyDescent="0.2">
      <c r="A130" s="344" t="s">
        <v>316</v>
      </c>
      <c r="B130" s="350" t="s">
        <v>317</v>
      </c>
      <c r="C130" s="346">
        <v>3404</v>
      </c>
      <c r="D130" s="346">
        <v>2</v>
      </c>
      <c r="E130" s="346">
        <v>380</v>
      </c>
      <c r="F130" s="346">
        <v>578</v>
      </c>
      <c r="G130" s="346">
        <v>969</v>
      </c>
      <c r="H130" s="346">
        <v>5333</v>
      </c>
      <c r="I130" s="345">
        <v>4364</v>
      </c>
      <c r="J130" s="345">
        <v>57</v>
      </c>
      <c r="K130" s="347">
        <v>132.13999999999999</v>
      </c>
      <c r="L130" s="347">
        <v>126.91</v>
      </c>
      <c r="M130" s="347">
        <v>9.6199999999999992</v>
      </c>
      <c r="N130" s="347">
        <v>138.86000000000001</v>
      </c>
      <c r="O130" s="348">
        <v>2781</v>
      </c>
      <c r="P130" s="345">
        <v>121.69</v>
      </c>
      <c r="Q130" s="345">
        <v>95.61</v>
      </c>
      <c r="R130" s="345">
        <v>38.93</v>
      </c>
      <c r="S130" s="345">
        <v>150.55000000000001</v>
      </c>
      <c r="T130" s="345">
        <v>576</v>
      </c>
      <c r="U130" s="345">
        <v>190.97</v>
      </c>
      <c r="V130" s="345">
        <v>403</v>
      </c>
      <c r="W130" s="345">
        <v>192.74</v>
      </c>
      <c r="X130" s="345">
        <v>28</v>
      </c>
      <c r="Y130" s="345">
        <v>0</v>
      </c>
      <c r="Z130" s="345">
        <v>1</v>
      </c>
      <c r="AA130" s="345">
        <v>0</v>
      </c>
      <c r="AB130" s="345">
        <v>36</v>
      </c>
      <c r="AC130" s="345">
        <v>33</v>
      </c>
      <c r="AD130" s="349">
        <v>3335</v>
      </c>
      <c r="AE130" s="349">
        <v>12</v>
      </c>
      <c r="AF130" s="349">
        <v>7</v>
      </c>
      <c r="AG130" s="349">
        <v>19</v>
      </c>
    </row>
    <row r="131" spans="1:33" x14ac:dyDescent="0.2">
      <c r="A131" s="344" t="s">
        <v>318</v>
      </c>
      <c r="B131" s="350" t="s">
        <v>319</v>
      </c>
      <c r="C131" s="346">
        <v>2893</v>
      </c>
      <c r="D131" s="346">
        <v>0</v>
      </c>
      <c r="E131" s="346">
        <v>48</v>
      </c>
      <c r="F131" s="346">
        <v>321</v>
      </c>
      <c r="G131" s="346">
        <v>631</v>
      </c>
      <c r="H131" s="346">
        <v>3893</v>
      </c>
      <c r="I131" s="345">
        <v>3262</v>
      </c>
      <c r="J131" s="345">
        <v>0</v>
      </c>
      <c r="K131" s="347">
        <v>116.3</v>
      </c>
      <c r="L131" s="347">
        <v>112.67</v>
      </c>
      <c r="M131" s="347">
        <v>5.92</v>
      </c>
      <c r="N131" s="347">
        <v>118.78</v>
      </c>
      <c r="O131" s="348">
        <v>2392</v>
      </c>
      <c r="P131" s="345">
        <v>99.92</v>
      </c>
      <c r="Q131" s="345">
        <v>101.67</v>
      </c>
      <c r="R131" s="345">
        <v>40.85</v>
      </c>
      <c r="S131" s="345">
        <v>139.08000000000001</v>
      </c>
      <c r="T131" s="345">
        <v>316</v>
      </c>
      <c r="U131" s="345">
        <v>165.25</v>
      </c>
      <c r="V131" s="345">
        <v>465</v>
      </c>
      <c r="W131" s="345">
        <v>117.8</v>
      </c>
      <c r="X131" s="345">
        <v>1</v>
      </c>
      <c r="Y131" s="345">
        <v>0</v>
      </c>
      <c r="Z131" s="345">
        <v>1</v>
      </c>
      <c r="AA131" s="345">
        <v>0</v>
      </c>
      <c r="AB131" s="345">
        <v>48</v>
      </c>
      <c r="AC131" s="345">
        <v>7</v>
      </c>
      <c r="AD131" s="349">
        <v>2893</v>
      </c>
      <c r="AE131" s="349">
        <v>14</v>
      </c>
      <c r="AF131" s="349">
        <v>1</v>
      </c>
      <c r="AG131" s="349">
        <v>15</v>
      </c>
    </row>
    <row r="132" spans="1:33" x14ac:dyDescent="0.2">
      <c r="A132" s="344" t="s">
        <v>320</v>
      </c>
      <c r="B132" s="350" t="s">
        <v>321</v>
      </c>
      <c r="C132" s="346">
        <v>7661</v>
      </c>
      <c r="D132" s="346">
        <v>0</v>
      </c>
      <c r="E132" s="346">
        <v>1459</v>
      </c>
      <c r="F132" s="346">
        <v>677</v>
      </c>
      <c r="G132" s="346">
        <v>231</v>
      </c>
      <c r="H132" s="346">
        <v>10028</v>
      </c>
      <c r="I132" s="345">
        <v>9797</v>
      </c>
      <c r="J132" s="345">
        <v>0</v>
      </c>
      <c r="K132" s="347">
        <v>81.14</v>
      </c>
      <c r="L132" s="347">
        <v>79.97</v>
      </c>
      <c r="M132" s="347">
        <v>5.5</v>
      </c>
      <c r="N132" s="347">
        <v>83.39</v>
      </c>
      <c r="O132" s="348">
        <v>6583</v>
      </c>
      <c r="P132" s="345">
        <v>80.8</v>
      </c>
      <c r="Q132" s="345">
        <v>79.78</v>
      </c>
      <c r="R132" s="345">
        <v>34.68</v>
      </c>
      <c r="S132" s="345">
        <v>100.8</v>
      </c>
      <c r="T132" s="345">
        <v>2027</v>
      </c>
      <c r="U132" s="345">
        <v>93.25</v>
      </c>
      <c r="V132" s="345">
        <v>1014</v>
      </c>
      <c r="W132" s="345">
        <v>103.82</v>
      </c>
      <c r="X132" s="345">
        <v>67</v>
      </c>
      <c r="Y132" s="345">
        <v>378</v>
      </c>
      <c r="Z132" s="345">
        <v>22</v>
      </c>
      <c r="AA132" s="345">
        <v>7</v>
      </c>
      <c r="AB132" s="345">
        <v>2</v>
      </c>
      <c r="AC132" s="345">
        <v>6</v>
      </c>
      <c r="AD132" s="349">
        <v>7635</v>
      </c>
      <c r="AE132" s="349">
        <v>127</v>
      </c>
      <c r="AF132" s="349">
        <v>36</v>
      </c>
      <c r="AG132" s="349">
        <v>163</v>
      </c>
    </row>
    <row r="133" spans="1:33" x14ac:dyDescent="0.2">
      <c r="A133" s="344" t="s">
        <v>322</v>
      </c>
      <c r="B133" s="350" t="s">
        <v>323</v>
      </c>
      <c r="C133" s="346">
        <v>5118</v>
      </c>
      <c r="D133" s="346">
        <v>0</v>
      </c>
      <c r="E133" s="346">
        <v>317</v>
      </c>
      <c r="F133" s="346">
        <v>713</v>
      </c>
      <c r="G133" s="346">
        <v>196</v>
      </c>
      <c r="H133" s="346">
        <v>6344</v>
      </c>
      <c r="I133" s="345">
        <v>6148</v>
      </c>
      <c r="J133" s="345">
        <v>7</v>
      </c>
      <c r="K133" s="347">
        <v>86.98</v>
      </c>
      <c r="L133" s="347">
        <v>86.41</v>
      </c>
      <c r="M133" s="347">
        <v>6.73</v>
      </c>
      <c r="N133" s="347">
        <v>92.79</v>
      </c>
      <c r="O133" s="348">
        <v>4306</v>
      </c>
      <c r="P133" s="345">
        <v>72.540000000000006</v>
      </c>
      <c r="Q133" s="345">
        <v>71.459999999999994</v>
      </c>
      <c r="R133" s="345">
        <v>38.159999999999997</v>
      </c>
      <c r="S133" s="345">
        <v>110.7</v>
      </c>
      <c r="T133" s="345">
        <v>796</v>
      </c>
      <c r="U133" s="345">
        <v>112.04</v>
      </c>
      <c r="V133" s="345">
        <v>734</v>
      </c>
      <c r="W133" s="345">
        <v>145.74</v>
      </c>
      <c r="X133" s="345">
        <v>140</v>
      </c>
      <c r="Y133" s="345">
        <v>40</v>
      </c>
      <c r="Z133" s="345">
        <v>3</v>
      </c>
      <c r="AA133" s="345">
        <v>2</v>
      </c>
      <c r="AB133" s="345">
        <v>13</v>
      </c>
      <c r="AC133" s="345">
        <v>6</v>
      </c>
      <c r="AD133" s="349">
        <v>5044</v>
      </c>
      <c r="AE133" s="349">
        <v>22</v>
      </c>
      <c r="AF133" s="349">
        <v>33</v>
      </c>
      <c r="AG133" s="349">
        <v>55</v>
      </c>
    </row>
    <row r="134" spans="1:33" x14ac:dyDescent="0.2">
      <c r="A134" s="344" t="s">
        <v>324</v>
      </c>
      <c r="B134" s="350" t="s">
        <v>325</v>
      </c>
      <c r="C134" s="346">
        <v>4450</v>
      </c>
      <c r="D134" s="346">
        <v>2</v>
      </c>
      <c r="E134" s="346">
        <v>238</v>
      </c>
      <c r="F134" s="346">
        <v>1017</v>
      </c>
      <c r="G134" s="346">
        <v>393</v>
      </c>
      <c r="H134" s="346">
        <v>6100</v>
      </c>
      <c r="I134" s="345">
        <v>5707</v>
      </c>
      <c r="J134" s="345">
        <v>0</v>
      </c>
      <c r="K134" s="347">
        <v>105.18</v>
      </c>
      <c r="L134" s="347">
        <v>100.13</v>
      </c>
      <c r="M134" s="347">
        <v>9.61</v>
      </c>
      <c r="N134" s="347">
        <v>109.73</v>
      </c>
      <c r="O134" s="348">
        <v>3579</v>
      </c>
      <c r="P134" s="345">
        <v>96.4</v>
      </c>
      <c r="Q134" s="345">
        <v>88.18</v>
      </c>
      <c r="R134" s="345">
        <v>19.78</v>
      </c>
      <c r="S134" s="345">
        <v>114.13</v>
      </c>
      <c r="T134" s="345">
        <v>1083</v>
      </c>
      <c r="U134" s="345">
        <v>141.84</v>
      </c>
      <c r="V134" s="345">
        <v>720</v>
      </c>
      <c r="W134" s="345">
        <v>158.22999999999999</v>
      </c>
      <c r="X134" s="345">
        <v>14</v>
      </c>
      <c r="Y134" s="345">
        <v>23</v>
      </c>
      <c r="Z134" s="345">
        <v>0</v>
      </c>
      <c r="AA134" s="345">
        <v>1</v>
      </c>
      <c r="AB134" s="345">
        <v>13</v>
      </c>
      <c r="AC134" s="345">
        <v>6</v>
      </c>
      <c r="AD134" s="349">
        <v>4395</v>
      </c>
      <c r="AE134" s="349">
        <v>8</v>
      </c>
      <c r="AF134" s="349">
        <v>8</v>
      </c>
      <c r="AG134" s="349">
        <v>16</v>
      </c>
    </row>
    <row r="135" spans="1:33" x14ac:dyDescent="0.2">
      <c r="A135" s="344" t="s">
        <v>326</v>
      </c>
      <c r="B135" s="350" t="s">
        <v>327</v>
      </c>
      <c r="C135" s="346">
        <v>3539</v>
      </c>
      <c r="D135" s="346">
        <v>354</v>
      </c>
      <c r="E135" s="346">
        <v>199</v>
      </c>
      <c r="F135" s="346">
        <v>497</v>
      </c>
      <c r="G135" s="346">
        <v>815</v>
      </c>
      <c r="H135" s="346">
        <v>5404</v>
      </c>
      <c r="I135" s="345">
        <v>4589</v>
      </c>
      <c r="J135" s="345">
        <v>15</v>
      </c>
      <c r="K135" s="347">
        <v>116.33</v>
      </c>
      <c r="L135" s="347">
        <v>116.71</v>
      </c>
      <c r="M135" s="347">
        <v>10.47</v>
      </c>
      <c r="N135" s="347">
        <v>124.56</v>
      </c>
      <c r="O135" s="348">
        <v>2420</v>
      </c>
      <c r="P135" s="345">
        <v>114.56</v>
      </c>
      <c r="Q135" s="345">
        <v>100.17</v>
      </c>
      <c r="R135" s="345">
        <v>39.4</v>
      </c>
      <c r="S135" s="345">
        <v>146.02000000000001</v>
      </c>
      <c r="T135" s="345">
        <v>640</v>
      </c>
      <c r="U135" s="345">
        <v>176.74</v>
      </c>
      <c r="V135" s="345">
        <v>954</v>
      </c>
      <c r="W135" s="345">
        <v>201.21</v>
      </c>
      <c r="X135" s="345">
        <v>38</v>
      </c>
      <c r="Y135" s="345">
        <v>0</v>
      </c>
      <c r="Z135" s="345">
        <v>2</v>
      </c>
      <c r="AA135" s="345">
        <v>4</v>
      </c>
      <c r="AB135" s="345">
        <v>40</v>
      </c>
      <c r="AC135" s="345">
        <v>17</v>
      </c>
      <c r="AD135" s="349">
        <v>3463</v>
      </c>
      <c r="AE135" s="349">
        <v>57</v>
      </c>
      <c r="AF135" s="349">
        <v>44</v>
      </c>
      <c r="AG135" s="349">
        <v>101</v>
      </c>
    </row>
    <row r="136" spans="1:33" x14ac:dyDescent="0.2">
      <c r="A136" s="344" t="s">
        <v>328</v>
      </c>
      <c r="B136" s="350" t="s">
        <v>329</v>
      </c>
      <c r="C136" s="346">
        <v>9165</v>
      </c>
      <c r="D136" s="346">
        <v>15</v>
      </c>
      <c r="E136" s="346">
        <v>343</v>
      </c>
      <c r="F136" s="346">
        <v>1754</v>
      </c>
      <c r="G136" s="346">
        <v>809</v>
      </c>
      <c r="H136" s="346">
        <v>12086</v>
      </c>
      <c r="I136" s="345">
        <v>11277</v>
      </c>
      <c r="J136" s="345">
        <v>14</v>
      </c>
      <c r="K136" s="347">
        <v>89.97</v>
      </c>
      <c r="L136" s="347">
        <v>88.17</v>
      </c>
      <c r="M136" s="347">
        <v>3.88</v>
      </c>
      <c r="N136" s="347">
        <v>91.53</v>
      </c>
      <c r="O136" s="348">
        <v>8397</v>
      </c>
      <c r="P136" s="345">
        <v>83.21</v>
      </c>
      <c r="Q136" s="345">
        <v>81.56</v>
      </c>
      <c r="R136" s="345">
        <v>35.700000000000003</v>
      </c>
      <c r="S136" s="345">
        <v>110.86</v>
      </c>
      <c r="T136" s="345">
        <v>2049</v>
      </c>
      <c r="U136" s="345">
        <v>104.74</v>
      </c>
      <c r="V136" s="345">
        <v>724</v>
      </c>
      <c r="W136" s="345">
        <v>179.66</v>
      </c>
      <c r="X136" s="345">
        <v>20</v>
      </c>
      <c r="Y136" s="345">
        <v>0</v>
      </c>
      <c r="Z136" s="345">
        <v>19</v>
      </c>
      <c r="AA136" s="345">
        <v>7</v>
      </c>
      <c r="AB136" s="345">
        <v>52</v>
      </c>
      <c r="AC136" s="345">
        <v>9</v>
      </c>
      <c r="AD136" s="349">
        <v>9126</v>
      </c>
      <c r="AE136" s="349">
        <v>40</v>
      </c>
      <c r="AF136" s="349">
        <v>90</v>
      </c>
      <c r="AG136" s="349">
        <v>130</v>
      </c>
    </row>
    <row r="137" spans="1:33" x14ac:dyDescent="0.2">
      <c r="A137" s="344" t="s">
        <v>330</v>
      </c>
      <c r="B137" s="350" t="s">
        <v>331</v>
      </c>
      <c r="C137" s="346">
        <v>6404</v>
      </c>
      <c r="D137" s="346">
        <v>24</v>
      </c>
      <c r="E137" s="346">
        <v>149</v>
      </c>
      <c r="F137" s="346">
        <v>850</v>
      </c>
      <c r="G137" s="346">
        <v>488</v>
      </c>
      <c r="H137" s="346">
        <v>7915</v>
      </c>
      <c r="I137" s="345">
        <v>7427</v>
      </c>
      <c r="J137" s="345">
        <v>7</v>
      </c>
      <c r="K137" s="347">
        <v>120.58</v>
      </c>
      <c r="L137" s="347">
        <v>122.32</v>
      </c>
      <c r="M137" s="347">
        <v>7.25</v>
      </c>
      <c r="N137" s="347">
        <v>124.64</v>
      </c>
      <c r="O137" s="348">
        <v>5443</v>
      </c>
      <c r="P137" s="345">
        <v>111.51</v>
      </c>
      <c r="Q137" s="345">
        <v>109.11</v>
      </c>
      <c r="R137" s="345">
        <v>31.15</v>
      </c>
      <c r="S137" s="345">
        <v>141.79</v>
      </c>
      <c r="T137" s="345">
        <v>965</v>
      </c>
      <c r="U137" s="345">
        <v>177.36</v>
      </c>
      <c r="V137" s="345">
        <v>785</v>
      </c>
      <c r="W137" s="345">
        <v>0</v>
      </c>
      <c r="X137" s="345">
        <v>0</v>
      </c>
      <c r="Y137" s="345">
        <v>0</v>
      </c>
      <c r="Z137" s="345">
        <v>1</v>
      </c>
      <c r="AA137" s="345">
        <v>1</v>
      </c>
      <c r="AB137" s="345">
        <v>22</v>
      </c>
      <c r="AC137" s="345">
        <v>10</v>
      </c>
      <c r="AD137" s="349">
        <v>6236</v>
      </c>
      <c r="AE137" s="349">
        <v>25</v>
      </c>
      <c r="AF137" s="349">
        <v>7</v>
      </c>
      <c r="AG137" s="349">
        <v>32</v>
      </c>
    </row>
    <row r="138" spans="1:33" x14ac:dyDescent="0.2">
      <c r="A138" s="344" t="s">
        <v>332</v>
      </c>
      <c r="B138" s="350" t="s">
        <v>333</v>
      </c>
      <c r="C138" s="346">
        <v>948</v>
      </c>
      <c r="D138" s="346">
        <v>1</v>
      </c>
      <c r="E138" s="346">
        <v>66</v>
      </c>
      <c r="F138" s="346">
        <v>336</v>
      </c>
      <c r="G138" s="346">
        <v>203</v>
      </c>
      <c r="H138" s="346">
        <v>1554</v>
      </c>
      <c r="I138" s="345">
        <v>1351</v>
      </c>
      <c r="J138" s="345">
        <v>0</v>
      </c>
      <c r="K138" s="347">
        <v>95.65</v>
      </c>
      <c r="L138" s="347">
        <v>93.38</v>
      </c>
      <c r="M138" s="347">
        <v>7.03</v>
      </c>
      <c r="N138" s="347">
        <v>99.44</v>
      </c>
      <c r="O138" s="348">
        <v>758</v>
      </c>
      <c r="P138" s="345">
        <v>88.88</v>
      </c>
      <c r="Q138" s="345">
        <v>79.97</v>
      </c>
      <c r="R138" s="345">
        <v>40.47</v>
      </c>
      <c r="S138" s="345">
        <v>127.12</v>
      </c>
      <c r="T138" s="345">
        <v>381</v>
      </c>
      <c r="U138" s="345">
        <v>108.1</v>
      </c>
      <c r="V138" s="345">
        <v>173</v>
      </c>
      <c r="W138" s="345">
        <v>0</v>
      </c>
      <c r="X138" s="345">
        <v>0</v>
      </c>
      <c r="Y138" s="345">
        <v>0</v>
      </c>
      <c r="Z138" s="345">
        <v>0</v>
      </c>
      <c r="AA138" s="345">
        <v>0</v>
      </c>
      <c r="AB138" s="345">
        <v>4</v>
      </c>
      <c r="AC138" s="345">
        <v>8</v>
      </c>
      <c r="AD138" s="349">
        <v>930</v>
      </c>
      <c r="AE138" s="349">
        <v>6</v>
      </c>
      <c r="AF138" s="349">
        <v>5</v>
      </c>
      <c r="AG138" s="349">
        <v>11</v>
      </c>
    </row>
    <row r="139" spans="1:33" x14ac:dyDescent="0.2">
      <c r="A139" s="344" t="s">
        <v>334</v>
      </c>
      <c r="B139" s="350" t="s">
        <v>335</v>
      </c>
      <c r="C139" s="346">
        <v>6532</v>
      </c>
      <c r="D139" s="346">
        <v>0</v>
      </c>
      <c r="E139" s="346">
        <v>560</v>
      </c>
      <c r="F139" s="346">
        <v>530</v>
      </c>
      <c r="G139" s="346">
        <v>1255</v>
      </c>
      <c r="H139" s="346">
        <v>8877</v>
      </c>
      <c r="I139" s="345">
        <v>7622</v>
      </c>
      <c r="J139" s="345">
        <v>70</v>
      </c>
      <c r="K139" s="347">
        <v>124.47</v>
      </c>
      <c r="L139" s="347">
        <v>122.4</v>
      </c>
      <c r="M139" s="347">
        <v>10.95</v>
      </c>
      <c r="N139" s="347">
        <v>131.84</v>
      </c>
      <c r="O139" s="348">
        <v>5488</v>
      </c>
      <c r="P139" s="345">
        <v>106.82</v>
      </c>
      <c r="Q139" s="345">
        <v>100.67</v>
      </c>
      <c r="R139" s="345">
        <v>39.14</v>
      </c>
      <c r="S139" s="345">
        <v>138.18</v>
      </c>
      <c r="T139" s="345">
        <v>840</v>
      </c>
      <c r="U139" s="345">
        <v>188.26</v>
      </c>
      <c r="V139" s="345">
        <v>865</v>
      </c>
      <c r="W139" s="345">
        <v>165.08</v>
      </c>
      <c r="X139" s="345">
        <v>51</v>
      </c>
      <c r="Y139" s="345">
        <v>0</v>
      </c>
      <c r="Z139" s="345">
        <v>4</v>
      </c>
      <c r="AA139" s="345">
        <v>3</v>
      </c>
      <c r="AB139" s="345">
        <v>14</v>
      </c>
      <c r="AC139" s="345">
        <v>35</v>
      </c>
      <c r="AD139" s="349">
        <v>6399</v>
      </c>
      <c r="AE139" s="349">
        <v>8</v>
      </c>
      <c r="AF139" s="349">
        <v>9</v>
      </c>
      <c r="AG139" s="349">
        <v>17</v>
      </c>
    </row>
    <row r="140" spans="1:33" x14ac:dyDescent="0.2">
      <c r="A140" s="344" t="s">
        <v>336</v>
      </c>
      <c r="B140" s="350" t="s">
        <v>337</v>
      </c>
      <c r="C140" s="346">
        <v>1847</v>
      </c>
      <c r="D140" s="346">
        <v>0</v>
      </c>
      <c r="E140" s="346">
        <v>111</v>
      </c>
      <c r="F140" s="346">
        <v>125</v>
      </c>
      <c r="G140" s="346">
        <v>343</v>
      </c>
      <c r="H140" s="346">
        <v>2426</v>
      </c>
      <c r="I140" s="345">
        <v>2083</v>
      </c>
      <c r="J140" s="345">
        <v>1</v>
      </c>
      <c r="K140" s="347">
        <v>90.35</v>
      </c>
      <c r="L140" s="347">
        <v>89.32</v>
      </c>
      <c r="M140" s="347">
        <v>6.02</v>
      </c>
      <c r="N140" s="347">
        <v>93.5</v>
      </c>
      <c r="O140" s="348">
        <v>1444</v>
      </c>
      <c r="P140" s="345">
        <v>114.29</v>
      </c>
      <c r="Q140" s="345">
        <v>76.540000000000006</v>
      </c>
      <c r="R140" s="345">
        <v>32.67</v>
      </c>
      <c r="S140" s="345">
        <v>146.94999999999999</v>
      </c>
      <c r="T140" s="345">
        <v>230</v>
      </c>
      <c r="U140" s="345">
        <v>102.13</v>
      </c>
      <c r="V140" s="345">
        <v>371</v>
      </c>
      <c r="W140" s="345">
        <v>0</v>
      </c>
      <c r="X140" s="345">
        <v>0</v>
      </c>
      <c r="Y140" s="345">
        <v>0</v>
      </c>
      <c r="Z140" s="345">
        <v>1</v>
      </c>
      <c r="AA140" s="345">
        <v>6</v>
      </c>
      <c r="AB140" s="345">
        <v>18</v>
      </c>
      <c r="AC140" s="345">
        <v>4</v>
      </c>
      <c r="AD140" s="349">
        <v>1847</v>
      </c>
      <c r="AE140" s="349">
        <v>6</v>
      </c>
      <c r="AF140" s="349">
        <v>32</v>
      </c>
      <c r="AG140" s="349">
        <v>38</v>
      </c>
    </row>
    <row r="141" spans="1:33" x14ac:dyDescent="0.2">
      <c r="A141" s="344" t="s">
        <v>338</v>
      </c>
      <c r="B141" s="350" t="s">
        <v>339</v>
      </c>
      <c r="C141" s="346">
        <v>5929</v>
      </c>
      <c r="D141" s="346">
        <v>0</v>
      </c>
      <c r="E141" s="346">
        <v>152</v>
      </c>
      <c r="F141" s="346">
        <v>1074</v>
      </c>
      <c r="G141" s="346">
        <v>734</v>
      </c>
      <c r="H141" s="346">
        <v>7889</v>
      </c>
      <c r="I141" s="345">
        <v>7155</v>
      </c>
      <c r="J141" s="345">
        <v>7</v>
      </c>
      <c r="K141" s="347">
        <v>110.82</v>
      </c>
      <c r="L141" s="347">
        <v>109.72</v>
      </c>
      <c r="M141" s="347">
        <v>4.1399999999999997</v>
      </c>
      <c r="N141" s="347">
        <v>113.34</v>
      </c>
      <c r="O141" s="348">
        <v>4672</v>
      </c>
      <c r="P141" s="345">
        <v>95.62</v>
      </c>
      <c r="Q141" s="345">
        <v>93.52</v>
      </c>
      <c r="R141" s="345">
        <v>28.56</v>
      </c>
      <c r="S141" s="345">
        <v>123.43</v>
      </c>
      <c r="T141" s="345">
        <v>996</v>
      </c>
      <c r="U141" s="345">
        <v>163.28</v>
      </c>
      <c r="V141" s="345">
        <v>1171</v>
      </c>
      <c r="W141" s="345">
        <v>182.79</v>
      </c>
      <c r="X141" s="345">
        <v>158</v>
      </c>
      <c r="Y141" s="345">
        <v>0</v>
      </c>
      <c r="Z141" s="345">
        <v>20</v>
      </c>
      <c r="AA141" s="345">
        <v>6</v>
      </c>
      <c r="AB141" s="345">
        <v>101</v>
      </c>
      <c r="AC141" s="345">
        <v>9</v>
      </c>
      <c r="AD141" s="349">
        <v>5864</v>
      </c>
      <c r="AE141" s="349">
        <v>29</v>
      </c>
      <c r="AF141" s="349">
        <v>34</v>
      </c>
      <c r="AG141" s="349">
        <v>63</v>
      </c>
    </row>
    <row r="142" spans="1:33" x14ac:dyDescent="0.2">
      <c r="A142" s="344" t="s">
        <v>340</v>
      </c>
      <c r="B142" s="350" t="s">
        <v>341</v>
      </c>
      <c r="C142" s="346">
        <v>7815</v>
      </c>
      <c r="D142" s="346">
        <v>23</v>
      </c>
      <c r="E142" s="346">
        <v>486</v>
      </c>
      <c r="F142" s="346">
        <v>164</v>
      </c>
      <c r="G142" s="346">
        <v>2213</v>
      </c>
      <c r="H142" s="346">
        <v>10701</v>
      </c>
      <c r="I142" s="345">
        <v>8488</v>
      </c>
      <c r="J142" s="345">
        <v>45</v>
      </c>
      <c r="K142" s="347">
        <v>123.32</v>
      </c>
      <c r="L142" s="347">
        <v>124.15</v>
      </c>
      <c r="M142" s="347">
        <v>9.9700000000000006</v>
      </c>
      <c r="N142" s="347">
        <v>131.12</v>
      </c>
      <c r="O142" s="348">
        <v>5853</v>
      </c>
      <c r="P142" s="345">
        <v>114.18</v>
      </c>
      <c r="Q142" s="345">
        <v>103.27</v>
      </c>
      <c r="R142" s="345">
        <v>101.6</v>
      </c>
      <c r="S142" s="345">
        <v>177.89</v>
      </c>
      <c r="T142" s="345">
        <v>303</v>
      </c>
      <c r="U142" s="345">
        <v>196.82</v>
      </c>
      <c r="V142" s="345">
        <v>1057</v>
      </c>
      <c r="W142" s="345">
        <v>221.79</v>
      </c>
      <c r="X142" s="345">
        <v>110</v>
      </c>
      <c r="Y142" s="345">
        <v>0</v>
      </c>
      <c r="Z142" s="345">
        <v>2</v>
      </c>
      <c r="AA142" s="345">
        <v>2</v>
      </c>
      <c r="AB142" s="345">
        <v>173</v>
      </c>
      <c r="AC142" s="345">
        <v>51</v>
      </c>
      <c r="AD142" s="349">
        <v>7233</v>
      </c>
      <c r="AE142" s="349">
        <v>13</v>
      </c>
      <c r="AF142" s="349">
        <v>46</v>
      </c>
      <c r="AG142" s="349">
        <v>59</v>
      </c>
    </row>
    <row r="143" spans="1:33" x14ac:dyDescent="0.2">
      <c r="A143" s="344" t="s">
        <v>342</v>
      </c>
      <c r="B143" s="350" t="s">
        <v>343</v>
      </c>
      <c r="C143" s="346">
        <v>8406</v>
      </c>
      <c r="D143" s="346">
        <v>20</v>
      </c>
      <c r="E143" s="346">
        <v>403</v>
      </c>
      <c r="F143" s="346">
        <v>1040</v>
      </c>
      <c r="G143" s="346">
        <v>695</v>
      </c>
      <c r="H143" s="346">
        <v>10564</v>
      </c>
      <c r="I143" s="345">
        <v>9869</v>
      </c>
      <c r="J143" s="345">
        <v>28</v>
      </c>
      <c r="K143" s="347">
        <v>95.17</v>
      </c>
      <c r="L143" s="347">
        <v>94.45</v>
      </c>
      <c r="M143" s="347">
        <v>4.68</v>
      </c>
      <c r="N143" s="347">
        <v>96.8</v>
      </c>
      <c r="O143" s="348">
        <v>7857</v>
      </c>
      <c r="P143" s="345">
        <v>90.68</v>
      </c>
      <c r="Q143" s="345">
        <v>84.77</v>
      </c>
      <c r="R143" s="345">
        <v>45.75</v>
      </c>
      <c r="S143" s="345">
        <v>133.53</v>
      </c>
      <c r="T143" s="345">
        <v>1344</v>
      </c>
      <c r="U143" s="345">
        <v>126.77</v>
      </c>
      <c r="V143" s="345">
        <v>418</v>
      </c>
      <c r="W143" s="345">
        <v>205.57</v>
      </c>
      <c r="X143" s="345">
        <v>46</v>
      </c>
      <c r="Y143" s="345">
        <v>0</v>
      </c>
      <c r="Z143" s="345">
        <v>21</v>
      </c>
      <c r="AA143" s="345">
        <v>14</v>
      </c>
      <c r="AB143" s="345">
        <v>53</v>
      </c>
      <c r="AC143" s="345">
        <v>14</v>
      </c>
      <c r="AD143" s="349">
        <v>8403</v>
      </c>
      <c r="AE143" s="349">
        <v>26</v>
      </c>
      <c r="AF143" s="349">
        <v>47</v>
      </c>
      <c r="AG143" s="349">
        <v>73</v>
      </c>
    </row>
    <row r="144" spans="1:33" x14ac:dyDescent="0.2">
      <c r="A144" s="344" t="s">
        <v>344</v>
      </c>
      <c r="B144" s="350" t="s">
        <v>345</v>
      </c>
      <c r="C144" s="346">
        <v>3019</v>
      </c>
      <c r="D144" s="346">
        <v>0</v>
      </c>
      <c r="E144" s="346">
        <v>317</v>
      </c>
      <c r="F144" s="346">
        <v>1604</v>
      </c>
      <c r="G144" s="346">
        <v>52</v>
      </c>
      <c r="H144" s="346">
        <v>4992</v>
      </c>
      <c r="I144" s="345">
        <v>4940</v>
      </c>
      <c r="J144" s="345">
        <v>126</v>
      </c>
      <c r="K144" s="347">
        <v>76.62</v>
      </c>
      <c r="L144" s="347">
        <v>77.59</v>
      </c>
      <c r="M144" s="347">
        <v>1.81</v>
      </c>
      <c r="N144" s="347">
        <v>77.569999999999993</v>
      </c>
      <c r="O144" s="348">
        <v>2914</v>
      </c>
      <c r="P144" s="345">
        <v>78.47</v>
      </c>
      <c r="Q144" s="345">
        <v>70.62</v>
      </c>
      <c r="R144" s="345">
        <v>26.26</v>
      </c>
      <c r="S144" s="345">
        <v>104.6</v>
      </c>
      <c r="T144" s="345">
        <v>1828</v>
      </c>
      <c r="U144" s="345">
        <v>90.13</v>
      </c>
      <c r="V144" s="345">
        <v>105</v>
      </c>
      <c r="W144" s="345">
        <v>237.78</v>
      </c>
      <c r="X144" s="345">
        <v>12</v>
      </c>
      <c r="Y144" s="345">
        <v>0</v>
      </c>
      <c r="Z144" s="345">
        <v>18</v>
      </c>
      <c r="AA144" s="345">
        <v>10</v>
      </c>
      <c r="AB144" s="345">
        <v>0</v>
      </c>
      <c r="AC144" s="345">
        <v>0</v>
      </c>
      <c r="AD144" s="349">
        <v>3019</v>
      </c>
      <c r="AE144" s="349">
        <v>18</v>
      </c>
      <c r="AF144" s="349">
        <v>5</v>
      </c>
      <c r="AG144" s="349">
        <v>23</v>
      </c>
    </row>
    <row r="145" spans="1:33" x14ac:dyDescent="0.2">
      <c r="A145" s="344" t="s">
        <v>346</v>
      </c>
      <c r="B145" s="350" t="s">
        <v>347</v>
      </c>
      <c r="C145" s="346">
        <v>3732</v>
      </c>
      <c r="D145" s="346">
        <v>0</v>
      </c>
      <c r="E145" s="346">
        <v>558</v>
      </c>
      <c r="F145" s="346">
        <v>711</v>
      </c>
      <c r="G145" s="346">
        <v>299</v>
      </c>
      <c r="H145" s="346">
        <v>5300</v>
      </c>
      <c r="I145" s="345">
        <v>5001</v>
      </c>
      <c r="J145" s="345">
        <v>1</v>
      </c>
      <c r="K145" s="347">
        <v>88.61</v>
      </c>
      <c r="L145" s="347">
        <v>88.88</v>
      </c>
      <c r="M145" s="347">
        <v>5.81</v>
      </c>
      <c r="N145" s="347">
        <v>92.99</v>
      </c>
      <c r="O145" s="348">
        <v>3019</v>
      </c>
      <c r="P145" s="345">
        <v>80.63</v>
      </c>
      <c r="Q145" s="345">
        <v>74</v>
      </c>
      <c r="R145" s="345">
        <v>58.35</v>
      </c>
      <c r="S145" s="345">
        <v>137.62</v>
      </c>
      <c r="T145" s="345">
        <v>1071</v>
      </c>
      <c r="U145" s="345">
        <v>99.59</v>
      </c>
      <c r="V145" s="345">
        <v>552</v>
      </c>
      <c r="W145" s="345">
        <v>101.04</v>
      </c>
      <c r="X145" s="345">
        <v>2</v>
      </c>
      <c r="Y145" s="345">
        <v>8</v>
      </c>
      <c r="Z145" s="345">
        <v>2</v>
      </c>
      <c r="AA145" s="345">
        <v>149</v>
      </c>
      <c r="AB145" s="345">
        <v>0</v>
      </c>
      <c r="AC145" s="345">
        <v>13</v>
      </c>
      <c r="AD145" s="349">
        <v>3629</v>
      </c>
      <c r="AE145" s="349">
        <v>12</v>
      </c>
      <c r="AF145" s="349">
        <v>28</v>
      </c>
      <c r="AG145" s="349">
        <v>40</v>
      </c>
    </row>
    <row r="146" spans="1:33" x14ac:dyDescent="0.2">
      <c r="A146" s="344" t="s">
        <v>348</v>
      </c>
      <c r="B146" s="350" t="s">
        <v>349</v>
      </c>
      <c r="C146" s="346">
        <v>6531</v>
      </c>
      <c r="D146" s="346">
        <v>0</v>
      </c>
      <c r="E146" s="346">
        <v>180</v>
      </c>
      <c r="F146" s="346">
        <v>394</v>
      </c>
      <c r="G146" s="346">
        <v>260</v>
      </c>
      <c r="H146" s="346">
        <v>7365</v>
      </c>
      <c r="I146" s="345">
        <v>7105</v>
      </c>
      <c r="J146" s="345">
        <v>16</v>
      </c>
      <c r="K146" s="347">
        <v>87.72</v>
      </c>
      <c r="L146" s="347">
        <v>85.84</v>
      </c>
      <c r="M146" s="347">
        <v>7.81</v>
      </c>
      <c r="N146" s="347">
        <v>92.57</v>
      </c>
      <c r="O146" s="348">
        <v>5728</v>
      </c>
      <c r="P146" s="345">
        <v>78.75</v>
      </c>
      <c r="Q146" s="345">
        <v>77.08</v>
      </c>
      <c r="R146" s="345">
        <v>39.36</v>
      </c>
      <c r="S146" s="345">
        <v>116.57</v>
      </c>
      <c r="T146" s="345">
        <v>538</v>
      </c>
      <c r="U146" s="345">
        <v>121.57</v>
      </c>
      <c r="V146" s="345">
        <v>303</v>
      </c>
      <c r="W146" s="345">
        <v>95.7</v>
      </c>
      <c r="X146" s="345">
        <v>14</v>
      </c>
      <c r="Y146" s="345">
        <v>12</v>
      </c>
      <c r="Z146" s="345">
        <v>10</v>
      </c>
      <c r="AA146" s="345">
        <v>1</v>
      </c>
      <c r="AB146" s="345">
        <v>0</v>
      </c>
      <c r="AC146" s="345">
        <v>5</v>
      </c>
      <c r="AD146" s="349">
        <v>6088</v>
      </c>
      <c r="AE146" s="349">
        <v>25</v>
      </c>
      <c r="AF146" s="349">
        <v>16</v>
      </c>
      <c r="AG146" s="349">
        <v>41</v>
      </c>
    </row>
    <row r="147" spans="1:33" x14ac:dyDescent="0.2">
      <c r="A147" s="344" t="s">
        <v>350</v>
      </c>
      <c r="B147" s="350" t="s">
        <v>351</v>
      </c>
      <c r="C147" s="346">
        <v>54</v>
      </c>
      <c r="D147" s="346">
        <v>0</v>
      </c>
      <c r="E147" s="346">
        <v>0</v>
      </c>
      <c r="F147" s="346">
        <v>7</v>
      </c>
      <c r="G147" s="346">
        <v>0</v>
      </c>
      <c r="H147" s="346">
        <v>61</v>
      </c>
      <c r="I147" s="345">
        <v>61</v>
      </c>
      <c r="J147" s="345">
        <v>0</v>
      </c>
      <c r="K147" s="347">
        <v>99.27</v>
      </c>
      <c r="L147" s="347">
        <v>103.2</v>
      </c>
      <c r="M147" s="347">
        <v>3.73</v>
      </c>
      <c r="N147" s="347">
        <v>100.38</v>
      </c>
      <c r="O147" s="348">
        <v>27</v>
      </c>
      <c r="P147" s="345">
        <v>81.760000000000005</v>
      </c>
      <c r="Q147" s="345">
        <v>86.48</v>
      </c>
      <c r="R147" s="345">
        <v>17.350000000000001</v>
      </c>
      <c r="S147" s="345">
        <v>96.63</v>
      </c>
      <c r="T147" s="345">
        <v>7</v>
      </c>
      <c r="U147" s="345">
        <v>115.08</v>
      </c>
      <c r="V147" s="345">
        <v>2</v>
      </c>
      <c r="W147" s="345">
        <v>0</v>
      </c>
      <c r="X147" s="345">
        <v>0</v>
      </c>
      <c r="Y147" s="345">
        <v>0</v>
      </c>
      <c r="Z147" s="345">
        <v>0</v>
      </c>
      <c r="AA147" s="345">
        <v>0</v>
      </c>
      <c r="AB147" s="345">
        <v>0</v>
      </c>
      <c r="AC147" s="345">
        <v>0</v>
      </c>
      <c r="AD147" s="349">
        <v>27</v>
      </c>
      <c r="AE147" s="349">
        <v>1</v>
      </c>
      <c r="AF147" s="349">
        <v>0</v>
      </c>
      <c r="AG147" s="349">
        <v>1</v>
      </c>
    </row>
    <row r="148" spans="1:33" x14ac:dyDescent="0.2">
      <c r="A148" s="344" t="s">
        <v>352</v>
      </c>
      <c r="B148" s="350" t="s">
        <v>353</v>
      </c>
      <c r="C148" s="346">
        <v>13760</v>
      </c>
      <c r="D148" s="346">
        <v>326</v>
      </c>
      <c r="E148" s="346">
        <v>1246</v>
      </c>
      <c r="F148" s="346">
        <v>761</v>
      </c>
      <c r="G148" s="346">
        <v>1396</v>
      </c>
      <c r="H148" s="346">
        <v>17489</v>
      </c>
      <c r="I148" s="345">
        <v>16093</v>
      </c>
      <c r="J148" s="345">
        <v>149</v>
      </c>
      <c r="K148" s="347">
        <v>124.54</v>
      </c>
      <c r="L148" s="347">
        <v>133.37</v>
      </c>
      <c r="M148" s="347">
        <v>13.97</v>
      </c>
      <c r="N148" s="347">
        <v>135.22999999999999</v>
      </c>
      <c r="O148" s="348">
        <v>11884</v>
      </c>
      <c r="P148" s="345">
        <v>115.14</v>
      </c>
      <c r="Q148" s="345">
        <v>117.78</v>
      </c>
      <c r="R148" s="345">
        <v>53.05</v>
      </c>
      <c r="S148" s="345">
        <v>160.88999999999999</v>
      </c>
      <c r="T148" s="345">
        <v>1686</v>
      </c>
      <c r="U148" s="345">
        <v>182.42</v>
      </c>
      <c r="V148" s="345">
        <v>534</v>
      </c>
      <c r="W148" s="345">
        <v>172.98</v>
      </c>
      <c r="X148" s="345">
        <v>2</v>
      </c>
      <c r="Y148" s="345">
        <v>0</v>
      </c>
      <c r="Z148" s="345">
        <v>21</v>
      </c>
      <c r="AA148" s="345">
        <v>52</v>
      </c>
      <c r="AB148" s="345">
        <v>46</v>
      </c>
      <c r="AC148" s="345">
        <v>34</v>
      </c>
      <c r="AD148" s="349">
        <v>12696</v>
      </c>
      <c r="AE148" s="349">
        <v>123</v>
      </c>
      <c r="AF148" s="349">
        <v>101</v>
      </c>
      <c r="AG148" s="349">
        <v>224</v>
      </c>
    </row>
    <row r="149" spans="1:33" x14ac:dyDescent="0.2">
      <c r="A149" s="344" t="s">
        <v>354</v>
      </c>
      <c r="B149" s="350" t="s">
        <v>355</v>
      </c>
      <c r="C149" s="346">
        <v>10875</v>
      </c>
      <c r="D149" s="346">
        <v>142</v>
      </c>
      <c r="E149" s="346">
        <v>928</v>
      </c>
      <c r="F149" s="346">
        <v>943</v>
      </c>
      <c r="G149" s="346">
        <v>580</v>
      </c>
      <c r="H149" s="346">
        <v>13468</v>
      </c>
      <c r="I149" s="345">
        <v>12888</v>
      </c>
      <c r="J149" s="345">
        <v>65</v>
      </c>
      <c r="K149" s="347">
        <v>126.37</v>
      </c>
      <c r="L149" s="347">
        <v>141.4</v>
      </c>
      <c r="M149" s="347">
        <v>12.12</v>
      </c>
      <c r="N149" s="347">
        <v>134.55000000000001</v>
      </c>
      <c r="O149" s="348">
        <v>9420</v>
      </c>
      <c r="P149" s="345">
        <v>114.16</v>
      </c>
      <c r="Q149" s="345">
        <v>121.27</v>
      </c>
      <c r="R149" s="345">
        <v>59.58</v>
      </c>
      <c r="S149" s="345">
        <v>161.62</v>
      </c>
      <c r="T149" s="345">
        <v>1459</v>
      </c>
      <c r="U149" s="345">
        <v>209.32</v>
      </c>
      <c r="V149" s="345">
        <v>620</v>
      </c>
      <c r="W149" s="345">
        <v>186.28</v>
      </c>
      <c r="X149" s="345">
        <v>34</v>
      </c>
      <c r="Y149" s="345">
        <v>5</v>
      </c>
      <c r="Z149" s="345">
        <v>0</v>
      </c>
      <c r="AA149" s="345">
        <v>0</v>
      </c>
      <c r="AB149" s="345">
        <v>0</v>
      </c>
      <c r="AC149" s="345">
        <v>9</v>
      </c>
      <c r="AD149" s="349">
        <v>10020</v>
      </c>
      <c r="AE149" s="349">
        <v>22</v>
      </c>
      <c r="AF149" s="349">
        <v>67</v>
      </c>
      <c r="AG149" s="349">
        <v>89</v>
      </c>
    </row>
    <row r="150" spans="1:33" x14ac:dyDescent="0.2">
      <c r="A150" s="344" t="s">
        <v>356</v>
      </c>
      <c r="B150" s="350" t="s">
        <v>357</v>
      </c>
      <c r="C150" s="346">
        <v>8481</v>
      </c>
      <c r="D150" s="346">
        <v>0</v>
      </c>
      <c r="E150" s="346">
        <v>278</v>
      </c>
      <c r="F150" s="346">
        <v>940</v>
      </c>
      <c r="G150" s="346">
        <v>217</v>
      </c>
      <c r="H150" s="346">
        <v>9916</v>
      </c>
      <c r="I150" s="345">
        <v>9699</v>
      </c>
      <c r="J150" s="345">
        <v>0</v>
      </c>
      <c r="K150" s="347">
        <v>83.13</v>
      </c>
      <c r="L150" s="347">
        <v>83.16</v>
      </c>
      <c r="M150" s="347">
        <v>4.3899999999999997</v>
      </c>
      <c r="N150" s="347">
        <v>84.59</v>
      </c>
      <c r="O150" s="348">
        <v>7781</v>
      </c>
      <c r="P150" s="345">
        <v>86.46</v>
      </c>
      <c r="Q150" s="345">
        <v>78.52</v>
      </c>
      <c r="R150" s="345">
        <v>25.86</v>
      </c>
      <c r="S150" s="345">
        <v>110.82</v>
      </c>
      <c r="T150" s="345">
        <v>1180</v>
      </c>
      <c r="U150" s="345">
        <v>103.38</v>
      </c>
      <c r="V150" s="345">
        <v>652</v>
      </c>
      <c r="W150" s="345">
        <v>94.93</v>
      </c>
      <c r="X150" s="345">
        <v>10</v>
      </c>
      <c r="Y150" s="345">
        <v>208</v>
      </c>
      <c r="Z150" s="345">
        <v>33</v>
      </c>
      <c r="AA150" s="345">
        <v>0</v>
      </c>
      <c r="AB150" s="345">
        <v>14</v>
      </c>
      <c r="AC150" s="345">
        <v>3</v>
      </c>
      <c r="AD150" s="349">
        <v>8466</v>
      </c>
      <c r="AE150" s="349">
        <v>40</v>
      </c>
      <c r="AF150" s="349">
        <v>89</v>
      </c>
      <c r="AG150" s="349">
        <v>129</v>
      </c>
    </row>
    <row r="151" spans="1:33" x14ac:dyDescent="0.2">
      <c r="A151" s="344" t="s">
        <v>358</v>
      </c>
      <c r="B151" s="350" t="s">
        <v>359</v>
      </c>
      <c r="C151" s="346">
        <v>7203</v>
      </c>
      <c r="D151" s="346">
        <v>5</v>
      </c>
      <c r="E151" s="346">
        <v>1004</v>
      </c>
      <c r="F151" s="346">
        <v>1100</v>
      </c>
      <c r="G151" s="346">
        <v>310</v>
      </c>
      <c r="H151" s="346">
        <v>9622</v>
      </c>
      <c r="I151" s="345">
        <v>9312</v>
      </c>
      <c r="J151" s="345">
        <v>1</v>
      </c>
      <c r="K151" s="347">
        <v>80.989999999999995</v>
      </c>
      <c r="L151" s="347">
        <v>80.11</v>
      </c>
      <c r="M151" s="347">
        <v>7.02</v>
      </c>
      <c r="N151" s="347">
        <v>86.48</v>
      </c>
      <c r="O151" s="348">
        <v>6135</v>
      </c>
      <c r="P151" s="345">
        <v>78.88</v>
      </c>
      <c r="Q151" s="345">
        <v>75.72</v>
      </c>
      <c r="R151" s="345">
        <v>50.58</v>
      </c>
      <c r="S151" s="345">
        <v>128.24</v>
      </c>
      <c r="T151" s="345">
        <v>1566</v>
      </c>
      <c r="U151" s="345">
        <v>94.96</v>
      </c>
      <c r="V151" s="345">
        <v>920</v>
      </c>
      <c r="W151" s="345">
        <v>227.3</v>
      </c>
      <c r="X151" s="345">
        <v>30</v>
      </c>
      <c r="Y151" s="345">
        <v>0</v>
      </c>
      <c r="Z151" s="345">
        <v>9</v>
      </c>
      <c r="AA151" s="345">
        <v>16</v>
      </c>
      <c r="AB151" s="345">
        <v>8</v>
      </c>
      <c r="AC151" s="345">
        <v>5</v>
      </c>
      <c r="AD151" s="349">
        <v>7042</v>
      </c>
      <c r="AE151" s="349">
        <v>52</v>
      </c>
      <c r="AF151" s="349">
        <v>32</v>
      </c>
      <c r="AG151" s="349">
        <v>84</v>
      </c>
    </row>
    <row r="152" spans="1:33" x14ac:dyDescent="0.2">
      <c r="A152" s="344" t="s">
        <v>360</v>
      </c>
      <c r="B152" s="350" t="s">
        <v>361</v>
      </c>
      <c r="C152" s="346">
        <v>2177</v>
      </c>
      <c r="D152" s="346">
        <v>89</v>
      </c>
      <c r="E152" s="346">
        <v>304</v>
      </c>
      <c r="F152" s="346">
        <v>219</v>
      </c>
      <c r="G152" s="346">
        <v>317</v>
      </c>
      <c r="H152" s="346">
        <v>3106</v>
      </c>
      <c r="I152" s="345">
        <v>2789</v>
      </c>
      <c r="J152" s="345">
        <v>16</v>
      </c>
      <c r="K152" s="347">
        <v>127.33</v>
      </c>
      <c r="L152" s="347">
        <v>129.22999999999999</v>
      </c>
      <c r="M152" s="347">
        <v>10.81</v>
      </c>
      <c r="N152" s="347">
        <v>136.58000000000001</v>
      </c>
      <c r="O152" s="348">
        <v>1584</v>
      </c>
      <c r="P152" s="345">
        <v>129.66</v>
      </c>
      <c r="Q152" s="345">
        <v>102.79</v>
      </c>
      <c r="R152" s="345">
        <v>44.88</v>
      </c>
      <c r="S152" s="345">
        <v>174.54</v>
      </c>
      <c r="T152" s="345">
        <v>328</v>
      </c>
      <c r="U152" s="345">
        <v>218.27</v>
      </c>
      <c r="V152" s="345">
        <v>327</v>
      </c>
      <c r="W152" s="345">
        <v>0</v>
      </c>
      <c r="X152" s="345">
        <v>0</v>
      </c>
      <c r="Y152" s="345">
        <v>0</v>
      </c>
      <c r="Z152" s="345">
        <v>0</v>
      </c>
      <c r="AA152" s="345">
        <v>7</v>
      </c>
      <c r="AB152" s="345">
        <v>23</v>
      </c>
      <c r="AC152" s="345">
        <v>6</v>
      </c>
      <c r="AD152" s="349">
        <v>1914</v>
      </c>
      <c r="AE152" s="349">
        <v>21</v>
      </c>
      <c r="AF152" s="349">
        <v>10</v>
      </c>
      <c r="AG152" s="349">
        <v>31</v>
      </c>
    </row>
    <row r="153" spans="1:33" x14ac:dyDescent="0.2">
      <c r="A153" s="344" t="s">
        <v>362</v>
      </c>
      <c r="B153" s="350" t="s">
        <v>363</v>
      </c>
      <c r="C153" s="346">
        <v>4194</v>
      </c>
      <c r="D153" s="346">
        <v>26</v>
      </c>
      <c r="E153" s="346">
        <v>384</v>
      </c>
      <c r="F153" s="346">
        <v>1258</v>
      </c>
      <c r="G153" s="346">
        <v>314</v>
      </c>
      <c r="H153" s="346">
        <v>6176</v>
      </c>
      <c r="I153" s="345">
        <v>5862</v>
      </c>
      <c r="J153" s="345">
        <v>8</v>
      </c>
      <c r="K153" s="347">
        <v>84.59</v>
      </c>
      <c r="L153" s="347">
        <v>82.21</v>
      </c>
      <c r="M153" s="347">
        <v>5.57</v>
      </c>
      <c r="N153" s="347">
        <v>88.79</v>
      </c>
      <c r="O153" s="348">
        <v>3548</v>
      </c>
      <c r="P153" s="345">
        <v>79.069999999999993</v>
      </c>
      <c r="Q153" s="345">
        <v>75.22</v>
      </c>
      <c r="R153" s="345">
        <v>35.97</v>
      </c>
      <c r="S153" s="345">
        <v>114.47</v>
      </c>
      <c r="T153" s="345">
        <v>1466</v>
      </c>
      <c r="U153" s="345">
        <v>95.81</v>
      </c>
      <c r="V153" s="345">
        <v>535</v>
      </c>
      <c r="W153" s="345">
        <v>98.43</v>
      </c>
      <c r="X153" s="345">
        <v>30</v>
      </c>
      <c r="Y153" s="345">
        <v>0</v>
      </c>
      <c r="Z153" s="345">
        <v>8</v>
      </c>
      <c r="AA153" s="345">
        <v>22</v>
      </c>
      <c r="AB153" s="345">
        <v>28</v>
      </c>
      <c r="AC153" s="345">
        <v>6</v>
      </c>
      <c r="AD153" s="349">
        <v>4184</v>
      </c>
      <c r="AE153" s="349">
        <v>21</v>
      </c>
      <c r="AF153" s="349">
        <v>12</v>
      </c>
      <c r="AG153" s="349">
        <v>33</v>
      </c>
    </row>
    <row r="154" spans="1:33" x14ac:dyDescent="0.2">
      <c r="A154" s="344" t="s">
        <v>364</v>
      </c>
      <c r="B154" s="350" t="s">
        <v>365</v>
      </c>
      <c r="C154" s="346">
        <v>16070</v>
      </c>
      <c r="D154" s="346">
        <v>9</v>
      </c>
      <c r="E154" s="346">
        <v>679</v>
      </c>
      <c r="F154" s="346">
        <v>1396</v>
      </c>
      <c r="G154" s="346">
        <v>357</v>
      </c>
      <c r="H154" s="346">
        <v>18511</v>
      </c>
      <c r="I154" s="345">
        <v>18154</v>
      </c>
      <c r="J154" s="345">
        <v>12</v>
      </c>
      <c r="K154" s="347">
        <v>83.47</v>
      </c>
      <c r="L154" s="347">
        <v>83.33</v>
      </c>
      <c r="M154" s="347">
        <v>11.18</v>
      </c>
      <c r="N154" s="347">
        <v>86.1</v>
      </c>
      <c r="O154" s="348">
        <v>14605</v>
      </c>
      <c r="P154" s="345">
        <v>84.78</v>
      </c>
      <c r="Q154" s="345">
        <v>75.84</v>
      </c>
      <c r="R154" s="345">
        <v>30.79</v>
      </c>
      <c r="S154" s="345">
        <v>111.16</v>
      </c>
      <c r="T154" s="345">
        <v>1662</v>
      </c>
      <c r="U154" s="345">
        <v>105.04</v>
      </c>
      <c r="V154" s="345">
        <v>1131</v>
      </c>
      <c r="W154" s="345">
        <v>141.91</v>
      </c>
      <c r="X154" s="345">
        <v>206</v>
      </c>
      <c r="Y154" s="345">
        <v>0</v>
      </c>
      <c r="Z154" s="345">
        <v>113</v>
      </c>
      <c r="AA154" s="345">
        <v>1</v>
      </c>
      <c r="AB154" s="345">
        <v>72</v>
      </c>
      <c r="AC154" s="345">
        <v>10</v>
      </c>
      <c r="AD154" s="349">
        <v>15821</v>
      </c>
      <c r="AE154" s="349">
        <v>240</v>
      </c>
      <c r="AF154" s="349">
        <v>145</v>
      </c>
      <c r="AG154" s="349">
        <v>385</v>
      </c>
    </row>
    <row r="155" spans="1:33" x14ac:dyDescent="0.2">
      <c r="A155" s="344" t="s">
        <v>366</v>
      </c>
      <c r="B155" s="350" t="s">
        <v>367</v>
      </c>
      <c r="C155" s="346">
        <v>21145</v>
      </c>
      <c r="D155" s="346">
        <v>97</v>
      </c>
      <c r="E155" s="346">
        <v>1818</v>
      </c>
      <c r="F155" s="346">
        <v>1405</v>
      </c>
      <c r="G155" s="346">
        <v>2255</v>
      </c>
      <c r="H155" s="346">
        <v>26720</v>
      </c>
      <c r="I155" s="345">
        <v>24465</v>
      </c>
      <c r="J155" s="345">
        <v>287</v>
      </c>
      <c r="K155" s="347">
        <v>117.27</v>
      </c>
      <c r="L155" s="347">
        <v>123.18</v>
      </c>
      <c r="M155" s="347">
        <v>13.46</v>
      </c>
      <c r="N155" s="347">
        <v>128.49</v>
      </c>
      <c r="O155" s="348">
        <v>18595</v>
      </c>
      <c r="P155" s="345">
        <v>112.64</v>
      </c>
      <c r="Q155" s="345">
        <v>108.83</v>
      </c>
      <c r="R155" s="345">
        <v>55.15</v>
      </c>
      <c r="S155" s="345">
        <v>156.69999999999999</v>
      </c>
      <c r="T155" s="345">
        <v>2947</v>
      </c>
      <c r="U155" s="345">
        <v>185.7</v>
      </c>
      <c r="V155" s="345">
        <v>1324</v>
      </c>
      <c r="W155" s="345">
        <v>187.78</v>
      </c>
      <c r="X155" s="345">
        <v>72</v>
      </c>
      <c r="Y155" s="345">
        <v>24</v>
      </c>
      <c r="Z155" s="345">
        <v>3</v>
      </c>
      <c r="AA155" s="345">
        <v>22</v>
      </c>
      <c r="AB155" s="345">
        <v>106</v>
      </c>
      <c r="AC155" s="345">
        <v>54</v>
      </c>
      <c r="AD155" s="349">
        <v>20012</v>
      </c>
      <c r="AE155" s="349">
        <v>113</v>
      </c>
      <c r="AF155" s="349">
        <v>144</v>
      </c>
      <c r="AG155" s="349">
        <v>257</v>
      </c>
    </row>
    <row r="156" spans="1:33" x14ac:dyDescent="0.2">
      <c r="A156" s="344" t="s">
        <v>368</v>
      </c>
      <c r="B156" s="350" t="s">
        <v>369</v>
      </c>
      <c r="C156" s="346">
        <v>1983</v>
      </c>
      <c r="D156" s="346">
        <v>0</v>
      </c>
      <c r="E156" s="346">
        <v>372</v>
      </c>
      <c r="F156" s="346">
        <v>494</v>
      </c>
      <c r="G156" s="346">
        <v>251</v>
      </c>
      <c r="H156" s="346">
        <v>3100</v>
      </c>
      <c r="I156" s="345">
        <v>2849</v>
      </c>
      <c r="J156" s="345">
        <v>0</v>
      </c>
      <c r="K156" s="347">
        <v>83.5</v>
      </c>
      <c r="L156" s="347">
        <v>79.98</v>
      </c>
      <c r="M156" s="347">
        <v>5.81</v>
      </c>
      <c r="N156" s="347">
        <v>88.64</v>
      </c>
      <c r="O156" s="348">
        <v>1334</v>
      </c>
      <c r="P156" s="345">
        <v>88.17</v>
      </c>
      <c r="Q156" s="345">
        <v>73.11</v>
      </c>
      <c r="R156" s="345">
        <v>57.78</v>
      </c>
      <c r="S156" s="345">
        <v>145.94</v>
      </c>
      <c r="T156" s="345">
        <v>738</v>
      </c>
      <c r="U156" s="345">
        <v>103.28</v>
      </c>
      <c r="V156" s="345">
        <v>575</v>
      </c>
      <c r="W156" s="345">
        <v>135.66999999999999</v>
      </c>
      <c r="X156" s="345">
        <v>12</v>
      </c>
      <c r="Y156" s="345">
        <v>4</v>
      </c>
      <c r="Z156" s="345">
        <v>0</v>
      </c>
      <c r="AA156" s="345">
        <v>1</v>
      </c>
      <c r="AB156" s="345">
        <v>28</v>
      </c>
      <c r="AC156" s="345">
        <v>7</v>
      </c>
      <c r="AD156" s="349">
        <v>1941</v>
      </c>
      <c r="AE156" s="349">
        <v>25</v>
      </c>
      <c r="AF156" s="349">
        <v>5</v>
      </c>
      <c r="AG156" s="349">
        <v>30</v>
      </c>
    </row>
    <row r="157" spans="1:33" x14ac:dyDescent="0.2">
      <c r="A157" s="344" t="s">
        <v>370</v>
      </c>
      <c r="B157" s="350" t="s">
        <v>371</v>
      </c>
      <c r="C157" s="346">
        <v>13148</v>
      </c>
      <c r="D157" s="346">
        <v>59</v>
      </c>
      <c r="E157" s="346">
        <v>1336</v>
      </c>
      <c r="F157" s="346">
        <v>2744</v>
      </c>
      <c r="G157" s="346">
        <v>1263</v>
      </c>
      <c r="H157" s="346">
        <v>18550</v>
      </c>
      <c r="I157" s="345">
        <v>17287</v>
      </c>
      <c r="J157" s="345">
        <v>9</v>
      </c>
      <c r="K157" s="347">
        <v>83.22</v>
      </c>
      <c r="L157" s="347">
        <v>81.739999999999995</v>
      </c>
      <c r="M157" s="347">
        <v>7.03</v>
      </c>
      <c r="N157" s="347">
        <v>87.69</v>
      </c>
      <c r="O157" s="348">
        <v>11027</v>
      </c>
      <c r="P157" s="345">
        <v>92.61</v>
      </c>
      <c r="Q157" s="345">
        <v>75.83</v>
      </c>
      <c r="R157" s="345">
        <v>47.89</v>
      </c>
      <c r="S157" s="345">
        <v>137.74</v>
      </c>
      <c r="T157" s="345">
        <v>3216</v>
      </c>
      <c r="U157" s="345">
        <v>104.08</v>
      </c>
      <c r="V157" s="345">
        <v>1267</v>
      </c>
      <c r="W157" s="345">
        <v>110.01</v>
      </c>
      <c r="X157" s="345">
        <v>23</v>
      </c>
      <c r="Y157" s="345">
        <v>10</v>
      </c>
      <c r="Z157" s="345">
        <v>9</v>
      </c>
      <c r="AA157" s="345">
        <v>65</v>
      </c>
      <c r="AB157" s="345">
        <v>100</v>
      </c>
      <c r="AC157" s="345">
        <v>46</v>
      </c>
      <c r="AD157" s="349">
        <v>12775</v>
      </c>
      <c r="AE157" s="349">
        <v>125</v>
      </c>
      <c r="AF157" s="349">
        <v>48</v>
      </c>
      <c r="AG157" s="349">
        <v>173</v>
      </c>
    </row>
    <row r="158" spans="1:33" x14ac:dyDescent="0.2">
      <c r="A158" s="344" t="s">
        <v>372</v>
      </c>
      <c r="B158" s="350" t="s">
        <v>373</v>
      </c>
      <c r="C158" s="346">
        <v>8616</v>
      </c>
      <c r="D158" s="346">
        <v>0</v>
      </c>
      <c r="E158" s="346">
        <v>919</v>
      </c>
      <c r="F158" s="346">
        <v>891</v>
      </c>
      <c r="G158" s="346">
        <v>578</v>
      </c>
      <c r="H158" s="346">
        <v>11004</v>
      </c>
      <c r="I158" s="345">
        <v>10426</v>
      </c>
      <c r="J158" s="345">
        <v>7</v>
      </c>
      <c r="K158" s="347">
        <v>83.47</v>
      </c>
      <c r="L158" s="347">
        <v>82.21</v>
      </c>
      <c r="M158" s="347">
        <v>8.5</v>
      </c>
      <c r="N158" s="347">
        <v>89.12</v>
      </c>
      <c r="O158" s="348">
        <v>7251</v>
      </c>
      <c r="P158" s="345">
        <v>92.07</v>
      </c>
      <c r="Q158" s="345">
        <v>77.2</v>
      </c>
      <c r="R158" s="345">
        <v>47.27</v>
      </c>
      <c r="S158" s="345">
        <v>138.06</v>
      </c>
      <c r="T158" s="345">
        <v>1515</v>
      </c>
      <c r="U158" s="345">
        <v>107.72</v>
      </c>
      <c r="V158" s="345">
        <v>971</v>
      </c>
      <c r="W158" s="345">
        <v>108.71</v>
      </c>
      <c r="X158" s="345">
        <v>86</v>
      </c>
      <c r="Y158" s="345">
        <v>0</v>
      </c>
      <c r="Z158" s="345">
        <v>8</v>
      </c>
      <c r="AA158" s="345">
        <v>43</v>
      </c>
      <c r="AB158" s="345">
        <v>30</v>
      </c>
      <c r="AC158" s="345">
        <v>18</v>
      </c>
      <c r="AD158" s="349">
        <v>8372</v>
      </c>
      <c r="AE158" s="349">
        <v>25</v>
      </c>
      <c r="AF158" s="349">
        <v>28</v>
      </c>
      <c r="AG158" s="349">
        <v>53</v>
      </c>
    </row>
    <row r="159" spans="1:33" x14ac:dyDescent="0.2">
      <c r="A159" s="344" t="s">
        <v>374</v>
      </c>
      <c r="B159" s="350" t="s">
        <v>375</v>
      </c>
      <c r="C159" s="346">
        <v>1125</v>
      </c>
      <c r="D159" s="346">
        <v>0</v>
      </c>
      <c r="E159" s="346">
        <v>172</v>
      </c>
      <c r="F159" s="346">
        <v>334</v>
      </c>
      <c r="G159" s="346">
        <v>275</v>
      </c>
      <c r="H159" s="346">
        <v>1906</v>
      </c>
      <c r="I159" s="345">
        <v>1631</v>
      </c>
      <c r="J159" s="345">
        <v>1</v>
      </c>
      <c r="K159" s="347">
        <v>91.6</v>
      </c>
      <c r="L159" s="347">
        <v>90.43</v>
      </c>
      <c r="M159" s="347">
        <v>9.3000000000000007</v>
      </c>
      <c r="N159" s="347">
        <v>99.81</v>
      </c>
      <c r="O159" s="348">
        <v>952</v>
      </c>
      <c r="P159" s="345">
        <v>84.72</v>
      </c>
      <c r="Q159" s="345">
        <v>80.92</v>
      </c>
      <c r="R159" s="345">
        <v>64.12</v>
      </c>
      <c r="S159" s="345">
        <v>148.21</v>
      </c>
      <c r="T159" s="345">
        <v>202</v>
      </c>
      <c r="U159" s="345">
        <v>156.34</v>
      </c>
      <c r="V159" s="345">
        <v>148</v>
      </c>
      <c r="W159" s="345">
        <v>146.47</v>
      </c>
      <c r="X159" s="345">
        <v>9</v>
      </c>
      <c r="Y159" s="345">
        <v>0</v>
      </c>
      <c r="Z159" s="345">
        <v>4</v>
      </c>
      <c r="AA159" s="345">
        <v>0</v>
      </c>
      <c r="AB159" s="345">
        <v>42</v>
      </c>
      <c r="AC159" s="345">
        <v>10</v>
      </c>
      <c r="AD159" s="349">
        <v>1111</v>
      </c>
      <c r="AE159" s="349">
        <v>4</v>
      </c>
      <c r="AF159" s="349">
        <v>5</v>
      </c>
      <c r="AG159" s="349">
        <v>9</v>
      </c>
    </row>
    <row r="160" spans="1:33" x14ac:dyDescent="0.2">
      <c r="A160" s="344" t="s">
        <v>376</v>
      </c>
      <c r="B160" s="350" t="s">
        <v>377</v>
      </c>
      <c r="C160" s="346">
        <v>21080</v>
      </c>
      <c r="D160" s="346">
        <v>192</v>
      </c>
      <c r="E160" s="346">
        <v>1213</v>
      </c>
      <c r="F160" s="346">
        <v>619</v>
      </c>
      <c r="G160" s="346">
        <v>1833</v>
      </c>
      <c r="H160" s="346">
        <v>24937</v>
      </c>
      <c r="I160" s="345">
        <v>23104</v>
      </c>
      <c r="J160" s="345">
        <v>124</v>
      </c>
      <c r="K160" s="347">
        <v>109.32</v>
      </c>
      <c r="L160" s="347">
        <v>111.61</v>
      </c>
      <c r="M160" s="347">
        <v>11.3</v>
      </c>
      <c r="N160" s="347">
        <v>116.24</v>
      </c>
      <c r="O160" s="348">
        <v>18548</v>
      </c>
      <c r="P160" s="345">
        <v>106.26</v>
      </c>
      <c r="Q160" s="345">
        <v>105.16</v>
      </c>
      <c r="R160" s="345">
        <v>68.599999999999994</v>
      </c>
      <c r="S160" s="345">
        <v>163.87</v>
      </c>
      <c r="T160" s="345">
        <v>1585</v>
      </c>
      <c r="U160" s="345">
        <v>175.58</v>
      </c>
      <c r="V160" s="345">
        <v>1405</v>
      </c>
      <c r="W160" s="345">
        <v>259.60000000000002</v>
      </c>
      <c r="X160" s="345">
        <v>126</v>
      </c>
      <c r="Y160" s="345">
        <v>0</v>
      </c>
      <c r="Z160" s="345">
        <v>18</v>
      </c>
      <c r="AA160" s="345">
        <v>6</v>
      </c>
      <c r="AB160" s="345">
        <v>51</v>
      </c>
      <c r="AC160" s="345">
        <v>66</v>
      </c>
      <c r="AD160" s="349">
        <v>20021</v>
      </c>
      <c r="AE160" s="349">
        <v>159</v>
      </c>
      <c r="AF160" s="349">
        <v>172</v>
      </c>
      <c r="AG160" s="349">
        <v>331</v>
      </c>
    </row>
    <row r="161" spans="1:33" x14ac:dyDescent="0.2">
      <c r="A161" s="344" t="s">
        <v>378</v>
      </c>
      <c r="B161" s="350" t="s">
        <v>379</v>
      </c>
      <c r="C161" s="346">
        <v>5447</v>
      </c>
      <c r="D161" s="346">
        <v>16</v>
      </c>
      <c r="E161" s="346">
        <v>132</v>
      </c>
      <c r="F161" s="346">
        <v>269</v>
      </c>
      <c r="G161" s="346">
        <v>325</v>
      </c>
      <c r="H161" s="346">
        <v>6189</v>
      </c>
      <c r="I161" s="345">
        <v>5864</v>
      </c>
      <c r="J161" s="345">
        <v>0</v>
      </c>
      <c r="K161" s="347">
        <v>87.87</v>
      </c>
      <c r="L161" s="347">
        <v>84.3</v>
      </c>
      <c r="M161" s="347">
        <v>2.92</v>
      </c>
      <c r="N161" s="347">
        <v>90.01</v>
      </c>
      <c r="O161" s="348">
        <v>4963</v>
      </c>
      <c r="P161" s="345">
        <v>97.5</v>
      </c>
      <c r="Q161" s="345">
        <v>89.34</v>
      </c>
      <c r="R161" s="345">
        <v>33.22</v>
      </c>
      <c r="S161" s="345">
        <v>128.65</v>
      </c>
      <c r="T161" s="345">
        <v>401</v>
      </c>
      <c r="U161" s="345">
        <v>109.78</v>
      </c>
      <c r="V161" s="345">
        <v>461</v>
      </c>
      <c r="W161" s="345">
        <v>0</v>
      </c>
      <c r="X161" s="345">
        <v>0</v>
      </c>
      <c r="Y161" s="345">
        <v>0</v>
      </c>
      <c r="Z161" s="345">
        <v>19</v>
      </c>
      <c r="AA161" s="345">
        <v>8</v>
      </c>
      <c r="AB161" s="345">
        <v>79</v>
      </c>
      <c r="AC161" s="345">
        <v>9</v>
      </c>
      <c r="AD161" s="349">
        <v>5445</v>
      </c>
      <c r="AE161" s="349">
        <v>22</v>
      </c>
      <c r="AF161" s="349">
        <v>31</v>
      </c>
      <c r="AG161" s="349">
        <v>53</v>
      </c>
    </row>
    <row r="162" spans="1:33" x14ac:dyDescent="0.2">
      <c r="A162" s="344" t="s">
        <v>380</v>
      </c>
      <c r="B162" s="350" t="s">
        <v>381</v>
      </c>
      <c r="C162" s="346">
        <v>1314</v>
      </c>
      <c r="D162" s="346">
        <v>0</v>
      </c>
      <c r="E162" s="346">
        <v>496</v>
      </c>
      <c r="F162" s="346">
        <v>161</v>
      </c>
      <c r="G162" s="346">
        <v>268</v>
      </c>
      <c r="H162" s="346">
        <v>2239</v>
      </c>
      <c r="I162" s="345">
        <v>1971</v>
      </c>
      <c r="J162" s="345">
        <v>5</v>
      </c>
      <c r="K162" s="347">
        <v>80.34</v>
      </c>
      <c r="L162" s="347">
        <v>79.06</v>
      </c>
      <c r="M162" s="347">
        <v>7.98</v>
      </c>
      <c r="N162" s="347">
        <v>86.34</v>
      </c>
      <c r="O162" s="348">
        <v>1012</v>
      </c>
      <c r="P162" s="345">
        <v>104.56</v>
      </c>
      <c r="Q162" s="345">
        <v>83.47</v>
      </c>
      <c r="R162" s="345">
        <v>91.8</v>
      </c>
      <c r="S162" s="345">
        <v>196.36</v>
      </c>
      <c r="T162" s="345">
        <v>296</v>
      </c>
      <c r="U162" s="345">
        <v>97.58</v>
      </c>
      <c r="V162" s="345">
        <v>193</v>
      </c>
      <c r="W162" s="345">
        <v>276.74</v>
      </c>
      <c r="X162" s="345">
        <v>31</v>
      </c>
      <c r="Y162" s="345">
        <v>127</v>
      </c>
      <c r="Z162" s="345">
        <v>1</v>
      </c>
      <c r="AA162" s="345">
        <v>0</v>
      </c>
      <c r="AB162" s="345">
        <v>45</v>
      </c>
      <c r="AC162" s="345">
        <v>5</v>
      </c>
      <c r="AD162" s="349">
        <v>1294</v>
      </c>
      <c r="AE162" s="349">
        <v>7</v>
      </c>
      <c r="AF162" s="349">
        <v>6</v>
      </c>
      <c r="AG162" s="349">
        <v>13</v>
      </c>
    </row>
    <row r="163" spans="1:33" x14ac:dyDescent="0.2">
      <c r="A163" s="344" t="s">
        <v>382</v>
      </c>
      <c r="B163" s="350" t="s">
        <v>383</v>
      </c>
      <c r="C163" s="346">
        <v>52169</v>
      </c>
      <c r="D163" s="346">
        <v>32</v>
      </c>
      <c r="E163" s="346">
        <v>2472</v>
      </c>
      <c r="F163" s="346">
        <v>3962</v>
      </c>
      <c r="G163" s="346">
        <v>760</v>
      </c>
      <c r="H163" s="346">
        <v>59395</v>
      </c>
      <c r="I163" s="345">
        <v>58635</v>
      </c>
      <c r="J163" s="345">
        <v>301</v>
      </c>
      <c r="K163" s="347">
        <v>83.13</v>
      </c>
      <c r="L163" s="347">
        <v>82.56</v>
      </c>
      <c r="M163" s="347">
        <v>8.61</v>
      </c>
      <c r="N163" s="347">
        <v>85.47</v>
      </c>
      <c r="O163" s="348">
        <v>43876</v>
      </c>
      <c r="P163" s="345">
        <v>82.9</v>
      </c>
      <c r="Q163" s="345">
        <v>77.31</v>
      </c>
      <c r="R163" s="345">
        <v>43.36</v>
      </c>
      <c r="S163" s="345">
        <v>124.26</v>
      </c>
      <c r="T163" s="345">
        <v>5122</v>
      </c>
      <c r="U163" s="345">
        <v>100.57</v>
      </c>
      <c r="V163" s="345">
        <v>5582</v>
      </c>
      <c r="W163" s="345">
        <v>140.29</v>
      </c>
      <c r="X163" s="345">
        <v>109</v>
      </c>
      <c r="Y163" s="345">
        <v>8</v>
      </c>
      <c r="Z163" s="345">
        <v>213</v>
      </c>
      <c r="AA163" s="345">
        <v>76</v>
      </c>
      <c r="AB163" s="345">
        <v>110</v>
      </c>
      <c r="AC163" s="345">
        <v>21</v>
      </c>
      <c r="AD163" s="349">
        <v>49576</v>
      </c>
      <c r="AE163" s="349">
        <v>214</v>
      </c>
      <c r="AF163" s="349">
        <v>281</v>
      </c>
      <c r="AG163" s="349">
        <v>495</v>
      </c>
    </row>
    <row r="164" spans="1:33" x14ac:dyDescent="0.2">
      <c r="A164" s="344" t="s">
        <v>384</v>
      </c>
      <c r="B164" s="350" t="s">
        <v>385</v>
      </c>
      <c r="C164" s="346">
        <v>3779</v>
      </c>
      <c r="D164" s="346">
        <v>171</v>
      </c>
      <c r="E164" s="346">
        <v>297</v>
      </c>
      <c r="F164" s="346">
        <v>390</v>
      </c>
      <c r="G164" s="346">
        <v>213</v>
      </c>
      <c r="H164" s="346">
        <v>4850</v>
      </c>
      <c r="I164" s="345">
        <v>4637</v>
      </c>
      <c r="J164" s="345">
        <v>24</v>
      </c>
      <c r="K164" s="347">
        <v>100.24</v>
      </c>
      <c r="L164" s="347">
        <v>98.61</v>
      </c>
      <c r="M164" s="347">
        <v>6.01</v>
      </c>
      <c r="N164" s="347">
        <v>104.69</v>
      </c>
      <c r="O164" s="348">
        <v>2817</v>
      </c>
      <c r="P164" s="345">
        <v>99.59</v>
      </c>
      <c r="Q164" s="345">
        <v>96.81</v>
      </c>
      <c r="R164" s="345">
        <v>45.34</v>
      </c>
      <c r="S164" s="345">
        <v>143.02000000000001</v>
      </c>
      <c r="T164" s="345">
        <v>428</v>
      </c>
      <c r="U164" s="345">
        <v>132.68</v>
      </c>
      <c r="V164" s="345">
        <v>460</v>
      </c>
      <c r="W164" s="345">
        <v>173.4</v>
      </c>
      <c r="X164" s="345">
        <v>8</v>
      </c>
      <c r="Y164" s="345">
        <v>0</v>
      </c>
      <c r="Z164" s="345">
        <v>1</v>
      </c>
      <c r="AA164" s="345">
        <v>5</v>
      </c>
      <c r="AB164" s="345">
        <v>16</v>
      </c>
      <c r="AC164" s="345">
        <v>17</v>
      </c>
      <c r="AD164" s="349">
        <v>3409</v>
      </c>
      <c r="AE164" s="349">
        <v>14</v>
      </c>
      <c r="AF164" s="349">
        <v>6</v>
      </c>
      <c r="AG164" s="349">
        <v>20</v>
      </c>
    </row>
    <row r="165" spans="1:33" x14ac:dyDescent="0.2">
      <c r="A165" s="344" t="s">
        <v>386</v>
      </c>
      <c r="B165" s="350" t="s">
        <v>387</v>
      </c>
      <c r="C165" s="346">
        <v>7924</v>
      </c>
      <c r="D165" s="346">
        <v>0</v>
      </c>
      <c r="E165" s="346">
        <v>291</v>
      </c>
      <c r="F165" s="346">
        <v>1150</v>
      </c>
      <c r="G165" s="346">
        <v>879</v>
      </c>
      <c r="H165" s="346">
        <v>10244</v>
      </c>
      <c r="I165" s="345">
        <v>9365</v>
      </c>
      <c r="J165" s="345">
        <v>91</v>
      </c>
      <c r="K165" s="347">
        <v>96.79</v>
      </c>
      <c r="L165" s="347">
        <v>94.77</v>
      </c>
      <c r="M165" s="347">
        <v>6.03</v>
      </c>
      <c r="N165" s="347">
        <v>101.32</v>
      </c>
      <c r="O165" s="348">
        <v>6139</v>
      </c>
      <c r="P165" s="345">
        <v>87.86</v>
      </c>
      <c r="Q165" s="345">
        <v>85.01</v>
      </c>
      <c r="R165" s="345">
        <v>23.32</v>
      </c>
      <c r="S165" s="345">
        <v>110.93</v>
      </c>
      <c r="T165" s="345">
        <v>1270</v>
      </c>
      <c r="U165" s="345">
        <v>156.97</v>
      </c>
      <c r="V165" s="345">
        <v>1425</v>
      </c>
      <c r="W165" s="345">
        <v>185.28</v>
      </c>
      <c r="X165" s="345">
        <v>70</v>
      </c>
      <c r="Y165" s="345">
        <v>0</v>
      </c>
      <c r="Z165" s="345">
        <v>11</v>
      </c>
      <c r="AA165" s="345">
        <v>0</v>
      </c>
      <c r="AB165" s="345">
        <v>96</v>
      </c>
      <c r="AC165" s="345">
        <v>13</v>
      </c>
      <c r="AD165" s="349">
        <v>7461</v>
      </c>
      <c r="AE165" s="349">
        <v>52</v>
      </c>
      <c r="AF165" s="349">
        <v>20</v>
      </c>
      <c r="AG165" s="349">
        <v>72</v>
      </c>
    </row>
    <row r="166" spans="1:33" x14ac:dyDescent="0.2">
      <c r="A166" s="344" t="s">
        <v>388</v>
      </c>
      <c r="B166" s="350" t="s">
        <v>389</v>
      </c>
      <c r="C166" s="346">
        <v>2205</v>
      </c>
      <c r="D166" s="346">
        <v>0</v>
      </c>
      <c r="E166" s="346">
        <v>32</v>
      </c>
      <c r="F166" s="346">
        <v>811</v>
      </c>
      <c r="G166" s="346">
        <v>84</v>
      </c>
      <c r="H166" s="346">
        <v>3132</v>
      </c>
      <c r="I166" s="345">
        <v>3048</v>
      </c>
      <c r="J166" s="345">
        <v>0</v>
      </c>
      <c r="K166" s="347">
        <v>102.35</v>
      </c>
      <c r="L166" s="347">
        <v>101.52</v>
      </c>
      <c r="M166" s="347">
        <v>4.8</v>
      </c>
      <c r="N166" s="347">
        <v>105.39</v>
      </c>
      <c r="O166" s="348">
        <v>1925</v>
      </c>
      <c r="P166" s="345">
        <v>86.61</v>
      </c>
      <c r="Q166" s="345">
        <v>86.61</v>
      </c>
      <c r="R166" s="345">
        <v>17.41</v>
      </c>
      <c r="S166" s="345">
        <v>103.66</v>
      </c>
      <c r="T166" s="345">
        <v>765</v>
      </c>
      <c r="U166" s="345">
        <v>134.44999999999999</v>
      </c>
      <c r="V166" s="345">
        <v>267</v>
      </c>
      <c r="W166" s="345">
        <v>112.78</v>
      </c>
      <c r="X166" s="345">
        <v>1</v>
      </c>
      <c r="Y166" s="345">
        <v>0</v>
      </c>
      <c r="Z166" s="345">
        <v>0</v>
      </c>
      <c r="AA166" s="345">
        <v>1</v>
      </c>
      <c r="AB166" s="345">
        <v>0</v>
      </c>
      <c r="AC166" s="345">
        <v>1</v>
      </c>
      <c r="AD166" s="349">
        <v>2205</v>
      </c>
      <c r="AE166" s="349">
        <v>14</v>
      </c>
      <c r="AF166" s="349">
        <v>6</v>
      </c>
      <c r="AG166" s="349">
        <v>20</v>
      </c>
    </row>
    <row r="167" spans="1:33" x14ac:dyDescent="0.2">
      <c r="A167" s="344" t="s">
        <v>390</v>
      </c>
      <c r="B167" s="350" t="s">
        <v>391</v>
      </c>
      <c r="C167" s="346">
        <v>4300</v>
      </c>
      <c r="D167" s="346">
        <v>0</v>
      </c>
      <c r="E167" s="346">
        <v>67</v>
      </c>
      <c r="F167" s="346">
        <v>593</v>
      </c>
      <c r="G167" s="346">
        <v>329</v>
      </c>
      <c r="H167" s="346">
        <v>5289</v>
      </c>
      <c r="I167" s="345">
        <v>4960</v>
      </c>
      <c r="J167" s="345">
        <v>2</v>
      </c>
      <c r="K167" s="347">
        <v>95.68</v>
      </c>
      <c r="L167" s="347">
        <v>95.56</v>
      </c>
      <c r="M167" s="347">
        <v>3.86</v>
      </c>
      <c r="N167" s="347">
        <v>99.2</v>
      </c>
      <c r="O167" s="348">
        <v>3908</v>
      </c>
      <c r="P167" s="345">
        <v>90.12</v>
      </c>
      <c r="Q167" s="345">
        <v>91.22</v>
      </c>
      <c r="R167" s="345">
        <v>27.54</v>
      </c>
      <c r="S167" s="345">
        <v>117.53</v>
      </c>
      <c r="T167" s="345">
        <v>600</v>
      </c>
      <c r="U167" s="345">
        <v>111.94</v>
      </c>
      <c r="V167" s="345">
        <v>318</v>
      </c>
      <c r="W167" s="345">
        <v>178.74</v>
      </c>
      <c r="X167" s="345">
        <v>60</v>
      </c>
      <c r="Y167" s="345">
        <v>0</v>
      </c>
      <c r="Z167" s="345">
        <v>2</v>
      </c>
      <c r="AA167" s="345">
        <v>0</v>
      </c>
      <c r="AB167" s="345">
        <v>2</v>
      </c>
      <c r="AC167" s="345">
        <v>3</v>
      </c>
      <c r="AD167" s="349">
        <v>4299</v>
      </c>
      <c r="AE167" s="349">
        <v>14</v>
      </c>
      <c r="AF167" s="349">
        <v>1</v>
      </c>
      <c r="AG167" s="349">
        <v>15</v>
      </c>
    </row>
    <row r="168" spans="1:33" x14ac:dyDescent="0.2">
      <c r="A168" s="344" t="s">
        <v>392</v>
      </c>
      <c r="B168" s="350" t="s">
        <v>393</v>
      </c>
      <c r="C168" s="346">
        <v>46179</v>
      </c>
      <c r="D168" s="346">
        <v>74</v>
      </c>
      <c r="E168" s="346">
        <v>1663</v>
      </c>
      <c r="F168" s="346">
        <v>3197</v>
      </c>
      <c r="G168" s="346">
        <v>1261</v>
      </c>
      <c r="H168" s="346">
        <v>52374</v>
      </c>
      <c r="I168" s="345">
        <v>51113</v>
      </c>
      <c r="J168" s="345">
        <v>38</v>
      </c>
      <c r="K168" s="347">
        <v>80.900000000000006</v>
      </c>
      <c r="L168" s="347">
        <v>81.64</v>
      </c>
      <c r="M168" s="347">
        <v>4.8499999999999996</v>
      </c>
      <c r="N168" s="347">
        <v>82.7</v>
      </c>
      <c r="O168" s="348">
        <v>42570</v>
      </c>
      <c r="P168" s="345">
        <v>79.900000000000006</v>
      </c>
      <c r="Q168" s="345">
        <v>74.75</v>
      </c>
      <c r="R168" s="345">
        <v>40.47</v>
      </c>
      <c r="S168" s="345">
        <v>118.07</v>
      </c>
      <c r="T168" s="345">
        <v>4539</v>
      </c>
      <c r="U168" s="345">
        <v>108.82</v>
      </c>
      <c r="V168" s="345">
        <v>2935</v>
      </c>
      <c r="W168" s="345">
        <v>115.33</v>
      </c>
      <c r="X168" s="345">
        <v>2</v>
      </c>
      <c r="Y168" s="345">
        <v>13</v>
      </c>
      <c r="Z168" s="345">
        <v>255</v>
      </c>
      <c r="AA168" s="345">
        <v>3</v>
      </c>
      <c r="AB168" s="345">
        <v>145</v>
      </c>
      <c r="AC168" s="345">
        <v>51</v>
      </c>
      <c r="AD168" s="349">
        <v>45579</v>
      </c>
      <c r="AE168" s="349">
        <v>172</v>
      </c>
      <c r="AF168" s="349">
        <v>175</v>
      </c>
      <c r="AG168" s="349">
        <v>347</v>
      </c>
    </row>
    <row r="169" spans="1:33" x14ac:dyDescent="0.2">
      <c r="A169" s="344" t="s">
        <v>394</v>
      </c>
      <c r="B169" s="350" t="s">
        <v>395</v>
      </c>
      <c r="C169" s="346">
        <v>1705</v>
      </c>
      <c r="D169" s="346">
        <v>14</v>
      </c>
      <c r="E169" s="346">
        <v>397</v>
      </c>
      <c r="F169" s="346">
        <v>232</v>
      </c>
      <c r="G169" s="346">
        <v>124</v>
      </c>
      <c r="H169" s="346">
        <v>2472</v>
      </c>
      <c r="I169" s="345">
        <v>2348</v>
      </c>
      <c r="J169" s="345">
        <v>0</v>
      </c>
      <c r="K169" s="347">
        <v>81.209999999999994</v>
      </c>
      <c r="L169" s="347">
        <v>76.040000000000006</v>
      </c>
      <c r="M169" s="347">
        <v>5.93</v>
      </c>
      <c r="N169" s="347">
        <v>84.11</v>
      </c>
      <c r="O169" s="348">
        <v>1634</v>
      </c>
      <c r="P169" s="345">
        <v>105.97</v>
      </c>
      <c r="Q169" s="345">
        <v>75.400000000000006</v>
      </c>
      <c r="R169" s="345">
        <v>75.319999999999993</v>
      </c>
      <c r="S169" s="345">
        <v>176.99</v>
      </c>
      <c r="T169" s="345">
        <v>437</v>
      </c>
      <c r="U169" s="345">
        <v>93.15</v>
      </c>
      <c r="V169" s="345">
        <v>79</v>
      </c>
      <c r="W169" s="345">
        <v>0</v>
      </c>
      <c r="X169" s="345">
        <v>0</v>
      </c>
      <c r="Y169" s="345">
        <v>3</v>
      </c>
      <c r="Z169" s="345">
        <v>1</v>
      </c>
      <c r="AA169" s="345">
        <v>12</v>
      </c>
      <c r="AB169" s="345">
        <v>0</v>
      </c>
      <c r="AC169" s="345">
        <v>3</v>
      </c>
      <c r="AD169" s="349">
        <v>1705</v>
      </c>
      <c r="AE169" s="349">
        <v>11</v>
      </c>
      <c r="AF169" s="349">
        <v>12</v>
      </c>
      <c r="AG169" s="349">
        <v>23</v>
      </c>
    </row>
    <row r="170" spans="1:33" x14ac:dyDescent="0.2">
      <c r="A170" s="344" t="s">
        <v>396</v>
      </c>
      <c r="B170" s="350" t="s">
        <v>397</v>
      </c>
      <c r="C170" s="346">
        <v>4111</v>
      </c>
      <c r="D170" s="346">
        <v>0</v>
      </c>
      <c r="E170" s="346">
        <v>388</v>
      </c>
      <c r="F170" s="346">
        <v>750</v>
      </c>
      <c r="G170" s="346">
        <v>1197</v>
      </c>
      <c r="H170" s="346">
        <v>6446</v>
      </c>
      <c r="I170" s="345">
        <v>5249</v>
      </c>
      <c r="J170" s="345">
        <v>5</v>
      </c>
      <c r="K170" s="347">
        <v>100.47</v>
      </c>
      <c r="L170" s="347">
        <v>96.58</v>
      </c>
      <c r="M170" s="347">
        <v>7.96</v>
      </c>
      <c r="N170" s="347">
        <v>106.75</v>
      </c>
      <c r="O170" s="348">
        <v>3042</v>
      </c>
      <c r="P170" s="345">
        <v>93.43</v>
      </c>
      <c r="Q170" s="345">
        <v>88.23</v>
      </c>
      <c r="R170" s="345">
        <v>39.94</v>
      </c>
      <c r="S170" s="345">
        <v>133.01</v>
      </c>
      <c r="T170" s="345">
        <v>897</v>
      </c>
      <c r="U170" s="345">
        <v>130.4</v>
      </c>
      <c r="V170" s="345">
        <v>710</v>
      </c>
      <c r="W170" s="345">
        <v>164</v>
      </c>
      <c r="X170" s="345">
        <v>61</v>
      </c>
      <c r="Y170" s="345">
        <v>0</v>
      </c>
      <c r="Z170" s="345">
        <v>1</v>
      </c>
      <c r="AA170" s="345">
        <v>4</v>
      </c>
      <c r="AB170" s="345">
        <v>42</v>
      </c>
      <c r="AC170" s="345">
        <v>22</v>
      </c>
      <c r="AD170" s="349">
        <v>3726</v>
      </c>
      <c r="AE170" s="349">
        <v>18</v>
      </c>
      <c r="AF170" s="349">
        <v>12</v>
      </c>
      <c r="AG170" s="349">
        <v>30</v>
      </c>
    </row>
    <row r="171" spans="1:33" x14ac:dyDescent="0.2">
      <c r="A171" s="344" t="s">
        <v>398</v>
      </c>
      <c r="B171" s="350" t="s">
        <v>399</v>
      </c>
      <c r="C171" s="346">
        <v>560</v>
      </c>
      <c r="D171" s="346">
        <v>0</v>
      </c>
      <c r="E171" s="346">
        <v>69</v>
      </c>
      <c r="F171" s="346">
        <v>75</v>
      </c>
      <c r="G171" s="346">
        <v>171</v>
      </c>
      <c r="H171" s="346">
        <v>875</v>
      </c>
      <c r="I171" s="345">
        <v>704</v>
      </c>
      <c r="J171" s="345">
        <v>0</v>
      </c>
      <c r="K171" s="347">
        <v>91.05</v>
      </c>
      <c r="L171" s="347">
        <v>87.95</v>
      </c>
      <c r="M171" s="347">
        <v>2.83</v>
      </c>
      <c r="N171" s="347">
        <v>93.13</v>
      </c>
      <c r="O171" s="348">
        <v>414</v>
      </c>
      <c r="P171" s="345">
        <v>84.93</v>
      </c>
      <c r="Q171" s="345">
        <v>78.59</v>
      </c>
      <c r="R171" s="345">
        <v>63.88</v>
      </c>
      <c r="S171" s="345">
        <v>147.91999999999999</v>
      </c>
      <c r="T171" s="345">
        <v>144</v>
      </c>
      <c r="U171" s="345">
        <v>104.09</v>
      </c>
      <c r="V171" s="345">
        <v>128</v>
      </c>
      <c r="W171" s="345">
        <v>0</v>
      </c>
      <c r="X171" s="345">
        <v>0</v>
      </c>
      <c r="Y171" s="345">
        <v>0</v>
      </c>
      <c r="Z171" s="345">
        <v>0</v>
      </c>
      <c r="AA171" s="345">
        <v>0</v>
      </c>
      <c r="AB171" s="345">
        <v>4</v>
      </c>
      <c r="AC171" s="345">
        <v>4</v>
      </c>
      <c r="AD171" s="349">
        <v>559</v>
      </c>
      <c r="AE171" s="349">
        <v>1</v>
      </c>
      <c r="AF171" s="349">
        <v>1</v>
      </c>
      <c r="AG171" s="349">
        <v>2</v>
      </c>
    </row>
    <row r="172" spans="1:33" x14ac:dyDescent="0.2">
      <c r="A172" s="344" t="s">
        <v>400</v>
      </c>
      <c r="B172" s="350" t="s">
        <v>401</v>
      </c>
      <c r="C172" s="346">
        <v>5133</v>
      </c>
      <c r="D172" s="346">
        <v>0</v>
      </c>
      <c r="E172" s="346">
        <v>386</v>
      </c>
      <c r="F172" s="346">
        <v>914</v>
      </c>
      <c r="G172" s="346">
        <v>481</v>
      </c>
      <c r="H172" s="346">
        <v>6914</v>
      </c>
      <c r="I172" s="345">
        <v>6433</v>
      </c>
      <c r="J172" s="345">
        <v>0</v>
      </c>
      <c r="K172" s="347">
        <v>92.58</v>
      </c>
      <c r="L172" s="347">
        <v>91.87</v>
      </c>
      <c r="M172" s="347">
        <v>3.61</v>
      </c>
      <c r="N172" s="347">
        <v>94.68</v>
      </c>
      <c r="O172" s="348">
        <v>4286</v>
      </c>
      <c r="P172" s="345">
        <v>86.22</v>
      </c>
      <c r="Q172" s="345">
        <v>83.61</v>
      </c>
      <c r="R172" s="345">
        <v>26.82</v>
      </c>
      <c r="S172" s="345">
        <v>112.64</v>
      </c>
      <c r="T172" s="345">
        <v>1113</v>
      </c>
      <c r="U172" s="345">
        <v>114.52</v>
      </c>
      <c r="V172" s="345">
        <v>747</v>
      </c>
      <c r="W172" s="345">
        <v>104.81</v>
      </c>
      <c r="X172" s="345">
        <v>31</v>
      </c>
      <c r="Y172" s="345">
        <v>0</v>
      </c>
      <c r="Z172" s="345">
        <v>10</v>
      </c>
      <c r="AA172" s="345">
        <v>16</v>
      </c>
      <c r="AB172" s="345">
        <v>51</v>
      </c>
      <c r="AC172" s="345">
        <v>11</v>
      </c>
      <c r="AD172" s="349">
        <v>5039</v>
      </c>
      <c r="AE172" s="349">
        <v>10</v>
      </c>
      <c r="AF172" s="349">
        <v>26</v>
      </c>
      <c r="AG172" s="349">
        <v>36</v>
      </c>
    </row>
    <row r="173" spans="1:33" x14ac:dyDescent="0.2">
      <c r="A173" s="344" t="s">
        <v>402</v>
      </c>
      <c r="B173" s="350" t="s">
        <v>403</v>
      </c>
      <c r="C173" s="346">
        <v>10131</v>
      </c>
      <c r="D173" s="346">
        <v>5</v>
      </c>
      <c r="E173" s="346">
        <v>407</v>
      </c>
      <c r="F173" s="346">
        <v>818</v>
      </c>
      <c r="G173" s="346">
        <v>658</v>
      </c>
      <c r="H173" s="346">
        <v>12019</v>
      </c>
      <c r="I173" s="345">
        <v>11361</v>
      </c>
      <c r="J173" s="345">
        <v>82</v>
      </c>
      <c r="K173" s="347">
        <v>113.27</v>
      </c>
      <c r="L173" s="347">
        <v>113.57</v>
      </c>
      <c r="M173" s="347">
        <v>7.88</v>
      </c>
      <c r="N173" s="347">
        <v>119.4</v>
      </c>
      <c r="O173" s="348">
        <v>8945</v>
      </c>
      <c r="P173" s="345">
        <v>98.56</v>
      </c>
      <c r="Q173" s="345">
        <v>99.47</v>
      </c>
      <c r="R173" s="345">
        <v>34.61</v>
      </c>
      <c r="S173" s="345">
        <v>128.76</v>
      </c>
      <c r="T173" s="345">
        <v>926</v>
      </c>
      <c r="U173" s="345">
        <v>157.91999999999999</v>
      </c>
      <c r="V173" s="345">
        <v>1028</v>
      </c>
      <c r="W173" s="345">
        <v>252.53</v>
      </c>
      <c r="X173" s="345">
        <v>35</v>
      </c>
      <c r="Y173" s="345">
        <v>0</v>
      </c>
      <c r="Z173" s="345">
        <v>15</v>
      </c>
      <c r="AA173" s="345">
        <v>2</v>
      </c>
      <c r="AB173" s="345">
        <v>55</v>
      </c>
      <c r="AC173" s="345">
        <v>18</v>
      </c>
      <c r="AD173" s="349">
        <v>10041</v>
      </c>
      <c r="AE173" s="349">
        <v>21</v>
      </c>
      <c r="AF173" s="349">
        <v>35</v>
      </c>
      <c r="AG173" s="349">
        <v>56</v>
      </c>
    </row>
    <row r="174" spans="1:33" x14ac:dyDescent="0.2">
      <c r="A174" s="344" t="s">
        <v>404</v>
      </c>
      <c r="B174" s="350" t="s">
        <v>405</v>
      </c>
      <c r="C174" s="346">
        <v>1128</v>
      </c>
      <c r="D174" s="346">
        <v>0</v>
      </c>
      <c r="E174" s="346">
        <v>36</v>
      </c>
      <c r="F174" s="346">
        <v>284</v>
      </c>
      <c r="G174" s="346">
        <v>251</v>
      </c>
      <c r="H174" s="346">
        <v>1699</v>
      </c>
      <c r="I174" s="345">
        <v>1448</v>
      </c>
      <c r="J174" s="345">
        <v>0</v>
      </c>
      <c r="K174" s="347">
        <v>88.19</v>
      </c>
      <c r="L174" s="347">
        <v>84.92</v>
      </c>
      <c r="M174" s="347">
        <v>4.3099999999999996</v>
      </c>
      <c r="N174" s="347">
        <v>91.93</v>
      </c>
      <c r="O174" s="348">
        <v>809</v>
      </c>
      <c r="P174" s="345">
        <v>84.59</v>
      </c>
      <c r="Q174" s="345">
        <v>74.98</v>
      </c>
      <c r="R174" s="345">
        <v>18.100000000000001</v>
      </c>
      <c r="S174" s="345">
        <v>102.34</v>
      </c>
      <c r="T174" s="345">
        <v>154</v>
      </c>
      <c r="U174" s="345">
        <v>123.12</v>
      </c>
      <c r="V174" s="345">
        <v>211</v>
      </c>
      <c r="W174" s="345">
        <v>0</v>
      </c>
      <c r="X174" s="345">
        <v>0</v>
      </c>
      <c r="Y174" s="345">
        <v>0</v>
      </c>
      <c r="Z174" s="345">
        <v>0</v>
      </c>
      <c r="AA174" s="345">
        <v>5</v>
      </c>
      <c r="AB174" s="345">
        <v>17</v>
      </c>
      <c r="AC174" s="345">
        <v>4</v>
      </c>
      <c r="AD174" s="349">
        <v>1015</v>
      </c>
      <c r="AE174" s="349">
        <v>5</v>
      </c>
      <c r="AF174" s="349">
        <v>6</v>
      </c>
      <c r="AG174" s="349">
        <v>11</v>
      </c>
    </row>
    <row r="175" spans="1:33" x14ac:dyDescent="0.2">
      <c r="A175" s="344" t="s">
        <v>406</v>
      </c>
      <c r="B175" s="350" t="s">
        <v>407</v>
      </c>
      <c r="C175" s="346">
        <v>1392</v>
      </c>
      <c r="D175" s="346">
        <v>0</v>
      </c>
      <c r="E175" s="346">
        <v>98</v>
      </c>
      <c r="F175" s="346">
        <v>210</v>
      </c>
      <c r="G175" s="346">
        <v>322</v>
      </c>
      <c r="H175" s="346">
        <v>2022</v>
      </c>
      <c r="I175" s="345">
        <v>1700</v>
      </c>
      <c r="J175" s="345">
        <v>3</v>
      </c>
      <c r="K175" s="347">
        <v>92.91</v>
      </c>
      <c r="L175" s="347">
        <v>92.76</v>
      </c>
      <c r="M175" s="347">
        <v>4.0599999999999996</v>
      </c>
      <c r="N175" s="347">
        <v>95.75</v>
      </c>
      <c r="O175" s="348">
        <v>897</v>
      </c>
      <c r="P175" s="345">
        <v>85.67</v>
      </c>
      <c r="Q175" s="345">
        <v>78.760000000000005</v>
      </c>
      <c r="R175" s="345">
        <v>35.590000000000003</v>
      </c>
      <c r="S175" s="345">
        <v>121.01</v>
      </c>
      <c r="T175" s="345">
        <v>280</v>
      </c>
      <c r="U175" s="345">
        <v>110.37</v>
      </c>
      <c r="V175" s="345">
        <v>457</v>
      </c>
      <c r="W175" s="345">
        <v>114.48</v>
      </c>
      <c r="X175" s="345">
        <v>1</v>
      </c>
      <c r="Y175" s="345">
        <v>15</v>
      </c>
      <c r="Z175" s="345">
        <v>0</v>
      </c>
      <c r="AA175" s="345">
        <v>2</v>
      </c>
      <c r="AB175" s="345">
        <v>11</v>
      </c>
      <c r="AC175" s="345">
        <v>4</v>
      </c>
      <c r="AD175" s="349">
        <v>1392</v>
      </c>
      <c r="AE175" s="349">
        <v>6</v>
      </c>
      <c r="AF175" s="349">
        <v>1</v>
      </c>
      <c r="AG175" s="349">
        <v>7</v>
      </c>
    </row>
    <row r="176" spans="1:33" x14ac:dyDescent="0.2">
      <c r="A176" s="344" t="s">
        <v>408</v>
      </c>
      <c r="B176" s="350" t="s">
        <v>409</v>
      </c>
      <c r="C176" s="346">
        <v>5835</v>
      </c>
      <c r="D176" s="346">
        <v>3</v>
      </c>
      <c r="E176" s="346">
        <v>132</v>
      </c>
      <c r="F176" s="346">
        <v>867</v>
      </c>
      <c r="G176" s="346">
        <v>665</v>
      </c>
      <c r="H176" s="346">
        <v>7502</v>
      </c>
      <c r="I176" s="345">
        <v>6837</v>
      </c>
      <c r="J176" s="345">
        <v>13</v>
      </c>
      <c r="K176" s="347">
        <v>115.44</v>
      </c>
      <c r="L176" s="347">
        <v>114.81</v>
      </c>
      <c r="M176" s="347">
        <v>5.61</v>
      </c>
      <c r="N176" s="347">
        <v>119.6</v>
      </c>
      <c r="O176" s="348">
        <v>4158</v>
      </c>
      <c r="P176" s="345">
        <v>102.71</v>
      </c>
      <c r="Q176" s="345">
        <v>98.82</v>
      </c>
      <c r="R176" s="345">
        <v>43.64</v>
      </c>
      <c r="S176" s="345">
        <v>145.04</v>
      </c>
      <c r="T176" s="345">
        <v>832</v>
      </c>
      <c r="U176" s="345">
        <v>163.4</v>
      </c>
      <c r="V176" s="345">
        <v>1322</v>
      </c>
      <c r="W176" s="345">
        <v>136.81</v>
      </c>
      <c r="X176" s="345">
        <v>13</v>
      </c>
      <c r="Y176" s="345">
        <v>0</v>
      </c>
      <c r="Z176" s="345">
        <v>4</v>
      </c>
      <c r="AA176" s="345">
        <v>0</v>
      </c>
      <c r="AB176" s="345">
        <v>21</v>
      </c>
      <c r="AC176" s="345">
        <v>11</v>
      </c>
      <c r="AD176" s="349">
        <v>5529</v>
      </c>
      <c r="AE176" s="349">
        <v>66</v>
      </c>
      <c r="AF176" s="349">
        <v>16</v>
      </c>
      <c r="AG176" s="349">
        <v>82</v>
      </c>
    </row>
    <row r="177" spans="1:33" x14ac:dyDescent="0.2">
      <c r="A177" s="344" t="s">
        <v>410</v>
      </c>
      <c r="B177" s="350" t="s">
        <v>411</v>
      </c>
      <c r="C177" s="346">
        <v>13091</v>
      </c>
      <c r="D177" s="346">
        <v>4</v>
      </c>
      <c r="E177" s="346">
        <v>1349</v>
      </c>
      <c r="F177" s="346">
        <v>679</v>
      </c>
      <c r="G177" s="346">
        <v>249</v>
      </c>
      <c r="H177" s="346">
        <v>15372</v>
      </c>
      <c r="I177" s="345">
        <v>15123</v>
      </c>
      <c r="J177" s="345">
        <v>9</v>
      </c>
      <c r="K177" s="347">
        <v>85.18</v>
      </c>
      <c r="L177" s="347">
        <v>81.709999999999994</v>
      </c>
      <c r="M177" s="347">
        <v>7.99</v>
      </c>
      <c r="N177" s="347">
        <v>87.71</v>
      </c>
      <c r="O177" s="348">
        <v>12428</v>
      </c>
      <c r="P177" s="345">
        <v>86.56</v>
      </c>
      <c r="Q177" s="345">
        <v>78.209999999999994</v>
      </c>
      <c r="R177" s="345">
        <v>55.97</v>
      </c>
      <c r="S177" s="345">
        <v>129.43</v>
      </c>
      <c r="T177" s="345">
        <v>1901</v>
      </c>
      <c r="U177" s="345">
        <v>94.05</v>
      </c>
      <c r="V177" s="345">
        <v>539</v>
      </c>
      <c r="W177" s="345">
        <v>156.21</v>
      </c>
      <c r="X177" s="345">
        <v>99</v>
      </c>
      <c r="Y177" s="345">
        <v>177</v>
      </c>
      <c r="Z177" s="345">
        <v>58</v>
      </c>
      <c r="AA177" s="345">
        <v>13</v>
      </c>
      <c r="AB177" s="345">
        <v>1</v>
      </c>
      <c r="AC177" s="345">
        <v>2</v>
      </c>
      <c r="AD177" s="349">
        <v>13061</v>
      </c>
      <c r="AE177" s="349">
        <v>112</v>
      </c>
      <c r="AF177" s="349">
        <v>145</v>
      </c>
      <c r="AG177" s="349">
        <v>257</v>
      </c>
    </row>
    <row r="178" spans="1:33" x14ac:dyDescent="0.2">
      <c r="A178" s="344" t="s">
        <v>412</v>
      </c>
      <c r="B178" s="350" t="s">
        <v>413</v>
      </c>
      <c r="C178" s="346">
        <v>8401</v>
      </c>
      <c r="D178" s="346">
        <v>81</v>
      </c>
      <c r="E178" s="346">
        <v>406</v>
      </c>
      <c r="F178" s="346">
        <v>584</v>
      </c>
      <c r="G178" s="346">
        <v>5397</v>
      </c>
      <c r="H178" s="346">
        <v>14869</v>
      </c>
      <c r="I178" s="345">
        <v>9472</v>
      </c>
      <c r="J178" s="345">
        <v>9</v>
      </c>
      <c r="K178" s="347">
        <v>98.83</v>
      </c>
      <c r="L178" s="347">
        <v>96.1</v>
      </c>
      <c r="M178" s="347">
        <v>6.55</v>
      </c>
      <c r="N178" s="347">
        <v>103.24</v>
      </c>
      <c r="O178" s="348">
        <v>6391</v>
      </c>
      <c r="P178" s="345">
        <v>102.55</v>
      </c>
      <c r="Q178" s="345">
        <v>97.01</v>
      </c>
      <c r="R178" s="345">
        <v>41.43</v>
      </c>
      <c r="S178" s="345">
        <v>142.80000000000001</v>
      </c>
      <c r="T178" s="345">
        <v>880</v>
      </c>
      <c r="U178" s="345">
        <v>138.78</v>
      </c>
      <c r="V178" s="345">
        <v>1278</v>
      </c>
      <c r="W178" s="345">
        <v>94.52</v>
      </c>
      <c r="X178" s="345">
        <v>9</v>
      </c>
      <c r="Y178" s="345">
        <v>0</v>
      </c>
      <c r="Z178" s="345">
        <v>0</v>
      </c>
      <c r="AA178" s="345">
        <v>5</v>
      </c>
      <c r="AB178" s="345">
        <v>199</v>
      </c>
      <c r="AC178" s="345">
        <v>49</v>
      </c>
      <c r="AD178" s="349">
        <v>8035</v>
      </c>
      <c r="AE178" s="349">
        <v>29</v>
      </c>
      <c r="AF178" s="349">
        <v>28</v>
      </c>
      <c r="AG178" s="349">
        <v>57</v>
      </c>
    </row>
    <row r="179" spans="1:33" x14ac:dyDescent="0.2">
      <c r="A179" s="344" t="s">
        <v>414</v>
      </c>
      <c r="B179" s="350" t="s">
        <v>415</v>
      </c>
      <c r="C179" s="346">
        <v>3537</v>
      </c>
      <c r="D179" s="346">
        <v>11</v>
      </c>
      <c r="E179" s="346">
        <v>213</v>
      </c>
      <c r="F179" s="346">
        <v>659</v>
      </c>
      <c r="G179" s="346">
        <v>296</v>
      </c>
      <c r="H179" s="346">
        <v>4716</v>
      </c>
      <c r="I179" s="345">
        <v>4420</v>
      </c>
      <c r="J179" s="345">
        <v>6</v>
      </c>
      <c r="K179" s="347">
        <v>112.41</v>
      </c>
      <c r="L179" s="347">
        <v>113.92</v>
      </c>
      <c r="M179" s="347">
        <v>4.7</v>
      </c>
      <c r="N179" s="347">
        <v>115.37</v>
      </c>
      <c r="O179" s="348">
        <v>3031</v>
      </c>
      <c r="P179" s="345">
        <v>98.92</v>
      </c>
      <c r="Q179" s="345">
        <v>100.03</v>
      </c>
      <c r="R179" s="345">
        <v>28.47</v>
      </c>
      <c r="S179" s="345">
        <v>127.18</v>
      </c>
      <c r="T179" s="345">
        <v>701</v>
      </c>
      <c r="U179" s="345">
        <v>156.71</v>
      </c>
      <c r="V179" s="345">
        <v>463</v>
      </c>
      <c r="W179" s="345">
        <v>0</v>
      </c>
      <c r="X179" s="345">
        <v>0</v>
      </c>
      <c r="Y179" s="345">
        <v>0</v>
      </c>
      <c r="Z179" s="345">
        <v>6</v>
      </c>
      <c r="AA179" s="345">
        <v>1</v>
      </c>
      <c r="AB179" s="345">
        <v>14</v>
      </c>
      <c r="AC179" s="345">
        <v>13</v>
      </c>
      <c r="AD179" s="349">
        <v>3499</v>
      </c>
      <c r="AE179" s="349">
        <v>12</v>
      </c>
      <c r="AF179" s="349">
        <v>36</v>
      </c>
      <c r="AG179" s="349">
        <v>48</v>
      </c>
    </row>
    <row r="180" spans="1:33" x14ac:dyDescent="0.2">
      <c r="A180" s="344" t="s">
        <v>416</v>
      </c>
      <c r="B180" s="350" t="s">
        <v>417</v>
      </c>
      <c r="C180" s="346">
        <v>2818</v>
      </c>
      <c r="D180" s="346">
        <v>8</v>
      </c>
      <c r="E180" s="346">
        <v>281</v>
      </c>
      <c r="F180" s="346">
        <v>322</v>
      </c>
      <c r="G180" s="346">
        <v>352</v>
      </c>
      <c r="H180" s="346">
        <v>3781</v>
      </c>
      <c r="I180" s="345">
        <v>3429</v>
      </c>
      <c r="J180" s="345">
        <v>0</v>
      </c>
      <c r="K180" s="347">
        <v>112.08</v>
      </c>
      <c r="L180" s="347">
        <v>110.72</v>
      </c>
      <c r="M180" s="347">
        <v>4.49</v>
      </c>
      <c r="N180" s="347">
        <v>115.56</v>
      </c>
      <c r="O180" s="348">
        <v>2416</v>
      </c>
      <c r="P180" s="345">
        <v>97.56</v>
      </c>
      <c r="Q180" s="345">
        <v>93.73</v>
      </c>
      <c r="R180" s="345">
        <v>29.67</v>
      </c>
      <c r="S180" s="345">
        <v>125.92</v>
      </c>
      <c r="T180" s="345">
        <v>475</v>
      </c>
      <c r="U180" s="345">
        <v>141.41999999999999</v>
      </c>
      <c r="V180" s="345">
        <v>257</v>
      </c>
      <c r="W180" s="345">
        <v>135.61000000000001</v>
      </c>
      <c r="X180" s="345">
        <v>3</v>
      </c>
      <c r="Y180" s="345">
        <v>158</v>
      </c>
      <c r="Z180" s="345">
        <v>0</v>
      </c>
      <c r="AA180" s="345">
        <v>1</v>
      </c>
      <c r="AB180" s="345">
        <v>16</v>
      </c>
      <c r="AC180" s="345">
        <v>14</v>
      </c>
      <c r="AD180" s="349">
        <v>2726</v>
      </c>
      <c r="AE180" s="349">
        <v>7</v>
      </c>
      <c r="AF180" s="349">
        <v>10</v>
      </c>
      <c r="AG180" s="349">
        <v>17</v>
      </c>
    </row>
    <row r="181" spans="1:33" x14ac:dyDescent="0.2">
      <c r="A181" s="344" t="s">
        <v>418</v>
      </c>
      <c r="B181" s="350" t="s">
        <v>419</v>
      </c>
      <c r="C181" s="346">
        <v>1893</v>
      </c>
      <c r="D181" s="346">
        <v>9</v>
      </c>
      <c r="E181" s="346">
        <v>314</v>
      </c>
      <c r="F181" s="346">
        <v>263</v>
      </c>
      <c r="G181" s="346">
        <v>288</v>
      </c>
      <c r="H181" s="346">
        <v>2767</v>
      </c>
      <c r="I181" s="345">
        <v>2479</v>
      </c>
      <c r="J181" s="345">
        <v>3</v>
      </c>
      <c r="K181" s="347">
        <v>86.51</v>
      </c>
      <c r="L181" s="347">
        <v>82.82</v>
      </c>
      <c r="M181" s="347">
        <v>3.85</v>
      </c>
      <c r="N181" s="347">
        <v>88.76</v>
      </c>
      <c r="O181" s="348">
        <v>1594</v>
      </c>
      <c r="P181" s="345">
        <v>108.51</v>
      </c>
      <c r="Q181" s="345">
        <v>76.78</v>
      </c>
      <c r="R181" s="345">
        <v>67.959999999999994</v>
      </c>
      <c r="S181" s="345">
        <v>176.47</v>
      </c>
      <c r="T181" s="345">
        <v>444</v>
      </c>
      <c r="U181" s="345">
        <v>93.21</v>
      </c>
      <c r="V181" s="345">
        <v>241</v>
      </c>
      <c r="W181" s="345">
        <v>0</v>
      </c>
      <c r="X181" s="345">
        <v>0</v>
      </c>
      <c r="Y181" s="345">
        <v>205</v>
      </c>
      <c r="Z181" s="345">
        <v>2</v>
      </c>
      <c r="AA181" s="345">
        <v>14</v>
      </c>
      <c r="AB181" s="345">
        <v>13</v>
      </c>
      <c r="AC181" s="345">
        <v>7</v>
      </c>
      <c r="AD181" s="349">
        <v>1893</v>
      </c>
      <c r="AE181" s="349">
        <v>14</v>
      </c>
      <c r="AF181" s="349">
        <v>53</v>
      </c>
      <c r="AG181" s="349">
        <v>67</v>
      </c>
    </row>
    <row r="182" spans="1:33" x14ac:dyDescent="0.2">
      <c r="A182" s="344" t="s">
        <v>420</v>
      </c>
      <c r="B182" s="350" t="s">
        <v>421</v>
      </c>
      <c r="C182" s="346">
        <v>7263</v>
      </c>
      <c r="D182" s="346">
        <v>232</v>
      </c>
      <c r="E182" s="346">
        <v>1314</v>
      </c>
      <c r="F182" s="346">
        <v>1488</v>
      </c>
      <c r="G182" s="346">
        <v>342</v>
      </c>
      <c r="H182" s="346">
        <v>10639</v>
      </c>
      <c r="I182" s="345">
        <v>10297</v>
      </c>
      <c r="J182" s="345">
        <v>30</v>
      </c>
      <c r="K182" s="347">
        <v>77.599999999999994</v>
      </c>
      <c r="L182" s="347">
        <v>75.709999999999994</v>
      </c>
      <c r="M182" s="347">
        <v>10.14</v>
      </c>
      <c r="N182" s="347">
        <v>86.09</v>
      </c>
      <c r="O182" s="348">
        <v>5764</v>
      </c>
      <c r="P182" s="345">
        <v>83.81</v>
      </c>
      <c r="Q182" s="345">
        <v>76.03</v>
      </c>
      <c r="R182" s="345">
        <v>62.03</v>
      </c>
      <c r="S182" s="345">
        <v>144.31</v>
      </c>
      <c r="T182" s="345">
        <v>2143</v>
      </c>
      <c r="U182" s="345">
        <v>101.11</v>
      </c>
      <c r="V182" s="345">
        <v>1114</v>
      </c>
      <c r="W182" s="345">
        <v>192.2</v>
      </c>
      <c r="X182" s="345">
        <v>362</v>
      </c>
      <c r="Y182" s="345">
        <v>183</v>
      </c>
      <c r="Z182" s="345">
        <v>42</v>
      </c>
      <c r="AA182" s="345">
        <v>4</v>
      </c>
      <c r="AB182" s="345">
        <v>29</v>
      </c>
      <c r="AC182" s="345">
        <v>6</v>
      </c>
      <c r="AD182" s="349">
        <v>6693</v>
      </c>
      <c r="AE182" s="349">
        <v>69</v>
      </c>
      <c r="AF182" s="349">
        <v>40</v>
      </c>
      <c r="AG182" s="349">
        <v>109</v>
      </c>
    </row>
    <row r="183" spans="1:33" x14ac:dyDescent="0.2">
      <c r="A183" s="344" t="s">
        <v>422</v>
      </c>
      <c r="B183" s="350" t="s">
        <v>423</v>
      </c>
      <c r="C183" s="346">
        <v>8858</v>
      </c>
      <c r="D183" s="346">
        <v>15</v>
      </c>
      <c r="E183" s="346">
        <v>124</v>
      </c>
      <c r="F183" s="346">
        <v>876</v>
      </c>
      <c r="G183" s="346">
        <v>250</v>
      </c>
      <c r="H183" s="346">
        <v>10123</v>
      </c>
      <c r="I183" s="345">
        <v>9873</v>
      </c>
      <c r="J183" s="345">
        <v>5</v>
      </c>
      <c r="K183" s="347">
        <v>81.680000000000007</v>
      </c>
      <c r="L183" s="347">
        <v>81.69</v>
      </c>
      <c r="M183" s="347">
        <v>6.65</v>
      </c>
      <c r="N183" s="347">
        <v>82.38</v>
      </c>
      <c r="O183" s="348">
        <v>8323</v>
      </c>
      <c r="P183" s="345">
        <v>76.55</v>
      </c>
      <c r="Q183" s="345">
        <v>74.760000000000005</v>
      </c>
      <c r="R183" s="345">
        <v>28.54</v>
      </c>
      <c r="S183" s="345">
        <v>85.34</v>
      </c>
      <c r="T183" s="345">
        <v>818</v>
      </c>
      <c r="U183" s="345">
        <v>91.69</v>
      </c>
      <c r="V183" s="345">
        <v>520</v>
      </c>
      <c r="W183" s="345">
        <v>222.4</v>
      </c>
      <c r="X183" s="345">
        <v>96</v>
      </c>
      <c r="Y183" s="345">
        <v>0</v>
      </c>
      <c r="Z183" s="345">
        <v>22</v>
      </c>
      <c r="AA183" s="345">
        <v>36</v>
      </c>
      <c r="AB183" s="345">
        <v>7</v>
      </c>
      <c r="AC183" s="345">
        <v>3</v>
      </c>
      <c r="AD183" s="349">
        <v>8858</v>
      </c>
      <c r="AE183" s="349">
        <v>32</v>
      </c>
      <c r="AF183" s="349">
        <v>77</v>
      </c>
      <c r="AG183" s="349">
        <v>109</v>
      </c>
    </row>
    <row r="184" spans="1:33" x14ac:dyDescent="0.2">
      <c r="A184" s="344" t="s">
        <v>424</v>
      </c>
      <c r="B184" s="350" t="s">
        <v>425</v>
      </c>
      <c r="C184" s="346">
        <v>12132</v>
      </c>
      <c r="D184" s="346">
        <v>16</v>
      </c>
      <c r="E184" s="346">
        <v>918</v>
      </c>
      <c r="F184" s="346">
        <v>831</v>
      </c>
      <c r="G184" s="346">
        <v>2421</v>
      </c>
      <c r="H184" s="346">
        <v>16318</v>
      </c>
      <c r="I184" s="345">
        <v>13897</v>
      </c>
      <c r="J184" s="345">
        <v>87</v>
      </c>
      <c r="K184" s="347">
        <v>118.61</v>
      </c>
      <c r="L184" s="347">
        <v>115.67</v>
      </c>
      <c r="M184" s="347">
        <v>11.1</v>
      </c>
      <c r="N184" s="347">
        <v>124.79</v>
      </c>
      <c r="O184" s="348">
        <v>9282</v>
      </c>
      <c r="P184" s="345">
        <v>105.04</v>
      </c>
      <c r="Q184" s="345">
        <v>100.91</v>
      </c>
      <c r="R184" s="345">
        <v>77.02</v>
      </c>
      <c r="S184" s="345">
        <v>156.05000000000001</v>
      </c>
      <c r="T184" s="345">
        <v>1516</v>
      </c>
      <c r="U184" s="345">
        <v>190.28</v>
      </c>
      <c r="V184" s="345">
        <v>943</v>
      </c>
      <c r="W184" s="345">
        <v>179.29</v>
      </c>
      <c r="X184" s="345">
        <v>13</v>
      </c>
      <c r="Y184" s="345">
        <v>0</v>
      </c>
      <c r="Z184" s="345">
        <v>4</v>
      </c>
      <c r="AA184" s="345">
        <v>5</v>
      </c>
      <c r="AB184" s="345">
        <v>141</v>
      </c>
      <c r="AC184" s="345">
        <v>72</v>
      </c>
      <c r="AD184" s="349">
        <v>10987</v>
      </c>
      <c r="AE184" s="349">
        <v>146</v>
      </c>
      <c r="AF184" s="349">
        <v>62</v>
      </c>
      <c r="AG184" s="349">
        <v>208</v>
      </c>
    </row>
    <row r="185" spans="1:33" x14ac:dyDescent="0.2">
      <c r="A185" s="344" t="s">
        <v>426</v>
      </c>
      <c r="B185" s="350" t="s">
        <v>427</v>
      </c>
      <c r="C185" s="346">
        <v>3849</v>
      </c>
      <c r="D185" s="346">
        <v>0</v>
      </c>
      <c r="E185" s="346">
        <v>80</v>
      </c>
      <c r="F185" s="346">
        <v>765</v>
      </c>
      <c r="G185" s="346">
        <v>327</v>
      </c>
      <c r="H185" s="346">
        <v>5021</v>
      </c>
      <c r="I185" s="345">
        <v>4694</v>
      </c>
      <c r="J185" s="345">
        <v>3</v>
      </c>
      <c r="K185" s="347">
        <v>84.06</v>
      </c>
      <c r="L185" s="347">
        <v>83.4</v>
      </c>
      <c r="M185" s="347">
        <v>3.59</v>
      </c>
      <c r="N185" s="347">
        <v>86.32</v>
      </c>
      <c r="O185" s="348">
        <v>3333</v>
      </c>
      <c r="P185" s="345">
        <v>80.739999999999995</v>
      </c>
      <c r="Q185" s="345">
        <v>74.22</v>
      </c>
      <c r="R185" s="345">
        <v>20.07</v>
      </c>
      <c r="S185" s="345">
        <v>100.29</v>
      </c>
      <c r="T185" s="345">
        <v>774</v>
      </c>
      <c r="U185" s="345">
        <v>113.92</v>
      </c>
      <c r="V185" s="345">
        <v>487</v>
      </c>
      <c r="W185" s="345">
        <v>0</v>
      </c>
      <c r="X185" s="345">
        <v>0</v>
      </c>
      <c r="Y185" s="345">
        <v>16</v>
      </c>
      <c r="Z185" s="345">
        <v>8</v>
      </c>
      <c r="AA185" s="345">
        <v>10</v>
      </c>
      <c r="AB185" s="345">
        <v>26</v>
      </c>
      <c r="AC185" s="345">
        <v>4</v>
      </c>
      <c r="AD185" s="349">
        <v>3849</v>
      </c>
      <c r="AE185" s="349">
        <v>19</v>
      </c>
      <c r="AF185" s="349">
        <v>52</v>
      </c>
      <c r="AG185" s="349">
        <v>71</v>
      </c>
    </row>
    <row r="186" spans="1:33" x14ac:dyDescent="0.2">
      <c r="A186" s="344" t="s">
        <v>428</v>
      </c>
      <c r="B186" s="350" t="s">
        <v>429</v>
      </c>
      <c r="C186" s="346">
        <v>772</v>
      </c>
      <c r="D186" s="346">
        <v>36</v>
      </c>
      <c r="E186" s="346">
        <v>84</v>
      </c>
      <c r="F186" s="346">
        <v>145</v>
      </c>
      <c r="G186" s="346">
        <v>107</v>
      </c>
      <c r="H186" s="346">
        <v>1144</v>
      </c>
      <c r="I186" s="345">
        <v>1037</v>
      </c>
      <c r="J186" s="345">
        <v>0</v>
      </c>
      <c r="K186" s="347">
        <v>89.22</v>
      </c>
      <c r="L186" s="347">
        <v>88.15</v>
      </c>
      <c r="M186" s="347">
        <v>4.49</v>
      </c>
      <c r="N186" s="347">
        <v>91.47</v>
      </c>
      <c r="O186" s="348">
        <v>584</v>
      </c>
      <c r="P186" s="345">
        <v>97.33</v>
      </c>
      <c r="Q186" s="345">
        <v>86.03</v>
      </c>
      <c r="R186" s="345">
        <v>31.75</v>
      </c>
      <c r="S186" s="345">
        <v>126.22</v>
      </c>
      <c r="T186" s="345">
        <v>222</v>
      </c>
      <c r="U186" s="345">
        <v>99.87</v>
      </c>
      <c r="V186" s="345">
        <v>199</v>
      </c>
      <c r="W186" s="345">
        <v>0</v>
      </c>
      <c r="X186" s="345">
        <v>0</v>
      </c>
      <c r="Y186" s="345">
        <v>31</v>
      </c>
      <c r="Z186" s="345">
        <v>0</v>
      </c>
      <c r="AA186" s="345">
        <v>3</v>
      </c>
      <c r="AB186" s="345">
        <v>1</v>
      </c>
      <c r="AC186" s="345">
        <v>5</v>
      </c>
      <c r="AD186" s="349">
        <v>696</v>
      </c>
      <c r="AE186" s="349">
        <v>7</v>
      </c>
      <c r="AF186" s="349">
        <v>2</v>
      </c>
      <c r="AG186" s="349">
        <v>9</v>
      </c>
    </row>
    <row r="187" spans="1:33" x14ac:dyDescent="0.2">
      <c r="A187" s="344" t="s">
        <v>430</v>
      </c>
      <c r="B187" s="350" t="s">
        <v>431</v>
      </c>
      <c r="C187" s="346">
        <v>8011</v>
      </c>
      <c r="D187" s="346">
        <v>0</v>
      </c>
      <c r="E187" s="346">
        <v>408</v>
      </c>
      <c r="F187" s="346">
        <v>1207</v>
      </c>
      <c r="G187" s="346">
        <v>226</v>
      </c>
      <c r="H187" s="346">
        <v>9852</v>
      </c>
      <c r="I187" s="345">
        <v>9626</v>
      </c>
      <c r="J187" s="345">
        <v>0</v>
      </c>
      <c r="K187" s="347">
        <v>78.69</v>
      </c>
      <c r="L187" s="347">
        <v>77.45</v>
      </c>
      <c r="M187" s="347">
        <v>2.2999999999999998</v>
      </c>
      <c r="N187" s="347">
        <v>80.83</v>
      </c>
      <c r="O187" s="348">
        <v>7964</v>
      </c>
      <c r="P187" s="345">
        <v>86.98</v>
      </c>
      <c r="Q187" s="345">
        <v>68.239999999999995</v>
      </c>
      <c r="R187" s="345">
        <v>28.3</v>
      </c>
      <c r="S187" s="345">
        <v>115.08</v>
      </c>
      <c r="T187" s="345">
        <v>1486</v>
      </c>
      <c r="U187" s="345">
        <v>91.21</v>
      </c>
      <c r="V187" s="345">
        <v>35</v>
      </c>
      <c r="W187" s="345">
        <v>0</v>
      </c>
      <c r="X187" s="345">
        <v>0</v>
      </c>
      <c r="Y187" s="345">
        <v>0</v>
      </c>
      <c r="Z187" s="345">
        <v>28</v>
      </c>
      <c r="AA187" s="345">
        <v>25</v>
      </c>
      <c r="AB187" s="345">
        <v>15</v>
      </c>
      <c r="AC187" s="345">
        <v>7</v>
      </c>
      <c r="AD187" s="349">
        <v>8009</v>
      </c>
      <c r="AE187" s="349">
        <v>64</v>
      </c>
      <c r="AF187" s="349">
        <v>171</v>
      </c>
      <c r="AG187" s="349">
        <v>235</v>
      </c>
    </row>
    <row r="188" spans="1:33" x14ac:dyDescent="0.2">
      <c r="A188" s="344" t="s">
        <v>432</v>
      </c>
      <c r="B188" s="350" t="s">
        <v>433</v>
      </c>
      <c r="C188" s="346">
        <v>9440</v>
      </c>
      <c r="D188" s="346">
        <v>0</v>
      </c>
      <c r="E188" s="346">
        <v>255</v>
      </c>
      <c r="F188" s="346">
        <v>967</v>
      </c>
      <c r="G188" s="346">
        <v>598</v>
      </c>
      <c r="H188" s="346">
        <v>11260</v>
      </c>
      <c r="I188" s="345">
        <v>10662</v>
      </c>
      <c r="J188" s="345">
        <v>739</v>
      </c>
      <c r="K188" s="347">
        <v>107.95</v>
      </c>
      <c r="L188" s="347">
        <v>114.77</v>
      </c>
      <c r="M188" s="347">
        <v>4.6399999999999997</v>
      </c>
      <c r="N188" s="347">
        <v>109.43</v>
      </c>
      <c r="O188" s="348">
        <v>9137</v>
      </c>
      <c r="P188" s="345">
        <v>95.48</v>
      </c>
      <c r="Q188" s="345">
        <v>95.2</v>
      </c>
      <c r="R188" s="345">
        <v>23.49</v>
      </c>
      <c r="S188" s="345">
        <v>118.54</v>
      </c>
      <c r="T188" s="345">
        <v>1200</v>
      </c>
      <c r="U188" s="345">
        <v>136.51</v>
      </c>
      <c r="V188" s="345">
        <v>229</v>
      </c>
      <c r="W188" s="345">
        <v>0</v>
      </c>
      <c r="X188" s="345">
        <v>0</v>
      </c>
      <c r="Y188" s="345">
        <v>0</v>
      </c>
      <c r="Z188" s="345">
        <v>17</v>
      </c>
      <c r="AA188" s="345">
        <v>9</v>
      </c>
      <c r="AB188" s="345">
        <v>27</v>
      </c>
      <c r="AC188" s="345">
        <v>11</v>
      </c>
      <c r="AD188" s="349">
        <v>9389</v>
      </c>
      <c r="AE188" s="349">
        <v>29</v>
      </c>
      <c r="AF188" s="349">
        <v>12</v>
      </c>
      <c r="AG188" s="349">
        <v>41</v>
      </c>
    </row>
    <row r="189" spans="1:33" x14ac:dyDescent="0.2">
      <c r="A189" s="344" t="s">
        <v>434</v>
      </c>
      <c r="B189" s="350" t="s">
        <v>435</v>
      </c>
      <c r="C189" s="346">
        <v>1071</v>
      </c>
      <c r="D189" s="346">
        <v>0</v>
      </c>
      <c r="E189" s="346">
        <v>96</v>
      </c>
      <c r="F189" s="346">
        <v>98</v>
      </c>
      <c r="G189" s="346">
        <v>370</v>
      </c>
      <c r="H189" s="346">
        <v>1635</v>
      </c>
      <c r="I189" s="345">
        <v>1265</v>
      </c>
      <c r="J189" s="345">
        <v>0</v>
      </c>
      <c r="K189" s="347">
        <v>87.35</v>
      </c>
      <c r="L189" s="347">
        <v>85.55</v>
      </c>
      <c r="M189" s="347">
        <v>4.18</v>
      </c>
      <c r="N189" s="347">
        <v>90.78</v>
      </c>
      <c r="O189" s="348">
        <v>777</v>
      </c>
      <c r="P189" s="345">
        <v>99.09</v>
      </c>
      <c r="Q189" s="345">
        <v>81.78</v>
      </c>
      <c r="R189" s="345">
        <v>61.74</v>
      </c>
      <c r="S189" s="345">
        <v>160.5</v>
      </c>
      <c r="T189" s="345">
        <v>185</v>
      </c>
      <c r="U189" s="345">
        <v>97.96</v>
      </c>
      <c r="V189" s="345">
        <v>203</v>
      </c>
      <c r="W189" s="345">
        <v>115.39</v>
      </c>
      <c r="X189" s="345">
        <v>1</v>
      </c>
      <c r="Y189" s="345">
        <v>0</v>
      </c>
      <c r="Z189" s="345">
        <v>1</v>
      </c>
      <c r="AA189" s="345">
        <v>1</v>
      </c>
      <c r="AB189" s="345">
        <v>39</v>
      </c>
      <c r="AC189" s="345">
        <v>7</v>
      </c>
      <c r="AD189" s="349">
        <v>1014</v>
      </c>
      <c r="AE189" s="349">
        <v>5</v>
      </c>
      <c r="AF189" s="349">
        <v>2</v>
      </c>
      <c r="AG189" s="349">
        <v>7</v>
      </c>
    </row>
    <row r="190" spans="1:33" x14ac:dyDescent="0.2">
      <c r="A190" s="344" t="s">
        <v>436</v>
      </c>
      <c r="B190" s="350" t="s">
        <v>437</v>
      </c>
      <c r="C190" s="346">
        <v>10845</v>
      </c>
      <c r="D190" s="346">
        <v>0</v>
      </c>
      <c r="E190" s="346">
        <v>157</v>
      </c>
      <c r="F190" s="346">
        <v>317</v>
      </c>
      <c r="G190" s="346">
        <v>77</v>
      </c>
      <c r="H190" s="346">
        <v>11396</v>
      </c>
      <c r="I190" s="345">
        <v>11319</v>
      </c>
      <c r="J190" s="345">
        <v>0</v>
      </c>
      <c r="K190" s="347">
        <v>79.55</v>
      </c>
      <c r="L190" s="347">
        <v>79.37</v>
      </c>
      <c r="M190" s="347">
        <v>3.13</v>
      </c>
      <c r="N190" s="347">
        <v>81.010000000000005</v>
      </c>
      <c r="O190" s="348">
        <v>10400</v>
      </c>
      <c r="P190" s="345">
        <v>95.42</v>
      </c>
      <c r="Q190" s="345">
        <v>79.25</v>
      </c>
      <c r="R190" s="345">
        <v>53.21</v>
      </c>
      <c r="S190" s="345">
        <v>144.58000000000001</v>
      </c>
      <c r="T190" s="345">
        <v>434</v>
      </c>
      <c r="U190" s="345">
        <v>93.16</v>
      </c>
      <c r="V190" s="345">
        <v>400</v>
      </c>
      <c r="W190" s="345">
        <v>252.17</v>
      </c>
      <c r="X190" s="345">
        <v>32</v>
      </c>
      <c r="Y190" s="345">
        <v>0</v>
      </c>
      <c r="Z190" s="345">
        <v>29</v>
      </c>
      <c r="AA190" s="345">
        <v>1</v>
      </c>
      <c r="AB190" s="345">
        <v>0</v>
      </c>
      <c r="AC190" s="345">
        <v>1</v>
      </c>
      <c r="AD190" s="349">
        <v>10806</v>
      </c>
      <c r="AE190" s="349">
        <v>116</v>
      </c>
      <c r="AF190" s="349">
        <v>8</v>
      </c>
      <c r="AG190" s="349">
        <v>124</v>
      </c>
    </row>
    <row r="191" spans="1:33" x14ac:dyDescent="0.2">
      <c r="A191" s="344" t="s">
        <v>438</v>
      </c>
      <c r="B191" s="350" t="s">
        <v>439</v>
      </c>
      <c r="C191" s="346">
        <v>5947</v>
      </c>
      <c r="D191" s="346">
        <v>0</v>
      </c>
      <c r="E191" s="346">
        <v>158</v>
      </c>
      <c r="F191" s="346">
        <v>184</v>
      </c>
      <c r="G191" s="346">
        <v>177</v>
      </c>
      <c r="H191" s="346">
        <v>6466</v>
      </c>
      <c r="I191" s="345">
        <v>6289</v>
      </c>
      <c r="J191" s="345">
        <v>2</v>
      </c>
      <c r="K191" s="347">
        <v>87.11</v>
      </c>
      <c r="L191" s="347">
        <v>85.93</v>
      </c>
      <c r="M191" s="347">
        <v>3.08</v>
      </c>
      <c r="N191" s="347">
        <v>89.37</v>
      </c>
      <c r="O191" s="348">
        <v>5320</v>
      </c>
      <c r="P191" s="345">
        <v>92.53</v>
      </c>
      <c r="Q191" s="345">
        <v>72.55</v>
      </c>
      <c r="R191" s="345">
        <v>39.270000000000003</v>
      </c>
      <c r="S191" s="345">
        <v>124.92</v>
      </c>
      <c r="T191" s="345">
        <v>342</v>
      </c>
      <c r="U191" s="345">
        <v>103.84</v>
      </c>
      <c r="V191" s="345">
        <v>622</v>
      </c>
      <c r="W191" s="345">
        <v>0</v>
      </c>
      <c r="X191" s="345">
        <v>0</v>
      </c>
      <c r="Y191" s="345">
        <v>0</v>
      </c>
      <c r="Z191" s="345">
        <v>17</v>
      </c>
      <c r="AA191" s="345">
        <v>56</v>
      </c>
      <c r="AB191" s="345">
        <v>16</v>
      </c>
      <c r="AC191" s="345">
        <v>4</v>
      </c>
      <c r="AD191" s="349">
        <v>5936</v>
      </c>
      <c r="AE191" s="349">
        <v>27</v>
      </c>
      <c r="AF191" s="349">
        <v>47</v>
      </c>
      <c r="AG191" s="349">
        <v>74</v>
      </c>
    </row>
    <row r="192" spans="1:33" ht="15" x14ac:dyDescent="0.25">
      <c r="A192" s="351" t="s">
        <v>799</v>
      </c>
      <c r="B192" s="351" t="s">
        <v>797</v>
      </c>
      <c r="C192" s="345">
        <v>13562</v>
      </c>
      <c r="D192" s="345">
        <v>250</v>
      </c>
      <c r="E192" s="345">
        <v>720</v>
      </c>
      <c r="F192" s="345">
        <v>1004</v>
      </c>
      <c r="G192" s="345">
        <v>1482</v>
      </c>
      <c r="H192" s="345">
        <v>17018</v>
      </c>
      <c r="I192" s="345">
        <v>15536</v>
      </c>
      <c r="J192" s="345">
        <v>2</v>
      </c>
      <c r="K192" s="345">
        <v>89.52</v>
      </c>
      <c r="L192" s="345">
        <v>89.19</v>
      </c>
      <c r="M192" s="345">
        <v>5.97</v>
      </c>
      <c r="N192" s="345">
        <v>92.24</v>
      </c>
      <c r="O192" s="345">
        <v>11833</v>
      </c>
      <c r="P192" s="345">
        <v>89.3</v>
      </c>
      <c r="Q192" s="345">
        <v>81.510000000000005</v>
      </c>
      <c r="R192" s="345">
        <v>42.83</v>
      </c>
      <c r="S192" s="345">
        <v>130.66</v>
      </c>
      <c r="T192" s="345">
        <v>1610</v>
      </c>
      <c r="U192" s="345">
        <v>103.27</v>
      </c>
      <c r="V192" s="345">
        <v>1436</v>
      </c>
      <c r="W192" s="345">
        <v>126.6</v>
      </c>
      <c r="X192" s="345">
        <v>7</v>
      </c>
      <c r="Y192" s="345">
        <v>30</v>
      </c>
      <c r="Z192" s="345">
        <v>30</v>
      </c>
      <c r="AA192" s="345">
        <v>5</v>
      </c>
      <c r="AB192" s="345">
        <v>137</v>
      </c>
      <c r="AC192" s="345">
        <v>23</v>
      </c>
      <c r="AD192" s="345">
        <v>13478</v>
      </c>
      <c r="AE192" s="345">
        <v>42</v>
      </c>
      <c r="AF192" s="345">
        <v>80</v>
      </c>
      <c r="AG192" s="345">
        <v>122</v>
      </c>
    </row>
    <row r="193" spans="1:33" x14ac:dyDescent="0.2">
      <c r="A193" s="344" t="s">
        <v>440</v>
      </c>
      <c r="B193" s="350" t="s">
        <v>441</v>
      </c>
      <c r="C193" s="346">
        <v>7868</v>
      </c>
      <c r="D193" s="346">
        <v>0</v>
      </c>
      <c r="E193" s="346">
        <v>398</v>
      </c>
      <c r="F193" s="346">
        <v>632</v>
      </c>
      <c r="G193" s="346">
        <v>541</v>
      </c>
      <c r="H193" s="346">
        <v>9439</v>
      </c>
      <c r="I193" s="345">
        <v>8898</v>
      </c>
      <c r="J193" s="345">
        <v>10</v>
      </c>
      <c r="K193" s="347">
        <v>93.65</v>
      </c>
      <c r="L193" s="347">
        <v>97.37</v>
      </c>
      <c r="M193" s="347">
        <v>7.13</v>
      </c>
      <c r="N193" s="347">
        <v>98.07</v>
      </c>
      <c r="O193" s="348">
        <v>6858</v>
      </c>
      <c r="P193" s="345">
        <v>108.36</v>
      </c>
      <c r="Q193" s="345">
        <v>90.08</v>
      </c>
      <c r="R193" s="345">
        <v>50.09</v>
      </c>
      <c r="S193" s="345">
        <v>158.16999999999999</v>
      </c>
      <c r="T193" s="345">
        <v>871</v>
      </c>
      <c r="U193" s="345">
        <v>124.7</v>
      </c>
      <c r="V193" s="345">
        <v>812</v>
      </c>
      <c r="W193" s="345">
        <v>158.16999999999999</v>
      </c>
      <c r="X193" s="345">
        <v>79</v>
      </c>
      <c r="Y193" s="345">
        <v>0</v>
      </c>
      <c r="Z193" s="345">
        <v>15</v>
      </c>
      <c r="AA193" s="345">
        <v>2</v>
      </c>
      <c r="AB193" s="345">
        <v>42</v>
      </c>
      <c r="AC193" s="345">
        <v>11</v>
      </c>
      <c r="AD193" s="349">
        <v>7676</v>
      </c>
      <c r="AE193" s="349">
        <v>17</v>
      </c>
      <c r="AF193" s="349">
        <v>21</v>
      </c>
      <c r="AG193" s="349">
        <v>38</v>
      </c>
    </row>
    <row r="194" spans="1:33" x14ac:dyDescent="0.2">
      <c r="A194" s="344" t="s">
        <v>442</v>
      </c>
      <c r="B194" s="350" t="s">
        <v>443</v>
      </c>
      <c r="C194" s="346">
        <v>4253</v>
      </c>
      <c r="D194" s="346">
        <v>36</v>
      </c>
      <c r="E194" s="346">
        <v>508</v>
      </c>
      <c r="F194" s="346">
        <v>1278</v>
      </c>
      <c r="G194" s="346">
        <v>343</v>
      </c>
      <c r="H194" s="346">
        <v>6418</v>
      </c>
      <c r="I194" s="345">
        <v>6075</v>
      </c>
      <c r="J194" s="345">
        <v>0</v>
      </c>
      <c r="K194" s="347">
        <v>81.25</v>
      </c>
      <c r="L194" s="347">
        <v>77.75</v>
      </c>
      <c r="M194" s="347">
        <v>8.4499999999999993</v>
      </c>
      <c r="N194" s="347">
        <v>87.97</v>
      </c>
      <c r="O194" s="348">
        <v>3243</v>
      </c>
      <c r="P194" s="345">
        <v>89.66</v>
      </c>
      <c r="Q194" s="345">
        <v>77.739999999999995</v>
      </c>
      <c r="R194" s="345">
        <v>46.51</v>
      </c>
      <c r="S194" s="345">
        <v>135.62</v>
      </c>
      <c r="T194" s="345">
        <v>1519</v>
      </c>
      <c r="U194" s="345">
        <v>101.62</v>
      </c>
      <c r="V194" s="345">
        <v>844</v>
      </c>
      <c r="W194" s="345">
        <v>189.09</v>
      </c>
      <c r="X194" s="345">
        <v>161</v>
      </c>
      <c r="Y194" s="345">
        <v>113</v>
      </c>
      <c r="Z194" s="345">
        <v>2</v>
      </c>
      <c r="AA194" s="345">
        <v>0</v>
      </c>
      <c r="AB194" s="345">
        <v>56</v>
      </c>
      <c r="AC194" s="345">
        <v>5</v>
      </c>
      <c r="AD194" s="349">
        <v>4073</v>
      </c>
      <c r="AE194" s="349">
        <v>47</v>
      </c>
      <c r="AF194" s="349">
        <v>8</v>
      </c>
      <c r="AG194" s="349">
        <v>55</v>
      </c>
    </row>
    <row r="195" spans="1:33" x14ac:dyDescent="0.2">
      <c r="A195" s="344" t="s">
        <v>444</v>
      </c>
      <c r="B195" s="350" t="s">
        <v>445</v>
      </c>
      <c r="C195" s="346">
        <v>1076</v>
      </c>
      <c r="D195" s="346">
        <v>0</v>
      </c>
      <c r="E195" s="346">
        <v>21</v>
      </c>
      <c r="F195" s="346">
        <v>47</v>
      </c>
      <c r="G195" s="346">
        <v>189</v>
      </c>
      <c r="H195" s="346">
        <v>1333</v>
      </c>
      <c r="I195" s="345">
        <v>1144</v>
      </c>
      <c r="J195" s="345">
        <v>0</v>
      </c>
      <c r="K195" s="347">
        <v>97.37</v>
      </c>
      <c r="L195" s="347">
        <v>95.3</v>
      </c>
      <c r="M195" s="347">
        <v>5.16</v>
      </c>
      <c r="N195" s="347">
        <v>100.3</v>
      </c>
      <c r="O195" s="348">
        <v>850</v>
      </c>
      <c r="P195" s="345">
        <v>95.6</v>
      </c>
      <c r="Q195" s="345">
        <v>86.23</v>
      </c>
      <c r="R195" s="345">
        <v>37.729999999999997</v>
      </c>
      <c r="S195" s="345">
        <v>129.79</v>
      </c>
      <c r="T195" s="345">
        <v>64</v>
      </c>
      <c r="U195" s="345">
        <v>111.11</v>
      </c>
      <c r="V195" s="345">
        <v>223</v>
      </c>
      <c r="W195" s="345">
        <v>0</v>
      </c>
      <c r="X195" s="345">
        <v>0</v>
      </c>
      <c r="Y195" s="345">
        <v>0</v>
      </c>
      <c r="Z195" s="345">
        <v>1</v>
      </c>
      <c r="AA195" s="345">
        <v>3</v>
      </c>
      <c r="AB195" s="345">
        <v>10</v>
      </c>
      <c r="AC195" s="345">
        <v>5</v>
      </c>
      <c r="AD195" s="349">
        <v>1074</v>
      </c>
      <c r="AE195" s="349">
        <v>3</v>
      </c>
      <c r="AF195" s="349">
        <v>0</v>
      </c>
      <c r="AG195" s="349">
        <v>3</v>
      </c>
    </row>
    <row r="196" spans="1:33" x14ac:dyDescent="0.2">
      <c r="A196" s="344" t="s">
        <v>446</v>
      </c>
      <c r="B196" s="350" t="s">
        <v>447</v>
      </c>
      <c r="C196" s="346">
        <v>1791</v>
      </c>
      <c r="D196" s="346">
        <v>0</v>
      </c>
      <c r="E196" s="346">
        <v>59</v>
      </c>
      <c r="F196" s="346">
        <v>213</v>
      </c>
      <c r="G196" s="346">
        <v>424</v>
      </c>
      <c r="H196" s="346">
        <v>2487</v>
      </c>
      <c r="I196" s="345">
        <v>2063</v>
      </c>
      <c r="J196" s="345">
        <v>0</v>
      </c>
      <c r="K196" s="347">
        <v>87.06</v>
      </c>
      <c r="L196" s="347">
        <v>86.66</v>
      </c>
      <c r="M196" s="347">
        <v>7.04</v>
      </c>
      <c r="N196" s="347">
        <v>92.62</v>
      </c>
      <c r="O196" s="348">
        <v>1309</v>
      </c>
      <c r="P196" s="345">
        <v>86.42</v>
      </c>
      <c r="Q196" s="345">
        <v>90.55</v>
      </c>
      <c r="R196" s="345">
        <v>42.06</v>
      </c>
      <c r="S196" s="345">
        <v>125.12</v>
      </c>
      <c r="T196" s="345">
        <v>250</v>
      </c>
      <c r="U196" s="345">
        <v>98.2</v>
      </c>
      <c r="V196" s="345">
        <v>463</v>
      </c>
      <c r="W196" s="345">
        <v>0</v>
      </c>
      <c r="X196" s="345">
        <v>0</v>
      </c>
      <c r="Y196" s="345">
        <v>0</v>
      </c>
      <c r="Z196" s="345">
        <v>0</v>
      </c>
      <c r="AA196" s="345">
        <v>1</v>
      </c>
      <c r="AB196" s="345">
        <v>11</v>
      </c>
      <c r="AC196" s="345">
        <v>9</v>
      </c>
      <c r="AD196" s="349">
        <v>1791</v>
      </c>
      <c r="AE196" s="349">
        <v>8</v>
      </c>
      <c r="AF196" s="349">
        <v>1</v>
      </c>
      <c r="AG196" s="349">
        <v>9</v>
      </c>
    </row>
    <row r="197" spans="1:33" x14ac:dyDescent="0.2">
      <c r="A197" s="344" t="s">
        <v>448</v>
      </c>
      <c r="B197" s="350" t="s">
        <v>449</v>
      </c>
      <c r="C197" s="346">
        <v>14807</v>
      </c>
      <c r="D197" s="346">
        <v>22</v>
      </c>
      <c r="E197" s="346">
        <v>400</v>
      </c>
      <c r="F197" s="346">
        <v>2534</v>
      </c>
      <c r="G197" s="346">
        <v>419</v>
      </c>
      <c r="H197" s="346">
        <v>18182</v>
      </c>
      <c r="I197" s="345">
        <v>17763</v>
      </c>
      <c r="J197" s="345">
        <v>11</v>
      </c>
      <c r="K197" s="347">
        <v>74.59</v>
      </c>
      <c r="L197" s="347">
        <v>72.180000000000007</v>
      </c>
      <c r="M197" s="347">
        <v>3.25</v>
      </c>
      <c r="N197" s="347">
        <v>76.2</v>
      </c>
      <c r="O197" s="348">
        <v>13419</v>
      </c>
      <c r="P197" s="345">
        <v>75.72</v>
      </c>
      <c r="Q197" s="345">
        <v>66.55</v>
      </c>
      <c r="R197" s="345">
        <v>25.65</v>
      </c>
      <c r="S197" s="345">
        <v>99.93</v>
      </c>
      <c r="T197" s="345">
        <v>2766</v>
      </c>
      <c r="U197" s="345">
        <v>96.28</v>
      </c>
      <c r="V197" s="345">
        <v>1163</v>
      </c>
      <c r="W197" s="345">
        <v>137.36000000000001</v>
      </c>
      <c r="X197" s="345">
        <v>73</v>
      </c>
      <c r="Y197" s="345">
        <v>206</v>
      </c>
      <c r="Z197" s="345">
        <v>12</v>
      </c>
      <c r="AA197" s="345">
        <v>0</v>
      </c>
      <c r="AB197" s="345">
        <v>14</v>
      </c>
      <c r="AC197" s="345">
        <v>4</v>
      </c>
      <c r="AD197" s="349">
        <v>14566</v>
      </c>
      <c r="AE197" s="349">
        <v>167</v>
      </c>
      <c r="AF197" s="349">
        <v>39</v>
      </c>
      <c r="AG197" s="349">
        <v>206</v>
      </c>
    </row>
    <row r="198" spans="1:33" x14ac:dyDescent="0.2">
      <c r="A198" s="344" t="s">
        <v>450</v>
      </c>
      <c r="B198" s="350" t="s">
        <v>451</v>
      </c>
      <c r="C198" s="346">
        <v>3908</v>
      </c>
      <c r="D198" s="346">
        <v>0</v>
      </c>
      <c r="E198" s="346">
        <v>510</v>
      </c>
      <c r="F198" s="346">
        <v>1181</v>
      </c>
      <c r="G198" s="346">
        <v>280</v>
      </c>
      <c r="H198" s="346">
        <v>5879</v>
      </c>
      <c r="I198" s="345">
        <v>5599</v>
      </c>
      <c r="J198" s="345">
        <v>5</v>
      </c>
      <c r="K198" s="347">
        <v>87.99</v>
      </c>
      <c r="L198" s="347">
        <v>87.62</v>
      </c>
      <c r="M198" s="347">
        <v>6.3</v>
      </c>
      <c r="N198" s="347">
        <v>92.99</v>
      </c>
      <c r="O198" s="348">
        <v>3499</v>
      </c>
      <c r="P198" s="345">
        <v>86.5</v>
      </c>
      <c r="Q198" s="345">
        <v>81.010000000000005</v>
      </c>
      <c r="R198" s="345">
        <v>43.41</v>
      </c>
      <c r="S198" s="345">
        <v>127.6</v>
      </c>
      <c r="T198" s="345">
        <v>1033</v>
      </c>
      <c r="U198" s="345">
        <v>105.13</v>
      </c>
      <c r="V198" s="345">
        <v>345</v>
      </c>
      <c r="W198" s="345">
        <v>0</v>
      </c>
      <c r="X198" s="345">
        <v>0</v>
      </c>
      <c r="Y198" s="345">
        <v>0</v>
      </c>
      <c r="Z198" s="345">
        <v>0</v>
      </c>
      <c r="AA198" s="345">
        <v>1</v>
      </c>
      <c r="AB198" s="345">
        <v>5</v>
      </c>
      <c r="AC198" s="345">
        <v>9</v>
      </c>
      <c r="AD198" s="349">
        <v>3892</v>
      </c>
      <c r="AE198" s="349">
        <v>15</v>
      </c>
      <c r="AF198" s="349">
        <v>19</v>
      </c>
      <c r="AG198" s="349">
        <v>34</v>
      </c>
    </row>
    <row r="199" spans="1:33" x14ac:dyDescent="0.2">
      <c r="A199" s="344" t="s">
        <v>452</v>
      </c>
      <c r="B199" s="350" t="s">
        <v>453</v>
      </c>
      <c r="C199" s="346">
        <v>6732</v>
      </c>
      <c r="D199" s="346">
        <v>7</v>
      </c>
      <c r="E199" s="346">
        <v>1241</v>
      </c>
      <c r="F199" s="346">
        <v>2242</v>
      </c>
      <c r="G199" s="346">
        <v>290</v>
      </c>
      <c r="H199" s="346">
        <v>10512</v>
      </c>
      <c r="I199" s="345">
        <v>10222</v>
      </c>
      <c r="J199" s="345">
        <v>40</v>
      </c>
      <c r="K199" s="347">
        <v>84.57</v>
      </c>
      <c r="L199" s="347">
        <v>82.4</v>
      </c>
      <c r="M199" s="347">
        <v>6.16</v>
      </c>
      <c r="N199" s="347">
        <v>88.5</v>
      </c>
      <c r="O199" s="348">
        <v>5837</v>
      </c>
      <c r="P199" s="345">
        <v>86.38</v>
      </c>
      <c r="Q199" s="345">
        <v>79.22</v>
      </c>
      <c r="R199" s="345">
        <v>74.599999999999994</v>
      </c>
      <c r="S199" s="345">
        <v>159.13999999999999</v>
      </c>
      <c r="T199" s="345">
        <v>2872</v>
      </c>
      <c r="U199" s="345">
        <v>99.08</v>
      </c>
      <c r="V199" s="345">
        <v>476</v>
      </c>
      <c r="W199" s="345">
        <v>180.6</v>
      </c>
      <c r="X199" s="345">
        <v>177</v>
      </c>
      <c r="Y199" s="345">
        <v>110</v>
      </c>
      <c r="Z199" s="345">
        <v>6</v>
      </c>
      <c r="AA199" s="345">
        <v>47</v>
      </c>
      <c r="AB199" s="345">
        <v>8</v>
      </c>
      <c r="AC199" s="345">
        <v>21</v>
      </c>
      <c r="AD199" s="349">
        <v>6677</v>
      </c>
      <c r="AE199" s="349">
        <v>20</v>
      </c>
      <c r="AF199" s="349">
        <v>32</v>
      </c>
      <c r="AG199" s="349">
        <v>52</v>
      </c>
    </row>
    <row r="200" spans="1:33" x14ac:dyDescent="0.2">
      <c r="A200" s="344" t="s">
        <v>454</v>
      </c>
      <c r="B200" s="350" t="s">
        <v>455</v>
      </c>
      <c r="C200" s="346">
        <v>2129</v>
      </c>
      <c r="D200" s="346">
        <v>0</v>
      </c>
      <c r="E200" s="346">
        <v>234</v>
      </c>
      <c r="F200" s="346">
        <v>360</v>
      </c>
      <c r="G200" s="346">
        <v>339</v>
      </c>
      <c r="H200" s="346">
        <v>3062</v>
      </c>
      <c r="I200" s="345">
        <v>2723</v>
      </c>
      <c r="J200" s="345">
        <v>9</v>
      </c>
      <c r="K200" s="347">
        <v>95.26</v>
      </c>
      <c r="L200" s="347">
        <v>93.26</v>
      </c>
      <c r="M200" s="347">
        <v>7.26</v>
      </c>
      <c r="N200" s="347">
        <v>101.29</v>
      </c>
      <c r="O200" s="348">
        <v>1678</v>
      </c>
      <c r="P200" s="345">
        <v>113.98</v>
      </c>
      <c r="Q200" s="345">
        <v>82.23</v>
      </c>
      <c r="R200" s="345">
        <v>55.48</v>
      </c>
      <c r="S200" s="345">
        <v>168.03</v>
      </c>
      <c r="T200" s="345">
        <v>463</v>
      </c>
      <c r="U200" s="345">
        <v>112.53</v>
      </c>
      <c r="V200" s="345">
        <v>430</v>
      </c>
      <c r="W200" s="345">
        <v>171.76</v>
      </c>
      <c r="X200" s="345">
        <v>60</v>
      </c>
      <c r="Y200" s="345">
        <v>0</v>
      </c>
      <c r="Z200" s="345">
        <v>0</v>
      </c>
      <c r="AA200" s="345">
        <v>1</v>
      </c>
      <c r="AB200" s="345">
        <v>33</v>
      </c>
      <c r="AC200" s="345">
        <v>15</v>
      </c>
      <c r="AD200" s="349">
        <v>2129</v>
      </c>
      <c r="AE200" s="349">
        <v>15</v>
      </c>
      <c r="AF200" s="349">
        <v>14</v>
      </c>
      <c r="AG200" s="349">
        <v>29</v>
      </c>
    </row>
    <row r="201" spans="1:33" x14ac:dyDescent="0.2">
      <c r="A201" s="344" t="s">
        <v>456</v>
      </c>
      <c r="B201" s="350" t="s">
        <v>457</v>
      </c>
      <c r="C201" s="346">
        <v>490</v>
      </c>
      <c r="D201" s="346">
        <v>0</v>
      </c>
      <c r="E201" s="346">
        <v>62</v>
      </c>
      <c r="F201" s="346">
        <v>94</v>
      </c>
      <c r="G201" s="346">
        <v>112</v>
      </c>
      <c r="H201" s="346">
        <v>758</v>
      </c>
      <c r="I201" s="345">
        <v>646</v>
      </c>
      <c r="J201" s="345">
        <v>0</v>
      </c>
      <c r="K201" s="347">
        <v>91.27</v>
      </c>
      <c r="L201" s="347">
        <v>90.61</v>
      </c>
      <c r="M201" s="347">
        <v>5.27</v>
      </c>
      <c r="N201" s="347">
        <v>94.14</v>
      </c>
      <c r="O201" s="348">
        <v>282</v>
      </c>
      <c r="P201" s="345">
        <v>115.8</v>
      </c>
      <c r="Q201" s="345">
        <v>76.150000000000006</v>
      </c>
      <c r="R201" s="345">
        <v>41.84</v>
      </c>
      <c r="S201" s="345">
        <v>157.65</v>
      </c>
      <c r="T201" s="345">
        <v>145</v>
      </c>
      <c r="U201" s="345">
        <v>103.58</v>
      </c>
      <c r="V201" s="345">
        <v>115</v>
      </c>
      <c r="W201" s="345">
        <v>0</v>
      </c>
      <c r="X201" s="345">
        <v>0</v>
      </c>
      <c r="Y201" s="345">
        <v>0</v>
      </c>
      <c r="Z201" s="345">
        <v>0</v>
      </c>
      <c r="AA201" s="345">
        <v>0</v>
      </c>
      <c r="AB201" s="345">
        <v>1</v>
      </c>
      <c r="AC201" s="345">
        <v>5</v>
      </c>
      <c r="AD201" s="349">
        <v>455</v>
      </c>
      <c r="AE201" s="349">
        <v>2</v>
      </c>
      <c r="AF201" s="349">
        <v>0</v>
      </c>
      <c r="AG201" s="349">
        <v>2</v>
      </c>
    </row>
    <row r="202" spans="1:33" x14ac:dyDescent="0.2">
      <c r="A202" s="344" t="s">
        <v>458</v>
      </c>
      <c r="B202" s="350" t="s">
        <v>459</v>
      </c>
      <c r="C202" s="346">
        <v>17473</v>
      </c>
      <c r="D202" s="346">
        <v>1</v>
      </c>
      <c r="E202" s="346">
        <v>570</v>
      </c>
      <c r="F202" s="346">
        <v>679</v>
      </c>
      <c r="G202" s="346">
        <v>247</v>
      </c>
      <c r="H202" s="346">
        <v>18970</v>
      </c>
      <c r="I202" s="345">
        <v>18723</v>
      </c>
      <c r="J202" s="345">
        <v>20</v>
      </c>
      <c r="K202" s="347">
        <v>76.48</v>
      </c>
      <c r="L202" s="347">
        <v>76.290000000000006</v>
      </c>
      <c r="M202" s="347">
        <v>3.3</v>
      </c>
      <c r="N202" s="347">
        <v>78.209999999999994</v>
      </c>
      <c r="O202" s="348">
        <v>15585</v>
      </c>
      <c r="P202" s="345">
        <v>78.180000000000007</v>
      </c>
      <c r="Q202" s="345">
        <v>74.650000000000006</v>
      </c>
      <c r="R202" s="345">
        <v>35.909999999999997</v>
      </c>
      <c r="S202" s="345">
        <v>112.86</v>
      </c>
      <c r="T202" s="345">
        <v>1200</v>
      </c>
      <c r="U202" s="345">
        <v>97.07</v>
      </c>
      <c r="V202" s="345">
        <v>1383</v>
      </c>
      <c r="W202" s="345">
        <v>0</v>
      </c>
      <c r="X202" s="345">
        <v>0</v>
      </c>
      <c r="Y202" s="345">
        <v>18</v>
      </c>
      <c r="Z202" s="345">
        <v>74</v>
      </c>
      <c r="AA202" s="345">
        <v>4</v>
      </c>
      <c r="AB202" s="345">
        <v>14</v>
      </c>
      <c r="AC202" s="345">
        <v>8</v>
      </c>
      <c r="AD202" s="349">
        <v>16809</v>
      </c>
      <c r="AE202" s="349">
        <v>68</v>
      </c>
      <c r="AF202" s="349">
        <v>183</v>
      </c>
      <c r="AG202" s="349">
        <v>251</v>
      </c>
    </row>
    <row r="203" spans="1:33" x14ac:dyDescent="0.2">
      <c r="A203" s="344" t="s">
        <v>460</v>
      </c>
      <c r="B203" s="350" t="s">
        <v>461</v>
      </c>
      <c r="C203" s="346">
        <v>3006</v>
      </c>
      <c r="D203" s="346">
        <v>99</v>
      </c>
      <c r="E203" s="346">
        <v>461</v>
      </c>
      <c r="F203" s="346">
        <v>855</v>
      </c>
      <c r="G203" s="346">
        <v>659</v>
      </c>
      <c r="H203" s="346">
        <v>5080</v>
      </c>
      <c r="I203" s="345">
        <v>4421</v>
      </c>
      <c r="J203" s="345">
        <v>10</v>
      </c>
      <c r="K203" s="347">
        <v>110.61</v>
      </c>
      <c r="L203" s="347">
        <v>109.35</v>
      </c>
      <c r="M203" s="347">
        <v>7.87</v>
      </c>
      <c r="N203" s="347">
        <v>118</v>
      </c>
      <c r="O203" s="348">
        <v>3013</v>
      </c>
      <c r="P203" s="345">
        <v>106.86</v>
      </c>
      <c r="Q203" s="345">
        <v>102.68</v>
      </c>
      <c r="R203" s="345">
        <v>43.87</v>
      </c>
      <c r="S203" s="345">
        <v>148.08000000000001</v>
      </c>
      <c r="T203" s="345">
        <v>1258</v>
      </c>
      <c r="U203" s="345">
        <v>166.82</v>
      </c>
      <c r="V203" s="345">
        <v>76</v>
      </c>
      <c r="W203" s="345">
        <v>0</v>
      </c>
      <c r="X203" s="345">
        <v>0</v>
      </c>
      <c r="Y203" s="345">
        <v>0</v>
      </c>
      <c r="Z203" s="345">
        <v>0</v>
      </c>
      <c r="AA203" s="345">
        <v>0</v>
      </c>
      <c r="AB203" s="345">
        <v>2</v>
      </c>
      <c r="AC203" s="345">
        <v>13</v>
      </c>
      <c r="AD203" s="349">
        <v>3006</v>
      </c>
      <c r="AE203" s="349">
        <v>39</v>
      </c>
      <c r="AF203" s="349">
        <v>4</v>
      </c>
      <c r="AG203" s="349">
        <v>43</v>
      </c>
    </row>
    <row r="204" spans="1:33" x14ac:dyDescent="0.2">
      <c r="A204" s="344" t="s">
        <v>462</v>
      </c>
      <c r="B204" s="350" t="s">
        <v>463</v>
      </c>
      <c r="C204" s="346">
        <v>4207</v>
      </c>
      <c r="D204" s="346">
        <v>0</v>
      </c>
      <c r="E204" s="346">
        <v>240</v>
      </c>
      <c r="F204" s="346">
        <v>215</v>
      </c>
      <c r="G204" s="346">
        <v>6</v>
      </c>
      <c r="H204" s="346">
        <v>4668</v>
      </c>
      <c r="I204" s="345">
        <v>4662</v>
      </c>
      <c r="J204" s="345">
        <v>5</v>
      </c>
      <c r="K204" s="347">
        <v>73.08</v>
      </c>
      <c r="L204" s="347">
        <v>69.88</v>
      </c>
      <c r="M204" s="347">
        <v>1.8</v>
      </c>
      <c r="N204" s="347">
        <v>74.69</v>
      </c>
      <c r="O204" s="348">
        <v>3786</v>
      </c>
      <c r="P204" s="345">
        <v>95.68</v>
      </c>
      <c r="Q204" s="345">
        <v>69.64</v>
      </c>
      <c r="R204" s="345">
        <v>43.9</v>
      </c>
      <c r="S204" s="345">
        <v>138.54</v>
      </c>
      <c r="T204" s="345">
        <v>337</v>
      </c>
      <c r="U204" s="345">
        <v>92.31</v>
      </c>
      <c r="V204" s="345">
        <v>408</v>
      </c>
      <c r="W204" s="345">
        <v>89.69</v>
      </c>
      <c r="X204" s="345">
        <v>18</v>
      </c>
      <c r="Y204" s="345">
        <v>11</v>
      </c>
      <c r="Z204" s="345">
        <v>24</v>
      </c>
      <c r="AA204" s="345">
        <v>11</v>
      </c>
      <c r="AB204" s="345">
        <v>0</v>
      </c>
      <c r="AC204" s="345">
        <v>0</v>
      </c>
      <c r="AD204" s="349">
        <v>4203</v>
      </c>
      <c r="AE204" s="349">
        <v>28</v>
      </c>
      <c r="AF204" s="349">
        <v>14</v>
      </c>
      <c r="AG204" s="349">
        <v>42</v>
      </c>
    </row>
    <row r="205" spans="1:33" x14ac:dyDescent="0.2">
      <c r="A205" s="344" t="s">
        <v>464</v>
      </c>
      <c r="B205" s="350" t="s">
        <v>465</v>
      </c>
      <c r="C205" s="346">
        <v>12956</v>
      </c>
      <c r="D205" s="346">
        <v>13</v>
      </c>
      <c r="E205" s="346">
        <v>762</v>
      </c>
      <c r="F205" s="346">
        <v>2091</v>
      </c>
      <c r="G205" s="346">
        <v>942</v>
      </c>
      <c r="H205" s="346">
        <v>16764</v>
      </c>
      <c r="I205" s="345">
        <v>15822</v>
      </c>
      <c r="J205" s="345">
        <v>36</v>
      </c>
      <c r="K205" s="347">
        <v>85.83</v>
      </c>
      <c r="L205" s="347">
        <v>85.25</v>
      </c>
      <c r="M205" s="347">
        <v>5.97</v>
      </c>
      <c r="N205" s="347">
        <v>88.78</v>
      </c>
      <c r="O205" s="348">
        <v>11178</v>
      </c>
      <c r="P205" s="345">
        <v>93.34</v>
      </c>
      <c r="Q205" s="345">
        <v>85.77</v>
      </c>
      <c r="R205" s="345">
        <v>35.97</v>
      </c>
      <c r="S205" s="345">
        <v>127.71</v>
      </c>
      <c r="T205" s="345">
        <v>2561</v>
      </c>
      <c r="U205" s="345">
        <v>104.46</v>
      </c>
      <c r="V205" s="345">
        <v>1502</v>
      </c>
      <c r="W205" s="345">
        <v>201.78</v>
      </c>
      <c r="X205" s="345">
        <v>87</v>
      </c>
      <c r="Y205" s="345">
        <v>26</v>
      </c>
      <c r="Z205" s="345">
        <v>47</v>
      </c>
      <c r="AA205" s="345">
        <v>6</v>
      </c>
      <c r="AB205" s="345">
        <v>30</v>
      </c>
      <c r="AC205" s="345">
        <v>23</v>
      </c>
      <c r="AD205" s="349">
        <v>12956</v>
      </c>
      <c r="AE205" s="349">
        <v>45</v>
      </c>
      <c r="AF205" s="349">
        <v>43</v>
      </c>
      <c r="AG205" s="349">
        <v>88</v>
      </c>
    </row>
    <row r="206" spans="1:33" x14ac:dyDescent="0.2">
      <c r="A206" s="344" t="s">
        <v>466</v>
      </c>
      <c r="B206" s="350" t="s">
        <v>467</v>
      </c>
      <c r="C206" s="346">
        <v>19172</v>
      </c>
      <c r="D206" s="346">
        <v>0</v>
      </c>
      <c r="E206" s="346">
        <v>2424</v>
      </c>
      <c r="F206" s="346">
        <v>1061</v>
      </c>
      <c r="G206" s="346">
        <v>1172</v>
      </c>
      <c r="H206" s="346">
        <v>23829</v>
      </c>
      <c r="I206" s="345">
        <v>22657</v>
      </c>
      <c r="J206" s="345">
        <v>70</v>
      </c>
      <c r="K206" s="347">
        <v>75.06</v>
      </c>
      <c r="L206" s="347">
        <v>74.25</v>
      </c>
      <c r="M206" s="347">
        <v>6.58</v>
      </c>
      <c r="N206" s="347">
        <v>79.19</v>
      </c>
      <c r="O206" s="348">
        <v>14983</v>
      </c>
      <c r="P206" s="345">
        <v>71.42</v>
      </c>
      <c r="Q206" s="345">
        <v>69.62</v>
      </c>
      <c r="R206" s="345">
        <v>28.62</v>
      </c>
      <c r="S206" s="345">
        <v>98.67</v>
      </c>
      <c r="T206" s="345">
        <v>3029</v>
      </c>
      <c r="U206" s="345">
        <v>106.44</v>
      </c>
      <c r="V206" s="345">
        <v>3662</v>
      </c>
      <c r="W206" s="345">
        <v>100.13</v>
      </c>
      <c r="X206" s="345">
        <v>368</v>
      </c>
      <c r="Y206" s="345">
        <v>8</v>
      </c>
      <c r="Z206" s="345">
        <v>73</v>
      </c>
      <c r="AA206" s="345">
        <v>20</v>
      </c>
      <c r="AB206" s="345">
        <v>106</v>
      </c>
      <c r="AC206" s="345">
        <v>30</v>
      </c>
      <c r="AD206" s="349">
        <v>18707</v>
      </c>
      <c r="AE206" s="349">
        <v>94</v>
      </c>
      <c r="AF206" s="349">
        <v>234</v>
      </c>
      <c r="AG206" s="349">
        <v>328</v>
      </c>
    </row>
    <row r="207" spans="1:33" x14ac:dyDescent="0.2">
      <c r="A207" s="344" t="s">
        <v>468</v>
      </c>
      <c r="B207" s="350" t="s">
        <v>469</v>
      </c>
      <c r="C207" s="346">
        <v>4950</v>
      </c>
      <c r="D207" s="346">
        <v>31</v>
      </c>
      <c r="E207" s="346">
        <v>452</v>
      </c>
      <c r="F207" s="346">
        <v>892</v>
      </c>
      <c r="G207" s="346">
        <v>665</v>
      </c>
      <c r="H207" s="346">
        <v>6990</v>
      </c>
      <c r="I207" s="345">
        <v>6325</v>
      </c>
      <c r="J207" s="345">
        <v>3</v>
      </c>
      <c r="K207" s="347">
        <v>97.43</v>
      </c>
      <c r="L207" s="347">
        <v>94.27</v>
      </c>
      <c r="M207" s="347">
        <v>9.4499999999999993</v>
      </c>
      <c r="N207" s="347">
        <v>104.94</v>
      </c>
      <c r="O207" s="348">
        <v>3901</v>
      </c>
      <c r="P207" s="345">
        <v>110.01</v>
      </c>
      <c r="Q207" s="345">
        <v>85.93</v>
      </c>
      <c r="R207" s="345">
        <v>42.58</v>
      </c>
      <c r="S207" s="345">
        <v>146.29</v>
      </c>
      <c r="T207" s="345">
        <v>527</v>
      </c>
      <c r="U207" s="345">
        <v>127.76</v>
      </c>
      <c r="V207" s="345">
        <v>767</v>
      </c>
      <c r="W207" s="345">
        <v>174.83</v>
      </c>
      <c r="X207" s="345">
        <v>273</v>
      </c>
      <c r="Y207" s="345">
        <v>0</v>
      </c>
      <c r="Z207" s="345">
        <v>7</v>
      </c>
      <c r="AA207" s="345">
        <v>6</v>
      </c>
      <c r="AB207" s="345">
        <v>3</v>
      </c>
      <c r="AC207" s="345">
        <v>20</v>
      </c>
      <c r="AD207" s="349">
        <v>4868</v>
      </c>
      <c r="AE207" s="349">
        <v>16</v>
      </c>
      <c r="AF207" s="349">
        <v>8</v>
      </c>
      <c r="AG207" s="349">
        <v>24</v>
      </c>
    </row>
    <row r="208" spans="1:33" x14ac:dyDescent="0.2">
      <c r="A208" s="344" t="s">
        <v>470</v>
      </c>
      <c r="B208" s="350" t="s">
        <v>471</v>
      </c>
      <c r="C208" s="346">
        <v>10152</v>
      </c>
      <c r="D208" s="346">
        <v>0</v>
      </c>
      <c r="E208" s="346">
        <v>489</v>
      </c>
      <c r="F208" s="346">
        <v>965</v>
      </c>
      <c r="G208" s="346">
        <v>393</v>
      </c>
      <c r="H208" s="346">
        <v>11999</v>
      </c>
      <c r="I208" s="345">
        <v>11606</v>
      </c>
      <c r="J208" s="345">
        <v>25</v>
      </c>
      <c r="K208" s="347">
        <v>78.17</v>
      </c>
      <c r="L208" s="347">
        <v>77.33</v>
      </c>
      <c r="M208" s="347">
        <v>6.52</v>
      </c>
      <c r="N208" s="347">
        <v>81.48</v>
      </c>
      <c r="O208" s="348">
        <v>9221</v>
      </c>
      <c r="P208" s="345">
        <v>81.209999999999994</v>
      </c>
      <c r="Q208" s="345">
        <v>70.39</v>
      </c>
      <c r="R208" s="345">
        <v>50.55</v>
      </c>
      <c r="S208" s="345">
        <v>130.34</v>
      </c>
      <c r="T208" s="345">
        <v>1393</v>
      </c>
      <c r="U208" s="345">
        <v>100.18</v>
      </c>
      <c r="V208" s="345">
        <v>899</v>
      </c>
      <c r="W208" s="345">
        <v>0</v>
      </c>
      <c r="X208" s="345">
        <v>0</v>
      </c>
      <c r="Y208" s="345">
        <v>350</v>
      </c>
      <c r="Z208" s="345">
        <v>33</v>
      </c>
      <c r="AA208" s="345">
        <v>6</v>
      </c>
      <c r="AB208" s="345">
        <v>1</v>
      </c>
      <c r="AC208" s="345">
        <v>15</v>
      </c>
      <c r="AD208" s="349">
        <v>10094</v>
      </c>
      <c r="AE208" s="349">
        <v>60</v>
      </c>
      <c r="AF208" s="349">
        <v>84</v>
      </c>
      <c r="AG208" s="349">
        <v>144</v>
      </c>
    </row>
    <row r="209" spans="1:33" x14ac:dyDescent="0.2">
      <c r="A209" s="344" t="s">
        <v>472</v>
      </c>
      <c r="B209" s="350" t="s">
        <v>473</v>
      </c>
      <c r="C209" s="346">
        <v>3833</v>
      </c>
      <c r="D209" s="346">
        <v>0</v>
      </c>
      <c r="E209" s="346">
        <v>344</v>
      </c>
      <c r="F209" s="346">
        <v>362</v>
      </c>
      <c r="G209" s="346">
        <v>929</v>
      </c>
      <c r="H209" s="346">
        <v>5468</v>
      </c>
      <c r="I209" s="345">
        <v>4539</v>
      </c>
      <c r="J209" s="345">
        <v>6</v>
      </c>
      <c r="K209" s="347">
        <v>116.81</v>
      </c>
      <c r="L209" s="347">
        <v>114.87</v>
      </c>
      <c r="M209" s="347">
        <v>9.16</v>
      </c>
      <c r="N209" s="347">
        <v>125.44</v>
      </c>
      <c r="O209" s="348">
        <v>2964</v>
      </c>
      <c r="P209" s="345">
        <v>117.37</v>
      </c>
      <c r="Q209" s="345">
        <v>100.93</v>
      </c>
      <c r="R209" s="345">
        <v>75.650000000000006</v>
      </c>
      <c r="S209" s="345">
        <v>188.17</v>
      </c>
      <c r="T209" s="345">
        <v>577</v>
      </c>
      <c r="U209" s="345">
        <v>166.85</v>
      </c>
      <c r="V209" s="345">
        <v>447</v>
      </c>
      <c r="W209" s="345">
        <v>146.76</v>
      </c>
      <c r="X209" s="345">
        <v>33</v>
      </c>
      <c r="Y209" s="345">
        <v>8</v>
      </c>
      <c r="Z209" s="345">
        <v>9</v>
      </c>
      <c r="AA209" s="345">
        <v>1</v>
      </c>
      <c r="AB209" s="345">
        <v>16</v>
      </c>
      <c r="AC209" s="345">
        <v>18</v>
      </c>
      <c r="AD209" s="349">
        <v>3641</v>
      </c>
      <c r="AE209" s="349">
        <v>60</v>
      </c>
      <c r="AF209" s="349">
        <v>4</v>
      </c>
      <c r="AG209" s="349">
        <v>64</v>
      </c>
    </row>
    <row r="210" spans="1:33" x14ac:dyDescent="0.2">
      <c r="A210" s="344" t="s">
        <v>474</v>
      </c>
      <c r="B210" s="350" t="s">
        <v>475</v>
      </c>
      <c r="C210" s="346">
        <v>3405</v>
      </c>
      <c r="D210" s="346">
        <v>0</v>
      </c>
      <c r="E210" s="346">
        <v>346</v>
      </c>
      <c r="F210" s="346">
        <v>1096</v>
      </c>
      <c r="G210" s="346">
        <v>665</v>
      </c>
      <c r="H210" s="346">
        <v>5512</v>
      </c>
      <c r="I210" s="345">
        <v>4847</v>
      </c>
      <c r="J210" s="345">
        <v>102</v>
      </c>
      <c r="K210" s="347">
        <v>124.38</v>
      </c>
      <c r="L210" s="347">
        <v>122.68</v>
      </c>
      <c r="M210" s="347">
        <v>10.199999999999999</v>
      </c>
      <c r="N210" s="347">
        <v>130.36000000000001</v>
      </c>
      <c r="O210" s="348">
        <v>2845</v>
      </c>
      <c r="P210" s="345">
        <v>103.91</v>
      </c>
      <c r="Q210" s="345">
        <v>98.53</v>
      </c>
      <c r="R210" s="345">
        <v>50.43</v>
      </c>
      <c r="S210" s="345">
        <v>149</v>
      </c>
      <c r="T210" s="345">
        <v>1256</v>
      </c>
      <c r="U210" s="345">
        <v>173.3</v>
      </c>
      <c r="V210" s="345">
        <v>275</v>
      </c>
      <c r="W210" s="345">
        <v>134.57</v>
      </c>
      <c r="X210" s="345">
        <v>53</v>
      </c>
      <c r="Y210" s="345">
        <v>0</v>
      </c>
      <c r="Z210" s="345">
        <v>1</v>
      </c>
      <c r="AA210" s="345">
        <v>1</v>
      </c>
      <c r="AB210" s="345">
        <v>106</v>
      </c>
      <c r="AC210" s="345">
        <v>14</v>
      </c>
      <c r="AD210" s="349">
        <v>3278</v>
      </c>
      <c r="AE210" s="349">
        <v>25</v>
      </c>
      <c r="AF210" s="349">
        <v>8</v>
      </c>
      <c r="AG210" s="349">
        <v>33</v>
      </c>
    </row>
    <row r="211" spans="1:33" x14ac:dyDescent="0.2">
      <c r="A211" s="344" t="s">
        <v>476</v>
      </c>
      <c r="B211" s="350" t="s">
        <v>477</v>
      </c>
      <c r="C211" s="346">
        <v>11388</v>
      </c>
      <c r="D211" s="346">
        <v>0</v>
      </c>
      <c r="E211" s="346">
        <v>267</v>
      </c>
      <c r="F211" s="346">
        <v>564</v>
      </c>
      <c r="G211" s="346">
        <v>276</v>
      </c>
      <c r="H211" s="346">
        <v>12495</v>
      </c>
      <c r="I211" s="345">
        <v>12219</v>
      </c>
      <c r="J211" s="345">
        <v>0</v>
      </c>
      <c r="K211" s="347">
        <v>86.63</v>
      </c>
      <c r="L211" s="347">
        <v>86.68</v>
      </c>
      <c r="M211" s="347">
        <v>5.31</v>
      </c>
      <c r="N211" s="347">
        <v>89.33</v>
      </c>
      <c r="O211" s="348">
        <v>10890</v>
      </c>
      <c r="P211" s="345">
        <v>83.91</v>
      </c>
      <c r="Q211" s="345">
        <v>77.55</v>
      </c>
      <c r="R211" s="345">
        <v>48.37</v>
      </c>
      <c r="S211" s="345">
        <v>131.52000000000001</v>
      </c>
      <c r="T211" s="345">
        <v>633</v>
      </c>
      <c r="U211" s="345">
        <v>105.13</v>
      </c>
      <c r="V211" s="345">
        <v>305</v>
      </c>
      <c r="W211" s="345">
        <v>138.58000000000001</v>
      </c>
      <c r="X211" s="345">
        <v>152</v>
      </c>
      <c r="Y211" s="345">
        <v>186</v>
      </c>
      <c r="Z211" s="345">
        <v>22</v>
      </c>
      <c r="AA211" s="345">
        <v>5</v>
      </c>
      <c r="AB211" s="345">
        <v>3</v>
      </c>
      <c r="AC211" s="345">
        <v>10</v>
      </c>
      <c r="AD211" s="349">
        <v>11385</v>
      </c>
      <c r="AE211" s="349">
        <v>80</v>
      </c>
      <c r="AF211" s="349">
        <v>83</v>
      </c>
      <c r="AG211" s="349">
        <v>163</v>
      </c>
    </row>
    <row r="212" spans="1:33" x14ac:dyDescent="0.2">
      <c r="A212" s="344" t="s">
        <v>478</v>
      </c>
      <c r="B212" s="350" t="s">
        <v>479</v>
      </c>
      <c r="C212" s="346">
        <v>1826</v>
      </c>
      <c r="D212" s="346">
        <v>0</v>
      </c>
      <c r="E212" s="346">
        <v>145</v>
      </c>
      <c r="F212" s="346">
        <v>181</v>
      </c>
      <c r="G212" s="346">
        <v>194</v>
      </c>
      <c r="H212" s="346">
        <v>2346</v>
      </c>
      <c r="I212" s="345">
        <v>2152</v>
      </c>
      <c r="J212" s="345">
        <v>0</v>
      </c>
      <c r="K212" s="347">
        <v>88.8</v>
      </c>
      <c r="L212" s="347">
        <v>85.92</v>
      </c>
      <c r="M212" s="347">
        <v>4.88</v>
      </c>
      <c r="N212" s="347">
        <v>93.01</v>
      </c>
      <c r="O212" s="348">
        <v>1394</v>
      </c>
      <c r="P212" s="345">
        <v>97.62</v>
      </c>
      <c r="Q212" s="345">
        <v>96.71</v>
      </c>
      <c r="R212" s="345">
        <v>56.61</v>
      </c>
      <c r="S212" s="345">
        <v>152.99</v>
      </c>
      <c r="T212" s="345">
        <v>229</v>
      </c>
      <c r="U212" s="345">
        <v>114.67</v>
      </c>
      <c r="V212" s="345">
        <v>198</v>
      </c>
      <c r="W212" s="345">
        <v>212.38</v>
      </c>
      <c r="X212" s="345">
        <v>43</v>
      </c>
      <c r="Y212" s="345">
        <v>157</v>
      </c>
      <c r="Z212" s="345">
        <v>0</v>
      </c>
      <c r="AA212" s="345">
        <v>4</v>
      </c>
      <c r="AB212" s="345">
        <v>29</v>
      </c>
      <c r="AC212" s="345">
        <v>3</v>
      </c>
      <c r="AD212" s="349">
        <v>1661</v>
      </c>
      <c r="AE212" s="349">
        <v>11</v>
      </c>
      <c r="AF212" s="349">
        <v>2</v>
      </c>
      <c r="AG212" s="349">
        <v>13</v>
      </c>
    </row>
    <row r="213" spans="1:33" x14ac:dyDescent="0.2">
      <c r="A213" s="344" t="s">
        <v>480</v>
      </c>
      <c r="B213" s="350" t="s">
        <v>481</v>
      </c>
      <c r="C213" s="346">
        <v>6129</v>
      </c>
      <c r="D213" s="346">
        <v>0</v>
      </c>
      <c r="E213" s="346">
        <v>386</v>
      </c>
      <c r="F213" s="346">
        <v>591</v>
      </c>
      <c r="G213" s="346">
        <v>811</v>
      </c>
      <c r="H213" s="346">
        <v>7917</v>
      </c>
      <c r="I213" s="345">
        <v>7106</v>
      </c>
      <c r="J213" s="345">
        <v>5</v>
      </c>
      <c r="K213" s="347">
        <v>117.66</v>
      </c>
      <c r="L213" s="347">
        <v>117.02</v>
      </c>
      <c r="M213" s="347">
        <v>5.0199999999999996</v>
      </c>
      <c r="N213" s="347">
        <v>122.38</v>
      </c>
      <c r="O213" s="348">
        <v>5191</v>
      </c>
      <c r="P213" s="345">
        <v>113.35</v>
      </c>
      <c r="Q213" s="345">
        <v>99.28</v>
      </c>
      <c r="R213" s="345">
        <v>29.51</v>
      </c>
      <c r="S213" s="345">
        <v>141.09</v>
      </c>
      <c r="T213" s="345">
        <v>650</v>
      </c>
      <c r="U213" s="345">
        <v>146.79</v>
      </c>
      <c r="V213" s="345">
        <v>893</v>
      </c>
      <c r="W213" s="345">
        <v>199.49</v>
      </c>
      <c r="X213" s="345">
        <v>63</v>
      </c>
      <c r="Y213" s="345">
        <v>0</v>
      </c>
      <c r="Z213" s="345">
        <v>18</v>
      </c>
      <c r="AA213" s="345">
        <v>3</v>
      </c>
      <c r="AB213" s="345">
        <v>32</v>
      </c>
      <c r="AC213" s="345">
        <v>3</v>
      </c>
      <c r="AD213" s="349">
        <v>6119</v>
      </c>
      <c r="AE213" s="349">
        <v>21</v>
      </c>
      <c r="AF213" s="349">
        <v>26</v>
      </c>
      <c r="AG213" s="349">
        <v>47</v>
      </c>
    </row>
    <row r="214" spans="1:33" x14ac:dyDescent="0.2">
      <c r="A214" s="344" t="s">
        <v>482</v>
      </c>
      <c r="B214" s="350" t="s">
        <v>483</v>
      </c>
      <c r="C214" s="346">
        <v>1269</v>
      </c>
      <c r="D214" s="346">
        <v>0</v>
      </c>
      <c r="E214" s="346">
        <v>88</v>
      </c>
      <c r="F214" s="346">
        <v>753</v>
      </c>
      <c r="G214" s="346">
        <v>310</v>
      </c>
      <c r="H214" s="346">
        <v>2420</v>
      </c>
      <c r="I214" s="345">
        <v>2110</v>
      </c>
      <c r="J214" s="345">
        <v>42</v>
      </c>
      <c r="K214" s="347">
        <v>84.57</v>
      </c>
      <c r="L214" s="347">
        <v>83.73</v>
      </c>
      <c r="M214" s="347">
        <v>3.09</v>
      </c>
      <c r="N214" s="347">
        <v>86.69</v>
      </c>
      <c r="O214" s="348">
        <v>956</v>
      </c>
      <c r="P214" s="345">
        <v>73.48</v>
      </c>
      <c r="Q214" s="345">
        <v>70.040000000000006</v>
      </c>
      <c r="R214" s="345">
        <v>19.34</v>
      </c>
      <c r="S214" s="345">
        <v>92.47</v>
      </c>
      <c r="T214" s="345">
        <v>781</v>
      </c>
      <c r="U214" s="345">
        <v>102.62</v>
      </c>
      <c r="V214" s="345">
        <v>307</v>
      </c>
      <c r="W214" s="345">
        <v>120.53</v>
      </c>
      <c r="X214" s="345">
        <v>12</v>
      </c>
      <c r="Y214" s="345">
        <v>0</v>
      </c>
      <c r="Z214" s="345">
        <v>1</v>
      </c>
      <c r="AA214" s="345">
        <v>0</v>
      </c>
      <c r="AB214" s="345">
        <v>22</v>
      </c>
      <c r="AC214" s="345">
        <v>6</v>
      </c>
      <c r="AD214" s="349">
        <v>1268</v>
      </c>
      <c r="AE214" s="349">
        <v>13</v>
      </c>
      <c r="AF214" s="349">
        <v>4</v>
      </c>
      <c r="AG214" s="349">
        <v>17</v>
      </c>
    </row>
    <row r="215" spans="1:33" x14ac:dyDescent="0.2">
      <c r="A215" s="344" t="s">
        <v>484</v>
      </c>
      <c r="B215" s="350" t="s">
        <v>485</v>
      </c>
      <c r="C215" s="346">
        <v>8786</v>
      </c>
      <c r="D215" s="346">
        <v>9</v>
      </c>
      <c r="E215" s="346">
        <v>284</v>
      </c>
      <c r="F215" s="346">
        <v>853</v>
      </c>
      <c r="G215" s="346">
        <v>484</v>
      </c>
      <c r="H215" s="346">
        <v>10416</v>
      </c>
      <c r="I215" s="345">
        <v>9932</v>
      </c>
      <c r="J215" s="345">
        <v>2</v>
      </c>
      <c r="K215" s="347">
        <v>120.13</v>
      </c>
      <c r="L215" s="347">
        <v>133.77000000000001</v>
      </c>
      <c r="M215" s="347">
        <v>10.3</v>
      </c>
      <c r="N215" s="347">
        <v>127.32</v>
      </c>
      <c r="O215" s="348">
        <v>7895</v>
      </c>
      <c r="P215" s="345">
        <v>119.63</v>
      </c>
      <c r="Q215" s="345">
        <v>118.71</v>
      </c>
      <c r="R215" s="345">
        <v>48.09</v>
      </c>
      <c r="S215" s="345">
        <v>164.34</v>
      </c>
      <c r="T215" s="345">
        <v>1053</v>
      </c>
      <c r="U215" s="345">
        <v>196.65</v>
      </c>
      <c r="V215" s="345">
        <v>798</v>
      </c>
      <c r="W215" s="345">
        <v>0</v>
      </c>
      <c r="X215" s="345">
        <v>0</v>
      </c>
      <c r="Y215" s="345">
        <v>0</v>
      </c>
      <c r="Z215" s="345">
        <v>10</v>
      </c>
      <c r="AA215" s="345">
        <v>1</v>
      </c>
      <c r="AB215" s="345">
        <v>23</v>
      </c>
      <c r="AC215" s="345">
        <v>9</v>
      </c>
      <c r="AD215" s="349">
        <v>8735</v>
      </c>
      <c r="AE215" s="349">
        <v>36</v>
      </c>
      <c r="AF215" s="349">
        <v>39</v>
      </c>
      <c r="AG215" s="349">
        <v>75</v>
      </c>
    </row>
    <row r="216" spans="1:33" x14ac:dyDescent="0.2">
      <c r="A216" s="344" t="s">
        <v>486</v>
      </c>
      <c r="B216" s="350" t="s">
        <v>487</v>
      </c>
      <c r="C216" s="346">
        <v>734</v>
      </c>
      <c r="D216" s="346">
        <v>0</v>
      </c>
      <c r="E216" s="346">
        <v>119</v>
      </c>
      <c r="F216" s="346">
        <v>96</v>
      </c>
      <c r="G216" s="346">
        <v>57</v>
      </c>
      <c r="H216" s="346">
        <v>1006</v>
      </c>
      <c r="I216" s="345">
        <v>949</v>
      </c>
      <c r="J216" s="345">
        <v>1</v>
      </c>
      <c r="K216" s="347">
        <v>90.84</v>
      </c>
      <c r="L216" s="347">
        <v>88.99</v>
      </c>
      <c r="M216" s="347">
        <v>3.65</v>
      </c>
      <c r="N216" s="347">
        <v>93.57</v>
      </c>
      <c r="O216" s="348">
        <v>534</v>
      </c>
      <c r="P216" s="345">
        <v>112.05</v>
      </c>
      <c r="Q216" s="345">
        <v>108.36</v>
      </c>
      <c r="R216" s="345">
        <v>94.27</v>
      </c>
      <c r="S216" s="345">
        <v>206.32</v>
      </c>
      <c r="T216" s="345">
        <v>144</v>
      </c>
      <c r="U216" s="345">
        <v>107.18</v>
      </c>
      <c r="V216" s="345">
        <v>167</v>
      </c>
      <c r="W216" s="345">
        <v>169.36</v>
      </c>
      <c r="X216" s="345">
        <v>62</v>
      </c>
      <c r="Y216" s="345">
        <v>0</v>
      </c>
      <c r="Z216" s="345">
        <v>0</v>
      </c>
      <c r="AA216" s="345">
        <v>0</v>
      </c>
      <c r="AB216" s="345">
        <v>0</v>
      </c>
      <c r="AC216" s="345">
        <v>0</v>
      </c>
      <c r="AD216" s="349">
        <v>734</v>
      </c>
      <c r="AE216" s="349">
        <v>1</v>
      </c>
      <c r="AF216" s="349">
        <v>5</v>
      </c>
      <c r="AG216" s="349">
        <v>6</v>
      </c>
    </row>
    <row r="217" spans="1:33" x14ac:dyDescent="0.2">
      <c r="A217" s="344" t="s">
        <v>488</v>
      </c>
      <c r="B217" s="350" t="s">
        <v>489</v>
      </c>
      <c r="C217" s="346">
        <v>18289</v>
      </c>
      <c r="D217" s="346">
        <v>0</v>
      </c>
      <c r="E217" s="346">
        <v>588</v>
      </c>
      <c r="F217" s="346">
        <v>2045</v>
      </c>
      <c r="G217" s="346">
        <v>184</v>
      </c>
      <c r="H217" s="346">
        <v>21106</v>
      </c>
      <c r="I217" s="345">
        <v>20922</v>
      </c>
      <c r="J217" s="345">
        <v>47</v>
      </c>
      <c r="K217" s="347">
        <v>74.86</v>
      </c>
      <c r="L217" s="347">
        <v>74.67</v>
      </c>
      <c r="M217" s="347">
        <v>4.24</v>
      </c>
      <c r="N217" s="347">
        <v>78.62</v>
      </c>
      <c r="O217" s="348">
        <v>16290</v>
      </c>
      <c r="P217" s="345">
        <v>75.97</v>
      </c>
      <c r="Q217" s="345">
        <v>70.12</v>
      </c>
      <c r="R217" s="345">
        <v>38.15</v>
      </c>
      <c r="S217" s="345">
        <v>113.27</v>
      </c>
      <c r="T217" s="345">
        <v>2479</v>
      </c>
      <c r="U217" s="345">
        <v>91.31</v>
      </c>
      <c r="V217" s="345">
        <v>1801</v>
      </c>
      <c r="W217" s="345">
        <v>0</v>
      </c>
      <c r="X217" s="345">
        <v>0</v>
      </c>
      <c r="Y217" s="345">
        <v>0</v>
      </c>
      <c r="Z217" s="345">
        <v>152</v>
      </c>
      <c r="AA217" s="345">
        <v>5</v>
      </c>
      <c r="AB217" s="345">
        <v>7</v>
      </c>
      <c r="AC217" s="345">
        <v>2</v>
      </c>
      <c r="AD217" s="349">
        <v>18127</v>
      </c>
      <c r="AE217" s="349">
        <v>141</v>
      </c>
      <c r="AF217" s="349">
        <v>122</v>
      </c>
      <c r="AG217" s="349">
        <v>263</v>
      </c>
    </row>
    <row r="218" spans="1:33" x14ac:dyDescent="0.2">
      <c r="A218" s="344" t="s">
        <v>490</v>
      </c>
      <c r="B218" s="350" t="s">
        <v>491</v>
      </c>
      <c r="C218" s="346">
        <v>2173</v>
      </c>
      <c r="D218" s="346">
        <v>0</v>
      </c>
      <c r="E218" s="346">
        <v>59</v>
      </c>
      <c r="F218" s="346">
        <v>696</v>
      </c>
      <c r="G218" s="346">
        <v>124</v>
      </c>
      <c r="H218" s="346">
        <v>3052</v>
      </c>
      <c r="I218" s="345">
        <v>2928</v>
      </c>
      <c r="J218" s="345">
        <v>28</v>
      </c>
      <c r="K218" s="347">
        <v>99.17</v>
      </c>
      <c r="L218" s="347">
        <v>99.41</v>
      </c>
      <c r="M218" s="347">
        <v>6.65</v>
      </c>
      <c r="N218" s="347">
        <v>103.74</v>
      </c>
      <c r="O218" s="348">
        <v>1763</v>
      </c>
      <c r="P218" s="345">
        <v>86.86</v>
      </c>
      <c r="Q218" s="345">
        <v>86.68</v>
      </c>
      <c r="R218" s="345">
        <v>38.869999999999997</v>
      </c>
      <c r="S218" s="345">
        <v>125.16</v>
      </c>
      <c r="T218" s="345">
        <v>751</v>
      </c>
      <c r="U218" s="345">
        <v>140.56</v>
      </c>
      <c r="V218" s="345">
        <v>411</v>
      </c>
      <c r="W218" s="345">
        <v>0</v>
      </c>
      <c r="X218" s="345">
        <v>0</v>
      </c>
      <c r="Y218" s="345">
        <v>0</v>
      </c>
      <c r="Z218" s="345">
        <v>1</v>
      </c>
      <c r="AA218" s="345">
        <v>0</v>
      </c>
      <c r="AB218" s="345">
        <v>17</v>
      </c>
      <c r="AC218" s="345">
        <v>2</v>
      </c>
      <c r="AD218" s="349">
        <v>2173</v>
      </c>
      <c r="AE218" s="349">
        <v>4</v>
      </c>
      <c r="AF218" s="349">
        <v>8</v>
      </c>
      <c r="AG218" s="349">
        <v>12</v>
      </c>
    </row>
    <row r="219" spans="1:33" x14ac:dyDescent="0.2">
      <c r="A219" s="344" t="s">
        <v>492</v>
      </c>
      <c r="B219" s="350" t="s">
        <v>493</v>
      </c>
      <c r="C219" s="346">
        <v>4224</v>
      </c>
      <c r="D219" s="346">
        <v>0</v>
      </c>
      <c r="E219" s="346">
        <v>96</v>
      </c>
      <c r="F219" s="346">
        <v>350</v>
      </c>
      <c r="G219" s="346">
        <v>48</v>
      </c>
      <c r="H219" s="346">
        <v>4718</v>
      </c>
      <c r="I219" s="345">
        <v>4670</v>
      </c>
      <c r="J219" s="345">
        <v>2</v>
      </c>
      <c r="K219" s="347">
        <v>73.38</v>
      </c>
      <c r="L219" s="347">
        <v>71.03</v>
      </c>
      <c r="M219" s="347">
        <v>4.3099999999999996</v>
      </c>
      <c r="N219" s="347">
        <v>73.87</v>
      </c>
      <c r="O219" s="348">
        <v>3724</v>
      </c>
      <c r="P219" s="345">
        <v>89.13</v>
      </c>
      <c r="Q219" s="345">
        <v>80.3</v>
      </c>
      <c r="R219" s="345">
        <v>47.43</v>
      </c>
      <c r="S219" s="345">
        <v>134.1</v>
      </c>
      <c r="T219" s="345">
        <v>405</v>
      </c>
      <c r="U219" s="345">
        <v>90.43</v>
      </c>
      <c r="V219" s="345">
        <v>489</v>
      </c>
      <c r="W219" s="345">
        <v>0</v>
      </c>
      <c r="X219" s="345">
        <v>0</v>
      </c>
      <c r="Y219" s="345">
        <v>0</v>
      </c>
      <c r="Z219" s="345">
        <v>16</v>
      </c>
      <c r="AA219" s="345">
        <v>1</v>
      </c>
      <c r="AB219" s="345">
        <v>0</v>
      </c>
      <c r="AC219" s="345">
        <v>0</v>
      </c>
      <c r="AD219" s="349">
        <v>4218</v>
      </c>
      <c r="AE219" s="349">
        <v>23</v>
      </c>
      <c r="AF219" s="349">
        <v>7</v>
      </c>
      <c r="AG219" s="349">
        <v>30</v>
      </c>
    </row>
    <row r="220" spans="1:33" x14ac:dyDescent="0.2">
      <c r="A220" s="344" t="s">
        <v>494</v>
      </c>
      <c r="B220" s="350" t="s">
        <v>495</v>
      </c>
      <c r="C220" s="346">
        <v>3701</v>
      </c>
      <c r="D220" s="346">
        <v>0</v>
      </c>
      <c r="E220" s="346">
        <v>62</v>
      </c>
      <c r="F220" s="346">
        <v>638</v>
      </c>
      <c r="G220" s="346">
        <v>240</v>
      </c>
      <c r="H220" s="346">
        <v>4641</v>
      </c>
      <c r="I220" s="345">
        <v>4401</v>
      </c>
      <c r="J220" s="345">
        <v>4</v>
      </c>
      <c r="K220" s="347">
        <v>95.44</v>
      </c>
      <c r="L220" s="347">
        <v>95.48</v>
      </c>
      <c r="M220" s="347">
        <v>3.71</v>
      </c>
      <c r="N220" s="347">
        <v>98.5</v>
      </c>
      <c r="O220" s="348">
        <v>3219</v>
      </c>
      <c r="P220" s="345">
        <v>88.47</v>
      </c>
      <c r="Q220" s="345">
        <v>86.83</v>
      </c>
      <c r="R220" s="345">
        <v>34.58</v>
      </c>
      <c r="S220" s="345">
        <v>123.05</v>
      </c>
      <c r="T220" s="345">
        <v>560</v>
      </c>
      <c r="U220" s="345">
        <v>117.47</v>
      </c>
      <c r="V220" s="345">
        <v>477</v>
      </c>
      <c r="W220" s="345">
        <v>108.68</v>
      </c>
      <c r="X220" s="345">
        <v>9</v>
      </c>
      <c r="Y220" s="345">
        <v>13</v>
      </c>
      <c r="Z220" s="345">
        <v>3</v>
      </c>
      <c r="AA220" s="345">
        <v>0</v>
      </c>
      <c r="AB220" s="345">
        <v>30</v>
      </c>
      <c r="AC220" s="345">
        <v>3</v>
      </c>
      <c r="AD220" s="349">
        <v>3701</v>
      </c>
      <c r="AE220" s="349">
        <v>14</v>
      </c>
      <c r="AF220" s="349">
        <v>26</v>
      </c>
      <c r="AG220" s="349">
        <v>40</v>
      </c>
    </row>
    <row r="221" spans="1:33" x14ac:dyDescent="0.2">
      <c r="A221" s="344" t="s">
        <v>496</v>
      </c>
      <c r="B221" s="350" t="s">
        <v>497</v>
      </c>
      <c r="C221" s="346">
        <v>3422</v>
      </c>
      <c r="D221" s="346">
        <v>0</v>
      </c>
      <c r="E221" s="346">
        <v>405</v>
      </c>
      <c r="F221" s="346">
        <v>860</v>
      </c>
      <c r="G221" s="346">
        <v>279</v>
      </c>
      <c r="H221" s="346">
        <v>4966</v>
      </c>
      <c r="I221" s="345">
        <v>4687</v>
      </c>
      <c r="J221" s="345">
        <v>0</v>
      </c>
      <c r="K221" s="347">
        <v>81</v>
      </c>
      <c r="L221" s="347">
        <v>79.48</v>
      </c>
      <c r="M221" s="347">
        <v>8.09</v>
      </c>
      <c r="N221" s="347">
        <v>85.02</v>
      </c>
      <c r="O221" s="348">
        <v>2839</v>
      </c>
      <c r="P221" s="345">
        <v>87.87</v>
      </c>
      <c r="Q221" s="345">
        <v>75.87</v>
      </c>
      <c r="R221" s="345">
        <v>39.18</v>
      </c>
      <c r="S221" s="345">
        <v>125.26</v>
      </c>
      <c r="T221" s="345">
        <v>1245</v>
      </c>
      <c r="U221" s="345">
        <v>97.01</v>
      </c>
      <c r="V221" s="345">
        <v>472</v>
      </c>
      <c r="W221" s="345">
        <v>90.62</v>
      </c>
      <c r="X221" s="345">
        <v>10</v>
      </c>
      <c r="Y221" s="345">
        <v>0</v>
      </c>
      <c r="Z221" s="345">
        <v>1</v>
      </c>
      <c r="AA221" s="345">
        <v>58</v>
      </c>
      <c r="AB221" s="345">
        <v>1</v>
      </c>
      <c r="AC221" s="345">
        <v>5</v>
      </c>
      <c r="AD221" s="349">
        <v>3383</v>
      </c>
      <c r="AE221" s="349">
        <v>47</v>
      </c>
      <c r="AF221" s="349">
        <v>30</v>
      </c>
      <c r="AG221" s="349">
        <v>77</v>
      </c>
    </row>
    <row r="222" spans="1:33" x14ac:dyDescent="0.2">
      <c r="A222" s="344" t="s">
        <v>498</v>
      </c>
      <c r="B222" s="350" t="s">
        <v>499</v>
      </c>
      <c r="C222" s="346">
        <v>2342</v>
      </c>
      <c r="D222" s="346">
        <v>0</v>
      </c>
      <c r="E222" s="346">
        <v>53</v>
      </c>
      <c r="F222" s="346">
        <v>239</v>
      </c>
      <c r="G222" s="346">
        <v>538</v>
      </c>
      <c r="H222" s="346">
        <v>3172</v>
      </c>
      <c r="I222" s="345">
        <v>2634</v>
      </c>
      <c r="J222" s="345">
        <v>14</v>
      </c>
      <c r="K222" s="347">
        <v>98.34</v>
      </c>
      <c r="L222" s="347">
        <v>98.67</v>
      </c>
      <c r="M222" s="347">
        <v>6.08</v>
      </c>
      <c r="N222" s="347">
        <v>102.76</v>
      </c>
      <c r="O222" s="348">
        <v>2118</v>
      </c>
      <c r="P222" s="345">
        <v>84.72</v>
      </c>
      <c r="Q222" s="345">
        <v>88.1</v>
      </c>
      <c r="R222" s="345">
        <v>43.14</v>
      </c>
      <c r="S222" s="345">
        <v>127.86</v>
      </c>
      <c r="T222" s="345">
        <v>175</v>
      </c>
      <c r="U222" s="345">
        <v>113.62</v>
      </c>
      <c r="V222" s="345">
        <v>182</v>
      </c>
      <c r="W222" s="345">
        <v>188.47</v>
      </c>
      <c r="X222" s="345">
        <v>72</v>
      </c>
      <c r="Y222" s="345">
        <v>0</v>
      </c>
      <c r="Z222" s="345">
        <v>1</v>
      </c>
      <c r="AA222" s="345">
        <v>2</v>
      </c>
      <c r="AB222" s="345">
        <v>42</v>
      </c>
      <c r="AC222" s="345">
        <v>13</v>
      </c>
      <c r="AD222" s="349">
        <v>2292</v>
      </c>
      <c r="AE222" s="349">
        <v>23</v>
      </c>
      <c r="AF222" s="349">
        <v>31</v>
      </c>
      <c r="AG222" s="349">
        <v>54</v>
      </c>
    </row>
    <row r="223" spans="1:33" x14ac:dyDescent="0.2">
      <c r="A223" s="344" t="s">
        <v>500</v>
      </c>
      <c r="B223" s="350" t="s">
        <v>501</v>
      </c>
      <c r="C223" s="346">
        <v>1377</v>
      </c>
      <c r="D223" s="346">
        <v>369</v>
      </c>
      <c r="E223" s="346">
        <v>93</v>
      </c>
      <c r="F223" s="346">
        <v>239</v>
      </c>
      <c r="G223" s="346">
        <v>423</v>
      </c>
      <c r="H223" s="346">
        <v>2501</v>
      </c>
      <c r="I223" s="345">
        <v>2078</v>
      </c>
      <c r="J223" s="345">
        <v>7</v>
      </c>
      <c r="K223" s="347">
        <v>119.72</v>
      </c>
      <c r="L223" s="347">
        <v>115.44</v>
      </c>
      <c r="M223" s="347">
        <v>9.2799999999999994</v>
      </c>
      <c r="N223" s="347">
        <v>127.65</v>
      </c>
      <c r="O223" s="348">
        <v>928</v>
      </c>
      <c r="P223" s="345">
        <v>118.19</v>
      </c>
      <c r="Q223" s="345">
        <v>104.94</v>
      </c>
      <c r="R223" s="345">
        <v>24.74</v>
      </c>
      <c r="S223" s="345">
        <v>142.84</v>
      </c>
      <c r="T223" s="345">
        <v>271</v>
      </c>
      <c r="U223" s="345">
        <v>198.34</v>
      </c>
      <c r="V223" s="345">
        <v>243</v>
      </c>
      <c r="W223" s="345">
        <v>128</v>
      </c>
      <c r="X223" s="345">
        <v>33</v>
      </c>
      <c r="Y223" s="345">
        <v>0</v>
      </c>
      <c r="Z223" s="345">
        <v>0</v>
      </c>
      <c r="AA223" s="345">
        <v>171</v>
      </c>
      <c r="AB223" s="345">
        <v>31</v>
      </c>
      <c r="AC223" s="345">
        <v>6</v>
      </c>
      <c r="AD223" s="349">
        <v>1320</v>
      </c>
      <c r="AE223" s="349">
        <v>23</v>
      </c>
      <c r="AF223" s="349">
        <v>1</v>
      </c>
      <c r="AG223" s="349">
        <v>24</v>
      </c>
    </row>
    <row r="224" spans="1:33" x14ac:dyDescent="0.2">
      <c r="A224" s="344" t="s">
        <v>502</v>
      </c>
      <c r="B224" s="350" t="s">
        <v>503</v>
      </c>
      <c r="C224" s="346">
        <v>2863</v>
      </c>
      <c r="D224" s="346">
        <v>0</v>
      </c>
      <c r="E224" s="346">
        <v>98</v>
      </c>
      <c r="F224" s="346">
        <v>1383</v>
      </c>
      <c r="G224" s="346">
        <v>375</v>
      </c>
      <c r="H224" s="346">
        <v>4719</v>
      </c>
      <c r="I224" s="345">
        <v>4344</v>
      </c>
      <c r="J224" s="345">
        <v>17</v>
      </c>
      <c r="K224" s="347">
        <v>95.12</v>
      </c>
      <c r="L224" s="347">
        <v>94.97</v>
      </c>
      <c r="M224" s="347">
        <v>4.32</v>
      </c>
      <c r="N224" s="347">
        <v>96.77</v>
      </c>
      <c r="O224" s="348">
        <v>2601</v>
      </c>
      <c r="P224" s="345">
        <v>94.26</v>
      </c>
      <c r="Q224" s="345">
        <v>90.93</v>
      </c>
      <c r="R224" s="345">
        <v>19.47</v>
      </c>
      <c r="S224" s="345">
        <v>113.55</v>
      </c>
      <c r="T224" s="345">
        <v>1476</v>
      </c>
      <c r="U224" s="345">
        <v>107.61</v>
      </c>
      <c r="V224" s="345">
        <v>223</v>
      </c>
      <c r="W224" s="345">
        <v>153.84</v>
      </c>
      <c r="X224" s="345">
        <v>5</v>
      </c>
      <c r="Y224" s="345">
        <v>0</v>
      </c>
      <c r="Z224" s="345">
        <v>1</v>
      </c>
      <c r="AA224" s="345">
        <v>1</v>
      </c>
      <c r="AB224" s="345">
        <v>14</v>
      </c>
      <c r="AC224" s="345">
        <v>11</v>
      </c>
      <c r="AD224" s="349">
        <v>2800</v>
      </c>
      <c r="AE224" s="349">
        <v>2</v>
      </c>
      <c r="AF224" s="349">
        <v>3</v>
      </c>
      <c r="AG224" s="349">
        <v>5</v>
      </c>
    </row>
    <row r="225" spans="1:33" x14ac:dyDescent="0.2">
      <c r="A225" s="344" t="s">
        <v>504</v>
      </c>
      <c r="B225" s="350" t="s">
        <v>505</v>
      </c>
      <c r="C225" s="346">
        <v>5607</v>
      </c>
      <c r="D225" s="346">
        <v>12</v>
      </c>
      <c r="E225" s="346">
        <v>219</v>
      </c>
      <c r="F225" s="346">
        <v>646</v>
      </c>
      <c r="G225" s="346">
        <v>603</v>
      </c>
      <c r="H225" s="346">
        <v>7087</v>
      </c>
      <c r="I225" s="345">
        <v>6484</v>
      </c>
      <c r="J225" s="345">
        <v>0</v>
      </c>
      <c r="K225" s="347">
        <v>110.35</v>
      </c>
      <c r="L225" s="347">
        <v>106.53</v>
      </c>
      <c r="M225" s="347">
        <v>8.51</v>
      </c>
      <c r="N225" s="347">
        <v>115.16</v>
      </c>
      <c r="O225" s="348">
        <v>4513</v>
      </c>
      <c r="P225" s="345">
        <v>96.14</v>
      </c>
      <c r="Q225" s="345">
        <v>90.47</v>
      </c>
      <c r="R225" s="345">
        <v>40.590000000000003</v>
      </c>
      <c r="S225" s="345">
        <v>136.43</v>
      </c>
      <c r="T225" s="345">
        <v>821</v>
      </c>
      <c r="U225" s="345">
        <v>152.4</v>
      </c>
      <c r="V225" s="345">
        <v>947</v>
      </c>
      <c r="W225" s="345">
        <v>147.59</v>
      </c>
      <c r="X225" s="345">
        <v>35</v>
      </c>
      <c r="Y225" s="345">
        <v>52</v>
      </c>
      <c r="Z225" s="345">
        <v>2</v>
      </c>
      <c r="AA225" s="345">
        <v>7</v>
      </c>
      <c r="AB225" s="345">
        <v>29</v>
      </c>
      <c r="AC225" s="345">
        <v>11</v>
      </c>
      <c r="AD225" s="349">
        <v>5457</v>
      </c>
      <c r="AE225" s="349">
        <v>22</v>
      </c>
      <c r="AF225" s="349">
        <v>105</v>
      </c>
      <c r="AG225" s="349">
        <v>127</v>
      </c>
    </row>
    <row r="226" spans="1:33" x14ac:dyDescent="0.2">
      <c r="A226" s="344" t="s">
        <v>506</v>
      </c>
      <c r="B226" s="350" t="s">
        <v>507</v>
      </c>
      <c r="C226" s="346">
        <v>1504</v>
      </c>
      <c r="D226" s="346">
        <v>0</v>
      </c>
      <c r="E226" s="346">
        <v>32</v>
      </c>
      <c r="F226" s="346">
        <v>287</v>
      </c>
      <c r="G226" s="346">
        <v>188</v>
      </c>
      <c r="H226" s="346">
        <v>2011</v>
      </c>
      <c r="I226" s="345">
        <v>1823</v>
      </c>
      <c r="J226" s="345">
        <v>4</v>
      </c>
      <c r="K226" s="347">
        <v>89.04</v>
      </c>
      <c r="L226" s="347">
        <v>88.47</v>
      </c>
      <c r="M226" s="347">
        <v>5.8</v>
      </c>
      <c r="N226" s="347">
        <v>91.3</v>
      </c>
      <c r="O226" s="348">
        <v>1267</v>
      </c>
      <c r="P226" s="345">
        <v>85.59</v>
      </c>
      <c r="Q226" s="345">
        <v>81.11</v>
      </c>
      <c r="R226" s="345">
        <v>30.59</v>
      </c>
      <c r="S226" s="345">
        <v>109.13</v>
      </c>
      <c r="T226" s="345">
        <v>217</v>
      </c>
      <c r="U226" s="345">
        <v>111.12</v>
      </c>
      <c r="V226" s="345">
        <v>205</v>
      </c>
      <c r="W226" s="345">
        <v>0</v>
      </c>
      <c r="X226" s="345">
        <v>0</v>
      </c>
      <c r="Y226" s="345">
        <v>29</v>
      </c>
      <c r="Z226" s="345">
        <v>7</v>
      </c>
      <c r="AA226" s="345">
        <v>0</v>
      </c>
      <c r="AB226" s="345">
        <v>25</v>
      </c>
      <c r="AC226" s="345">
        <v>6</v>
      </c>
      <c r="AD226" s="349">
        <v>1490</v>
      </c>
      <c r="AE226" s="349">
        <v>8</v>
      </c>
      <c r="AF226" s="349">
        <v>2</v>
      </c>
      <c r="AG226" s="349">
        <v>10</v>
      </c>
    </row>
    <row r="227" spans="1:33" x14ac:dyDescent="0.2">
      <c r="A227" s="344" t="s">
        <v>508</v>
      </c>
      <c r="B227" s="350" t="s">
        <v>509</v>
      </c>
      <c r="C227" s="346">
        <v>3020</v>
      </c>
      <c r="D227" s="346">
        <v>3</v>
      </c>
      <c r="E227" s="346">
        <v>44</v>
      </c>
      <c r="F227" s="346">
        <v>114</v>
      </c>
      <c r="G227" s="346">
        <v>45</v>
      </c>
      <c r="H227" s="346">
        <v>3226</v>
      </c>
      <c r="I227" s="345">
        <v>3181</v>
      </c>
      <c r="J227" s="345">
        <v>8</v>
      </c>
      <c r="K227" s="347">
        <v>89.43</v>
      </c>
      <c r="L227" s="347">
        <v>85.65</v>
      </c>
      <c r="M227" s="347">
        <v>4.03</v>
      </c>
      <c r="N227" s="347">
        <v>90.74</v>
      </c>
      <c r="O227" s="348">
        <v>1979</v>
      </c>
      <c r="P227" s="345">
        <v>75.38</v>
      </c>
      <c r="Q227" s="345">
        <v>71.94</v>
      </c>
      <c r="R227" s="345">
        <v>50.86</v>
      </c>
      <c r="S227" s="345">
        <v>124.8</v>
      </c>
      <c r="T227" s="345">
        <v>142</v>
      </c>
      <c r="U227" s="345">
        <v>96.71</v>
      </c>
      <c r="V227" s="345">
        <v>936</v>
      </c>
      <c r="W227" s="345">
        <v>0</v>
      </c>
      <c r="X227" s="345">
        <v>0</v>
      </c>
      <c r="Y227" s="345">
        <v>0</v>
      </c>
      <c r="Z227" s="345">
        <v>3</v>
      </c>
      <c r="AA227" s="345">
        <v>37</v>
      </c>
      <c r="AB227" s="345">
        <v>7</v>
      </c>
      <c r="AC227" s="345">
        <v>2</v>
      </c>
      <c r="AD227" s="349">
        <v>2995</v>
      </c>
      <c r="AE227" s="349">
        <v>18</v>
      </c>
      <c r="AF227" s="349">
        <v>5</v>
      </c>
      <c r="AG227" s="349">
        <v>23</v>
      </c>
    </row>
    <row r="228" spans="1:33" x14ac:dyDescent="0.2">
      <c r="A228" s="344" t="s">
        <v>510</v>
      </c>
      <c r="B228" s="350" t="s">
        <v>511</v>
      </c>
      <c r="C228" s="346">
        <v>26950</v>
      </c>
      <c r="D228" s="346">
        <v>0</v>
      </c>
      <c r="E228" s="346">
        <v>1567</v>
      </c>
      <c r="F228" s="346">
        <v>1293</v>
      </c>
      <c r="G228" s="346">
        <v>340</v>
      </c>
      <c r="H228" s="346">
        <v>30150</v>
      </c>
      <c r="I228" s="345">
        <v>29810</v>
      </c>
      <c r="J228" s="345">
        <v>403</v>
      </c>
      <c r="K228" s="347">
        <v>77.260000000000005</v>
      </c>
      <c r="L228" s="347">
        <v>77.38</v>
      </c>
      <c r="M228" s="347">
        <v>7.8</v>
      </c>
      <c r="N228" s="347">
        <v>80.84</v>
      </c>
      <c r="O228" s="348">
        <v>24649</v>
      </c>
      <c r="P228" s="345">
        <v>79.510000000000005</v>
      </c>
      <c r="Q228" s="345">
        <v>72.87</v>
      </c>
      <c r="R228" s="345">
        <v>34.18</v>
      </c>
      <c r="S228" s="345">
        <v>112.35</v>
      </c>
      <c r="T228" s="345">
        <v>2565</v>
      </c>
      <c r="U228" s="345">
        <v>108.62</v>
      </c>
      <c r="V228" s="345">
        <v>2100</v>
      </c>
      <c r="W228" s="345">
        <v>158.43</v>
      </c>
      <c r="X228" s="345">
        <v>65</v>
      </c>
      <c r="Y228" s="345">
        <v>0</v>
      </c>
      <c r="Z228" s="345">
        <v>171</v>
      </c>
      <c r="AA228" s="345">
        <v>3</v>
      </c>
      <c r="AB228" s="345">
        <v>48</v>
      </c>
      <c r="AC228" s="345">
        <v>19</v>
      </c>
      <c r="AD228" s="349">
        <v>26848</v>
      </c>
      <c r="AE228" s="349">
        <v>84</v>
      </c>
      <c r="AF228" s="349">
        <v>289</v>
      </c>
      <c r="AG228" s="349">
        <v>373</v>
      </c>
    </row>
    <row r="229" spans="1:33" x14ac:dyDescent="0.2">
      <c r="A229" s="344" t="s">
        <v>512</v>
      </c>
      <c r="B229" s="350" t="s">
        <v>513</v>
      </c>
      <c r="C229" s="346">
        <v>5723</v>
      </c>
      <c r="D229" s="346">
        <v>41</v>
      </c>
      <c r="E229" s="346">
        <v>438</v>
      </c>
      <c r="F229" s="346">
        <v>1077</v>
      </c>
      <c r="G229" s="346">
        <v>586</v>
      </c>
      <c r="H229" s="346">
        <v>7865</v>
      </c>
      <c r="I229" s="345">
        <v>7279</v>
      </c>
      <c r="J229" s="345">
        <v>0</v>
      </c>
      <c r="K229" s="347">
        <v>89.1</v>
      </c>
      <c r="L229" s="347">
        <v>86.82</v>
      </c>
      <c r="M229" s="347">
        <v>7.1</v>
      </c>
      <c r="N229" s="347">
        <v>94.63</v>
      </c>
      <c r="O229" s="348">
        <v>4519</v>
      </c>
      <c r="P229" s="345">
        <v>92.72</v>
      </c>
      <c r="Q229" s="345">
        <v>81.680000000000007</v>
      </c>
      <c r="R229" s="345">
        <v>46.98</v>
      </c>
      <c r="S229" s="345">
        <v>137.34</v>
      </c>
      <c r="T229" s="345">
        <v>1137</v>
      </c>
      <c r="U229" s="345">
        <v>109.66</v>
      </c>
      <c r="V229" s="345">
        <v>698</v>
      </c>
      <c r="W229" s="345">
        <v>186.46</v>
      </c>
      <c r="X229" s="345">
        <v>288</v>
      </c>
      <c r="Y229" s="345">
        <v>81</v>
      </c>
      <c r="Z229" s="345">
        <v>4</v>
      </c>
      <c r="AA229" s="345">
        <v>19</v>
      </c>
      <c r="AB229" s="345">
        <v>5</v>
      </c>
      <c r="AC229" s="345">
        <v>9</v>
      </c>
      <c r="AD229" s="349">
        <v>5490</v>
      </c>
      <c r="AE229" s="349">
        <v>22</v>
      </c>
      <c r="AF229" s="349">
        <v>25</v>
      </c>
      <c r="AG229" s="349">
        <v>47</v>
      </c>
    </row>
    <row r="230" spans="1:33" x14ac:dyDescent="0.2">
      <c r="A230" s="344" t="s">
        <v>514</v>
      </c>
      <c r="B230" s="350" t="s">
        <v>515</v>
      </c>
      <c r="C230" s="346">
        <v>6106</v>
      </c>
      <c r="D230" s="346">
        <v>0</v>
      </c>
      <c r="E230" s="346">
        <v>130</v>
      </c>
      <c r="F230" s="346">
        <v>612</v>
      </c>
      <c r="G230" s="346">
        <v>290</v>
      </c>
      <c r="H230" s="346">
        <v>7138</v>
      </c>
      <c r="I230" s="345">
        <v>6848</v>
      </c>
      <c r="J230" s="345">
        <v>10</v>
      </c>
      <c r="K230" s="347">
        <v>83.45</v>
      </c>
      <c r="L230" s="347">
        <v>82.91</v>
      </c>
      <c r="M230" s="347">
        <v>3.94</v>
      </c>
      <c r="N230" s="347">
        <v>84.34</v>
      </c>
      <c r="O230" s="348">
        <v>5440</v>
      </c>
      <c r="P230" s="345">
        <v>85.71</v>
      </c>
      <c r="Q230" s="345">
        <v>82.57</v>
      </c>
      <c r="R230" s="345">
        <v>32.9</v>
      </c>
      <c r="S230" s="345">
        <v>117.76</v>
      </c>
      <c r="T230" s="345">
        <v>583</v>
      </c>
      <c r="U230" s="345">
        <v>102.68</v>
      </c>
      <c r="V230" s="345">
        <v>635</v>
      </c>
      <c r="W230" s="345">
        <v>199.49</v>
      </c>
      <c r="X230" s="345">
        <v>64</v>
      </c>
      <c r="Y230" s="345">
        <v>0</v>
      </c>
      <c r="Z230" s="345">
        <v>15</v>
      </c>
      <c r="AA230" s="345">
        <v>0</v>
      </c>
      <c r="AB230" s="345">
        <v>7</v>
      </c>
      <c r="AC230" s="345">
        <v>1</v>
      </c>
      <c r="AD230" s="349">
        <v>6063</v>
      </c>
      <c r="AE230" s="349">
        <v>13</v>
      </c>
      <c r="AF230" s="349">
        <v>27</v>
      </c>
      <c r="AG230" s="349">
        <v>40</v>
      </c>
    </row>
    <row r="231" spans="1:33" x14ac:dyDescent="0.2">
      <c r="A231" s="344" t="s">
        <v>516</v>
      </c>
      <c r="B231" s="350" t="s">
        <v>517</v>
      </c>
      <c r="C231" s="346">
        <v>2864</v>
      </c>
      <c r="D231" s="346">
        <v>0</v>
      </c>
      <c r="E231" s="346">
        <v>286</v>
      </c>
      <c r="F231" s="346">
        <v>98</v>
      </c>
      <c r="G231" s="346">
        <v>274</v>
      </c>
      <c r="H231" s="346">
        <v>3522</v>
      </c>
      <c r="I231" s="345">
        <v>3248</v>
      </c>
      <c r="J231" s="345">
        <v>0</v>
      </c>
      <c r="K231" s="347">
        <v>91.29</v>
      </c>
      <c r="L231" s="347">
        <v>89.19</v>
      </c>
      <c r="M231" s="347">
        <v>4.54</v>
      </c>
      <c r="N231" s="347">
        <v>95.17</v>
      </c>
      <c r="O231" s="348">
        <v>1531</v>
      </c>
      <c r="P231" s="345">
        <v>81.069999999999993</v>
      </c>
      <c r="Q231" s="345">
        <v>75.569999999999993</v>
      </c>
      <c r="R231" s="345">
        <v>44.99</v>
      </c>
      <c r="S231" s="345">
        <v>122.95</v>
      </c>
      <c r="T231" s="345">
        <v>217</v>
      </c>
      <c r="U231" s="345">
        <v>113.32</v>
      </c>
      <c r="V231" s="345">
        <v>578</v>
      </c>
      <c r="W231" s="345">
        <v>0</v>
      </c>
      <c r="X231" s="345">
        <v>0</v>
      </c>
      <c r="Y231" s="345">
        <v>0</v>
      </c>
      <c r="Z231" s="345">
        <v>1</v>
      </c>
      <c r="AA231" s="345">
        <v>0</v>
      </c>
      <c r="AB231" s="345">
        <v>19</v>
      </c>
      <c r="AC231" s="345">
        <v>4</v>
      </c>
      <c r="AD231" s="349">
        <v>2044</v>
      </c>
      <c r="AE231" s="349">
        <v>15</v>
      </c>
      <c r="AF231" s="349">
        <v>6</v>
      </c>
      <c r="AG231" s="349">
        <v>21</v>
      </c>
    </row>
    <row r="232" spans="1:33" x14ac:dyDescent="0.2">
      <c r="A232" s="344" t="s">
        <v>518</v>
      </c>
      <c r="B232" s="350" t="s">
        <v>519</v>
      </c>
      <c r="C232" s="346">
        <v>15407</v>
      </c>
      <c r="D232" s="346">
        <v>8</v>
      </c>
      <c r="E232" s="346">
        <v>1637</v>
      </c>
      <c r="F232" s="346">
        <v>1649</v>
      </c>
      <c r="G232" s="346">
        <v>552</v>
      </c>
      <c r="H232" s="346">
        <v>19253</v>
      </c>
      <c r="I232" s="345">
        <v>18701</v>
      </c>
      <c r="J232" s="345">
        <v>17</v>
      </c>
      <c r="K232" s="347">
        <v>86.34</v>
      </c>
      <c r="L232" s="347">
        <v>83.38</v>
      </c>
      <c r="M232" s="347">
        <v>8.34</v>
      </c>
      <c r="N232" s="347">
        <v>89.38</v>
      </c>
      <c r="O232" s="348">
        <v>13802</v>
      </c>
      <c r="P232" s="345">
        <v>80.45</v>
      </c>
      <c r="Q232" s="345">
        <v>75.540000000000006</v>
      </c>
      <c r="R232" s="345">
        <v>32.64</v>
      </c>
      <c r="S232" s="345">
        <v>111.83</v>
      </c>
      <c r="T232" s="345">
        <v>2774</v>
      </c>
      <c r="U232" s="345">
        <v>98.41</v>
      </c>
      <c r="V232" s="345">
        <v>1002</v>
      </c>
      <c r="W232" s="345">
        <v>127.42</v>
      </c>
      <c r="X232" s="345">
        <v>11</v>
      </c>
      <c r="Y232" s="345">
        <v>0</v>
      </c>
      <c r="Z232" s="345">
        <v>50</v>
      </c>
      <c r="AA232" s="345">
        <v>20</v>
      </c>
      <c r="AB232" s="345">
        <v>24</v>
      </c>
      <c r="AC232" s="345">
        <v>9</v>
      </c>
      <c r="AD232" s="349">
        <v>14859</v>
      </c>
      <c r="AE232" s="349">
        <v>70</v>
      </c>
      <c r="AF232" s="349">
        <v>39</v>
      </c>
      <c r="AG232" s="349">
        <v>109</v>
      </c>
    </row>
    <row r="233" spans="1:33" x14ac:dyDescent="0.2">
      <c r="A233" s="344" t="s">
        <v>520</v>
      </c>
      <c r="B233" s="350" t="s">
        <v>521</v>
      </c>
      <c r="C233" s="346">
        <v>1599</v>
      </c>
      <c r="D233" s="346">
        <v>0</v>
      </c>
      <c r="E233" s="346">
        <v>45</v>
      </c>
      <c r="F233" s="346">
        <v>195</v>
      </c>
      <c r="G233" s="346">
        <v>279</v>
      </c>
      <c r="H233" s="346">
        <v>2118</v>
      </c>
      <c r="I233" s="345">
        <v>1839</v>
      </c>
      <c r="J233" s="345">
        <v>2</v>
      </c>
      <c r="K233" s="347">
        <v>91.95</v>
      </c>
      <c r="L233" s="347">
        <v>89.6</v>
      </c>
      <c r="M233" s="347">
        <v>5.59</v>
      </c>
      <c r="N233" s="347">
        <v>95.81</v>
      </c>
      <c r="O233" s="348">
        <v>1151</v>
      </c>
      <c r="P233" s="345">
        <v>103.74</v>
      </c>
      <c r="Q233" s="345">
        <v>96.26</v>
      </c>
      <c r="R233" s="345">
        <v>54.32</v>
      </c>
      <c r="S233" s="345">
        <v>157.59</v>
      </c>
      <c r="T233" s="345">
        <v>233</v>
      </c>
      <c r="U233" s="345">
        <v>105.11</v>
      </c>
      <c r="V233" s="345">
        <v>287</v>
      </c>
      <c r="W233" s="345">
        <v>0</v>
      </c>
      <c r="X233" s="345">
        <v>0</v>
      </c>
      <c r="Y233" s="345">
        <v>0</v>
      </c>
      <c r="Z233" s="345">
        <v>2</v>
      </c>
      <c r="AA233" s="345">
        <v>2</v>
      </c>
      <c r="AB233" s="345">
        <v>48</v>
      </c>
      <c r="AC233" s="345">
        <v>2</v>
      </c>
      <c r="AD233" s="349">
        <v>1575</v>
      </c>
      <c r="AE233" s="349">
        <v>17</v>
      </c>
      <c r="AF233" s="349">
        <v>11</v>
      </c>
      <c r="AG233" s="349">
        <v>28</v>
      </c>
    </row>
    <row r="234" spans="1:33" x14ac:dyDescent="0.2">
      <c r="A234" s="344" t="s">
        <v>522</v>
      </c>
      <c r="B234" s="350" t="s">
        <v>523</v>
      </c>
      <c r="C234" s="346">
        <v>5461</v>
      </c>
      <c r="D234" s="346">
        <v>0</v>
      </c>
      <c r="E234" s="346">
        <v>86</v>
      </c>
      <c r="F234" s="346">
        <v>1068</v>
      </c>
      <c r="G234" s="346">
        <v>762</v>
      </c>
      <c r="H234" s="346">
        <v>7377</v>
      </c>
      <c r="I234" s="345">
        <v>6615</v>
      </c>
      <c r="J234" s="345">
        <v>126</v>
      </c>
      <c r="K234" s="347">
        <v>106.3</v>
      </c>
      <c r="L234" s="347">
        <v>102.9</v>
      </c>
      <c r="M234" s="347">
        <v>4.16</v>
      </c>
      <c r="N234" s="347">
        <v>108.93</v>
      </c>
      <c r="O234" s="348">
        <v>5180</v>
      </c>
      <c r="P234" s="345">
        <v>91.55</v>
      </c>
      <c r="Q234" s="345">
        <v>87.11</v>
      </c>
      <c r="R234" s="345">
        <v>22.92</v>
      </c>
      <c r="S234" s="345">
        <v>114.3</v>
      </c>
      <c r="T234" s="345">
        <v>906</v>
      </c>
      <c r="U234" s="345">
        <v>154.41999999999999</v>
      </c>
      <c r="V234" s="345">
        <v>225</v>
      </c>
      <c r="W234" s="345">
        <v>138.06</v>
      </c>
      <c r="X234" s="345">
        <v>102</v>
      </c>
      <c r="Y234" s="345">
        <v>21</v>
      </c>
      <c r="Z234" s="345">
        <v>2</v>
      </c>
      <c r="AA234" s="345">
        <v>1</v>
      </c>
      <c r="AB234" s="345">
        <v>31</v>
      </c>
      <c r="AC234" s="345">
        <v>14</v>
      </c>
      <c r="AD234" s="349">
        <v>5429</v>
      </c>
      <c r="AE234" s="349">
        <v>35</v>
      </c>
      <c r="AF234" s="349">
        <v>7</v>
      </c>
      <c r="AG234" s="349">
        <v>42</v>
      </c>
    </row>
    <row r="235" spans="1:33" x14ac:dyDescent="0.2">
      <c r="A235" s="344" t="s">
        <v>524</v>
      </c>
      <c r="B235" s="350" t="s">
        <v>525</v>
      </c>
      <c r="C235" s="346">
        <v>15520</v>
      </c>
      <c r="D235" s="346">
        <v>6</v>
      </c>
      <c r="E235" s="346">
        <v>1331</v>
      </c>
      <c r="F235" s="346">
        <v>1040</v>
      </c>
      <c r="G235" s="346">
        <v>462</v>
      </c>
      <c r="H235" s="346">
        <v>18359</v>
      </c>
      <c r="I235" s="345">
        <v>17897</v>
      </c>
      <c r="J235" s="345">
        <v>15</v>
      </c>
      <c r="K235" s="347">
        <v>79.69</v>
      </c>
      <c r="L235" s="347">
        <v>77.63</v>
      </c>
      <c r="M235" s="347">
        <v>8.41</v>
      </c>
      <c r="N235" s="347">
        <v>82.49</v>
      </c>
      <c r="O235" s="348">
        <v>13216</v>
      </c>
      <c r="P235" s="345">
        <v>87.27</v>
      </c>
      <c r="Q235" s="345">
        <v>78.55</v>
      </c>
      <c r="R235" s="345">
        <v>53.87</v>
      </c>
      <c r="S235" s="345">
        <v>139.78</v>
      </c>
      <c r="T235" s="345">
        <v>2130</v>
      </c>
      <c r="U235" s="345">
        <v>95.83</v>
      </c>
      <c r="V235" s="345">
        <v>2026</v>
      </c>
      <c r="W235" s="345">
        <v>100.92</v>
      </c>
      <c r="X235" s="345">
        <v>10</v>
      </c>
      <c r="Y235" s="345">
        <v>0</v>
      </c>
      <c r="Z235" s="345">
        <v>50</v>
      </c>
      <c r="AA235" s="345">
        <v>6</v>
      </c>
      <c r="AB235" s="345">
        <v>12</v>
      </c>
      <c r="AC235" s="345">
        <v>14</v>
      </c>
      <c r="AD235" s="349">
        <v>15409</v>
      </c>
      <c r="AE235" s="349">
        <v>85</v>
      </c>
      <c r="AF235" s="349">
        <v>44</v>
      </c>
      <c r="AG235" s="349">
        <v>129</v>
      </c>
    </row>
    <row r="236" spans="1:33" x14ac:dyDescent="0.2">
      <c r="A236" s="344" t="s">
        <v>526</v>
      </c>
      <c r="B236" s="350" t="s">
        <v>527</v>
      </c>
      <c r="C236" s="346">
        <v>12639</v>
      </c>
      <c r="D236" s="346">
        <v>1</v>
      </c>
      <c r="E236" s="346">
        <v>387</v>
      </c>
      <c r="F236" s="346">
        <v>1642</v>
      </c>
      <c r="G236" s="346">
        <v>829</v>
      </c>
      <c r="H236" s="346">
        <v>15498</v>
      </c>
      <c r="I236" s="345">
        <v>14669</v>
      </c>
      <c r="J236" s="345">
        <v>58</v>
      </c>
      <c r="K236" s="347">
        <v>87.63</v>
      </c>
      <c r="L236" s="347">
        <v>87.2</v>
      </c>
      <c r="M236" s="347">
        <v>3.36</v>
      </c>
      <c r="N236" s="347">
        <v>89.42</v>
      </c>
      <c r="O236" s="348">
        <v>10316</v>
      </c>
      <c r="P236" s="345">
        <v>85.77</v>
      </c>
      <c r="Q236" s="345">
        <v>81.040000000000006</v>
      </c>
      <c r="R236" s="345">
        <v>21.87</v>
      </c>
      <c r="S236" s="345">
        <v>106.93</v>
      </c>
      <c r="T236" s="345">
        <v>1626</v>
      </c>
      <c r="U236" s="345">
        <v>105.56</v>
      </c>
      <c r="V236" s="345">
        <v>1660</v>
      </c>
      <c r="W236" s="345">
        <v>204.28</v>
      </c>
      <c r="X236" s="345">
        <v>328</v>
      </c>
      <c r="Y236" s="345">
        <v>14</v>
      </c>
      <c r="Z236" s="345">
        <v>28</v>
      </c>
      <c r="AA236" s="345">
        <v>21</v>
      </c>
      <c r="AB236" s="345">
        <v>32</v>
      </c>
      <c r="AC236" s="345">
        <v>12</v>
      </c>
      <c r="AD236" s="349">
        <v>12191</v>
      </c>
      <c r="AE236" s="349">
        <v>67</v>
      </c>
      <c r="AF236" s="349">
        <v>121</v>
      </c>
      <c r="AG236" s="349">
        <v>188</v>
      </c>
    </row>
    <row r="237" spans="1:33" x14ac:dyDescent="0.2">
      <c r="A237" s="344" t="s">
        <v>528</v>
      </c>
      <c r="B237" s="350" t="s">
        <v>529</v>
      </c>
      <c r="C237" s="346">
        <v>3578</v>
      </c>
      <c r="D237" s="346">
        <v>27</v>
      </c>
      <c r="E237" s="346">
        <v>332</v>
      </c>
      <c r="F237" s="346">
        <v>230</v>
      </c>
      <c r="G237" s="346">
        <v>486</v>
      </c>
      <c r="H237" s="346">
        <v>4653</v>
      </c>
      <c r="I237" s="345">
        <v>4167</v>
      </c>
      <c r="J237" s="345">
        <v>5</v>
      </c>
      <c r="K237" s="347">
        <v>119.53</v>
      </c>
      <c r="L237" s="347">
        <v>117.44</v>
      </c>
      <c r="M237" s="347">
        <v>6.81</v>
      </c>
      <c r="N237" s="347">
        <v>125.89</v>
      </c>
      <c r="O237" s="348">
        <v>3173</v>
      </c>
      <c r="P237" s="345">
        <v>111.49</v>
      </c>
      <c r="Q237" s="345">
        <v>94.42</v>
      </c>
      <c r="R237" s="345">
        <v>67.260000000000005</v>
      </c>
      <c r="S237" s="345">
        <v>164.84</v>
      </c>
      <c r="T237" s="345">
        <v>493</v>
      </c>
      <c r="U237" s="345">
        <v>146.15</v>
      </c>
      <c r="V237" s="345">
        <v>175</v>
      </c>
      <c r="W237" s="345">
        <v>0</v>
      </c>
      <c r="X237" s="345">
        <v>0</v>
      </c>
      <c r="Y237" s="345">
        <v>0</v>
      </c>
      <c r="Z237" s="345">
        <v>1</v>
      </c>
      <c r="AA237" s="345">
        <v>4</v>
      </c>
      <c r="AB237" s="345">
        <v>10</v>
      </c>
      <c r="AC237" s="345">
        <v>11</v>
      </c>
      <c r="AD237" s="349">
        <v>3405</v>
      </c>
      <c r="AE237" s="349">
        <v>7</v>
      </c>
      <c r="AF237" s="349">
        <v>10</v>
      </c>
      <c r="AG237" s="349">
        <v>17</v>
      </c>
    </row>
    <row r="238" spans="1:33" x14ac:dyDescent="0.2">
      <c r="A238" s="344" t="s">
        <v>530</v>
      </c>
      <c r="B238" s="350" t="s">
        <v>531</v>
      </c>
      <c r="C238" s="346">
        <v>2430</v>
      </c>
      <c r="D238" s="346">
        <v>0</v>
      </c>
      <c r="E238" s="346">
        <v>215</v>
      </c>
      <c r="F238" s="346">
        <v>588</v>
      </c>
      <c r="G238" s="346">
        <v>572</v>
      </c>
      <c r="H238" s="346">
        <v>3805</v>
      </c>
      <c r="I238" s="345">
        <v>3233</v>
      </c>
      <c r="J238" s="345">
        <v>0</v>
      </c>
      <c r="K238" s="347">
        <v>101.76</v>
      </c>
      <c r="L238" s="347">
        <v>99.88</v>
      </c>
      <c r="M238" s="347">
        <v>5.21</v>
      </c>
      <c r="N238" s="347">
        <v>105.84</v>
      </c>
      <c r="O238" s="348">
        <v>1922</v>
      </c>
      <c r="P238" s="345">
        <v>90.39</v>
      </c>
      <c r="Q238" s="345">
        <v>85.63</v>
      </c>
      <c r="R238" s="345">
        <v>55.04</v>
      </c>
      <c r="S238" s="345">
        <v>142.66999999999999</v>
      </c>
      <c r="T238" s="345">
        <v>459</v>
      </c>
      <c r="U238" s="345">
        <v>111.49</v>
      </c>
      <c r="V238" s="345">
        <v>468</v>
      </c>
      <c r="W238" s="345">
        <v>139.4</v>
      </c>
      <c r="X238" s="345">
        <v>107</v>
      </c>
      <c r="Y238" s="345">
        <v>0</v>
      </c>
      <c r="Z238" s="345">
        <v>4</v>
      </c>
      <c r="AA238" s="345">
        <v>0</v>
      </c>
      <c r="AB238" s="345">
        <v>62</v>
      </c>
      <c r="AC238" s="345">
        <v>13</v>
      </c>
      <c r="AD238" s="349">
        <v>2422</v>
      </c>
      <c r="AE238" s="349">
        <v>8</v>
      </c>
      <c r="AF238" s="349">
        <v>3</v>
      </c>
      <c r="AG238" s="349">
        <v>11</v>
      </c>
    </row>
    <row r="239" spans="1:33" x14ac:dyDescent="0.2">
      <c r="A239" s="344" t="s">
        <v>532</v>
      </c>
      <c r="B239" s="350" t="s">
        <v>533</v>
      </c>
      <c r="C239" s="345">
        <v>4110</v>
      </c>
      <c r="D239" s="345">
        <v>0</v>
      </c>
      <c r="E239" s="345">
        <v>342</v>
      </c>
      <c r="F239" s="345">
        <v>863</v>
      </c>
      <c r="G239" s="345">
        <v>587</v>
      </c>
      <c r="H239" s="345">
        <v>5902</v>
      </c>
      <c r="I239" s="345">
        <v>5315</v>
      </c>
      <c r="J239" s="345">
        <v>0</v>
      </c>
      <c r="K239" s="345">
        <v>95.29</v>
      </c>
      <c r="L239" s="347">
        <v>94.18</v>
      </c>
      <c r="M239" s="347">
        <v>4.53</v>
      </c>
      <c r="N239" s="347">
        <v>98.97</v>
      </c>
      <c r="O239" s="348">
        <v>3320</v>
      </c>
      <c r="P239" s="345">
        <v>91.12</v>
      </c>
      <c r="Q239" s="345">
        <v>88.74</v>
      </c>
      <c r="R239" s="345">
        <v>35.130000000000003</v>
      </c>
      <c r="S239" s="345">
        <v>125.44</v>
      </c>
      <c r="T239" s="345">
        <v>1000</v>
      </c>
      <c r="U239" s="345">
        <v>112.23</v>
      </c>
      <c r="V239" s="345">
        <v>393</v>
      </c>
      <c r="W239" s="345">
        <v>142.06</v>
      </c>
      <c r="X239" s="345">
        <v>78</v>
      </c>
      <c r="Y239" s="345">
        <v>0</v>
      </c>
      <c r="Z239" s="345">
        <v>4</v>
      </c>
      <c r="AA239" s="345">
        <v>8</v>
      </c>
      <c r="AB239" s="345">
        <v>64</v>
      </c>
      <c r="AC239" s="345">
        <v>11</v>
      </c>
      <c r="AD239" s="345">
        <v>3726</v>
      </c>
      <c r="AE239" s="345">
        <v>16</v>
      </c>
      <c r="AF239" s="345">
        <v>5</v>
      </c>
      <c r="AG239" s="345">
        <v>21</v>
      </c>
    </row>
    <row r="240" spans="1:33" x14ac:dyDescent="0.2">
      <c r="A240" s="344" t="s">
        <v>534</v>
      </c>
      <c r="B240" s="350" t="s">
        <v>535</v>
      </c>
      <c r="C240" s="346">
        <v>3269</v>
      </c>
      <c r="D240" s="346">
        <v>0</v>
      </c>
      <c r="E240" s="346">
        <v>356</v>
      </c>
      <c r="F240" s="346">
        <v>181</v>
      </c>
      <c r="G240" s="346">
        <v>1141</v>
      </c>
      <c r="H240" s="346">
        <v>4947</v>
      </c>
      <c r="I240" s="345">
        <v>3806</v>
      </c>
      <c r="J240" s="345">
        <v>20</v>
      </c>
      <c r="K240" s="347">
        <v>110.5</v>
      </c>
      <c r="L240" s="347">
        <v>108.61</v>
      </c>
      <c r="M240" s="347">
        <v>3.4</v>
      </c>
      <c r="N240" s="347">
        <v>113.27</v>
      </c>
      <c r="O240" s="348">
        <v>2300</v>
      </c>
      <c r="P240" s="345">
        <v>97.98</v>
      </c>
      <c r="Q240" s="345">
        <v>98.28</v>
      </c>
      <c r="R240" s="345">
        <v>42.17</v>
      </c>
      <c r="S240" s="345">
        <v>140.15</v>
      </c>
      <c r="T240" s="345">
        <v>235</v>
      </c>
      <c r="U240" s="345">
        <v>146.63999999999999</v>
      </c>
      <c r="V240" s="345">
        <v>591</v>
      </c>
      <c r="W240" s="345">
        <v>160.63</v>
      </c>
      <c r="X240" s="345">
        <v>79</v>
      </c>
      <c r="Y240" s="345">
        <v>0</v>
      </c>
      <c r="Z240" s="345">
        <v>0</v>
      </c>
      <c r="AA240" s="345">
        <v>36</v>
      </c>
      <c r="AB240" s="345">
        <v>48</v>
      </c>
      <c r="AC240" s="345">
        <v>24</v>
      </c>
      <c r="AD240" s="349">
        <v>3040</v>
      </c>
      <c r="AE240" s="349">
        <v>11</v>
      </c>
      <c r="AF240" s="349">
        <v>7</v>
      </c>
      <c r="AG240" s="349">
        <v>18</v>
      </c>
    </row>
    <row r="241" spans="1:33" x14ac:dyDescent="0.2">
      <c r="A241" s="344" t="s">
        <v>536</v>
      </c>
      <c r="B241" s="350" t="s">
        <v>537</v>
      </c>
      <c r="C241" s="346">
        <v>1396</v>
      </c>
      <c r="D241" s="346">
        <v>0</v>
      </c>
      <c r="E241" s="346">
        <v>143</v>
      </c>
      <c r="F241" s="346">
        <v>48</v>
      </c>
      <c r="G241" s="346">
        <v>218</v>
      </c>
      <c r="H241" s="346">
        <v>1805</v>
      </c>
      <c r="I241" s="345">
        <v>1587</v>
      </c>
      <c r="J241" s="345">
        <v>0</v>
      </c>
      <c r="K241" s="347">
        <v>92.26</v>
      </c>
      <c r="L241" s="347">
        <v>91.43</v>
      </c>
      <c r="M241" s="347">
        <v>5.29</v>
      </c>
      <c r="N241" s="347">
        <v>95.94</v>
      </c>
      <c r="O241" s="348">
        <v>1139</v>
      </c>
      <c r="P241" s="345">
        <v>109.61</v>
      </c>
      <c r="Q241" s="345">
        <v>107.1</v>
      </c>
      <c r="R241" s="345">
        <v>86.1</v>
      </c>
      <c r="S241" s="345">
        <v>195.71</v>
      </c>
      <c r="T241" s="345">
        <v>119</v>
      </c>
      <c r="U241" s="345">
        <v>99.87</v>
      </c>
      <c r="V241" s="345">
        <v>238</v>
      </c>
      <c r="W241" s="345">
        <v>185.89</v>
      </c>
      <c r="X241" s="345">
        <v>47</v>
      </c>
      <c r="Y241" s="345">
        <v>0</v>
      </c>
      <c r="Z241" s="345">
        <v>0</v>
      </c>
      <c r="AA241" s="345">
        <v>1</v>
      </c>
      <c r="AB241" s="345">
        <v>54</v>
      </c>
      <c r="AC241" s="345">
        <v>7</v>
      </c>
      <c r="AD241" s="349">
        <v>1377</v>
      </c>
      <c r="AE241" s="349">
        <v>7</v>
      </c>
      <c r="AF241" s="349">
        <v>11</v>
      </c>
      <c r="AG241" s="349">
        <v>18</v>
      </c>
    </row>
    <row r="242" spans="1:33" x14ac:dyDescent="0.2">
      <c r="A242" s="344" t="s">
        <v>538</v>
      </c>
      <c r="B242" s="350" t="s">
        <v>539</v>
      </c>
      <c r="C242" s="346">
        <v>10577</v>
      </c>
      <c r="D242" s="346">
        <v>22</v>
      </c>
      <c r="E242" s="346">
        <v>317</v>
      </c>
      <c r="F242" s="346">
        <v>1838</v>
      </c>
      <c r="G242" s="346">
        <v>830</v>
      </c>
      <c r="H242" s="346">
        <v>13584</v>
      </c>
      <c r="I242" s="345">
        <v>12754</v>
      </c>
      <c r="J242" s="345">
        <v>0</v>
      </c>
      <c r="K242" s="347">
        <v>96.96</v>
      </c>
      <c r="L242" s="347">
        <v>97.99</v>
      </c>
      <c r="M242" s="347">
        <v>5.42</v>
      </c>
      <c r="N242" s="347">
        <v>100.05</v>
      </c>
      <c r="O242" s="348">
        <v>9596</v>
      </c>
      <c r="P242" s="345">
        <v>88.5</v>
      </c>
      <c r="Q242" s="345">
        <v>90.63</v>
      </c>
      <c r="R242" s="345">
        <v>32.24</v>
      </c>
      <c r="S242" s="345">
        <v>120.64</v>
      </c>
      <c r="T242" s="345">
        <v>1876</v>
      </c>
      <c r="U242" s="345">
        <v>136.55000000000001</v>
      </c>
      <c r="V242" s="345">
        <v>624</v>
      </c>
      <c r="W242" s="345">
        <v>185.74</v>
      </c>
      <c r="X242" s="345">
        <v>91</v>
      </c>
      <c r="Y242" s="345">
        <v>20</v>
      </c>
      <c r="Z242" s="345">
        <v>23</v>
      </c>
      <c r="AA242" s="345">
        <v>7</v>
      </c>
      <c r="AB242" s="345">
        <v>31</v>
      </c>
      <c r="AC242" s="345">
        <v>5</v>
      </c>
      <c r="AD242" s="349">
        <v>10257</v>
      </c>
      <c r="AE242" s="349">
        <v>49</v>
      </c>
      <c r="AF242" s="349">
        <v>30</v>
      </c>
      <c r="AG242" s="349">
        <v>79</v>
      </c>
    </row>
    <row r="243" spans="1:33" x14ac:dyDescent="0.2">
      <c r="A243" s="344" t="s">
        <v>540</v>
      </c>
      <c r="B243" s="350" t="s">
        <v>541</v>
      </c>
      <c r="C243" s="346">
        <v>3870</v>
      </c>
      <c r="D243" s="346">
        <v>0</v>
      </c>
      <c r="E243" s="346">
        <v>82</v>
      </c>
      <c r="F243" s="346">
        <v>603</v>
      </c>
      <c r="G243" s="346">
        <v>524</v>
      </c>
      <c r="H243" s="346">
        <v>5079</v>
      </c>
      <c r="I243" s="345">
        <v>4555</v>
      </c>
      <c r="J243" s="345">
        <v>0</v>
      </c>
      <c r="K243" s="347">
        <v>93.26</v>
      </c>
      <c r="L243" s="347">
        <v>89.71</v>
      </c>
      <c r="M243" s="347">
        <v>1.9</v>
      </c>
      <c r="N243" s="347">
        <v>95.07</v>
      </c>
      <c r="O243" s="348">
        <v>3286</v>
      </c>
      <c r="P243" s="345">
        <v>81.319999999999993</v>
      </c>
      <c r="Q243" s="345">
        <v>73.67</v>
      </c>
      <c r="R243" s="345">
        <v>33.71</v>
      </c>
      <c r="S243" s="345">
        <v>113.94</v>
      </c>
      <c r="T243" s="345">
        <v>557</v>
      </c>
      <c r="U243" s="345">
        <v>124.15</v>
      </c>
      <c r="V243" s="345">
        <v>259</v>
      </c>
      <c r="W243" s="345">
        <v>218.18</v>
      </c>
      <c r="X243" s="345">
        <v>37</v>
      </c>
      <c r="Y243" s="345">
        <v>0</v>
      </c>
      <c r="Z243" s="345">
        <v>6</v>
      </c>
      <c r="AA243" s="345">
        <v>9</v>
      </c>
      <c r="AB243" s="345">
        <v>60</v>
      </c>
      <c r="AC243" s="345">
        <v>9</v>
      </c>
      <c r="AD243" s="349">
        <v>3615</v>
      </c>
      <c r="AE243" s="349">
        <v>18</v>
      </c>
      <c r="AF243" s="349">
        <v>12</v>
      </c>
      <c r="AG243" s="349">
        <v>30</v>
      </c>
    </row>
    <row r="244" spans="1:33" x14ac:dyDescent="0.2">
      <c r="A244" s="344" t="s">
        <v>542</v>
      </c>
      <c r="B244" s="350" t="s">
        <v>543</v>
      </c>
      <c r="C244" s="346">
        <v>1009</v>
      </c>
      <c r="D244" s="346">
        <v>0</v>
      </c>
      <c r="E244" s="346">
        <v>103</v>
      </c>
      <c r="F244" s="346">
        <v>0</v>
      </c>
      <c r="G244" s="346">
        <v>290</v>
      </c>
      <c r="H244" s="346">
        <v>1402</v>
      </c>
      <c r="I244" s="345">
        <v>1112</v>
      </c>
      <c r="J244" s="345">
        <v>6</v>
      </c>
      <c r="K244" s="347">
        <v>84.8</v>
      </c>
      <c r="L244" s="347">
        <v>84.36</v>
      </c>
      <c r="M244" s="347">
        <v>4.5599999999999996</v>
      </c>
      <c r="N244" s="347">
        <v>88.44</v>
      </c>
      <c r="O244" s="348">
        <v>753</v>
      </c>
      <c r="P244" s="345">
        <v>111.39</v>
      </c>
      <c r="Q244" s="345">
        <v>71.66</v>
      </c>
      <c r="R244" s="345">
        <v>103.91</v>
      </c>
      <c r="S244" s="345">
        <v>215.3</v>
      </c>
      <c r="T244" s="345">
        <v>93</v>
      </c>
      <c r="U244" s="345">
        <v>104.65</v>
      </c>
      <c r="V244" s="345">
        <v>153</v>
      </c>
      <c r="W244" s="345">
        <v>0</v>
      </c>
      <c r="X244" s="345">
        <v>0</v>
      </c>
      <c r="Y244" s="345">
        <v>0</v>
      </c>
      <c r="Z244" s="345">
        <v>0</v>
      </c>
      <c r="AA244" s="345">
        <v>0</v>
      </c>
      <c r="AB244" s="345">
        <v>48</v>
      </c>
      <c r="AC244" s="345">
        <v>7</v>
      </c>
      <c r="AD244" s="349">
        <v>944</v>
      </c>
      <c r="AE244" s="349">
        <v>2</v>
      </c>
      <c r="AF244" s="349">
        <v>0</v>
      </c>
      <c r="AG244" s="349">
        <v>2</v>
      </c>
    </row>
    <row r="245" spans="1:33" x14ac:dyDescent="0.2">
      <c r="A245" s="344" t="s">
        <v>544</v>
      </c>
      <c r="B245" s="350" t="s">
        <v>545</v>
      </c>
      <c r="C245" s="346">
        <v>1661</v>
      </c>
      <c r="D245" s="346">
        <v>0</v>
      </c>
      <c r="E245" s="346">
        <v>141</v>
      </c>
      <c r="F245" s="346">
        <v>350</v>
      </c>
      <c r="G245" s="346">
        <v>474</v>
      </c>
      <c r="H245" s="346">
        <v>2626</v>
      </c>
      <c r="I245" s="345">
        <v>2152</v>
      </c>
      <c r="J245" s="345">
        <v>0</v>
      </c>
      <c r="K245" s="347">
        <v>87.57</v>
      </c>
      <c r="L245" s="347">
        <v>86.17</v>
      </c>
      <c r="M245" s="347">
        <v>5.51</v>
      </c>
      <c r="N245" s="347">
        <v>92.21</v>
      </c>
      <c r="O245" s="348">
        <v>1218</v>
      </c>
      <c r="P245" s="345">
        <v>92.12</v>
      </c>
      <c r="Q245" s="345">
        <v>72.349999999999994</v>
      </c>
      <c r="R245" s="345">
        <v>38.71</v>
      </c>
      <c r="S245" s="345">
        <v>130.71</v>
      </c>
      <c r="T245" s="345">
        <v>327</v>
      </c>
      <c r="U245" s="345">
        <v>101.32</v>
      </c>
      <c r="V245" s="345">
        <v>168</v>
      </c>
      <c r="W245" s="345">
        <v>120.54</v>
      </c>
      <c r="X245" s="345">
        <v>21</v>
      </c>
      <c r="Y245" s="345">
        <v>22</v>
      </c>
      <c r="Z245" s="345">
        <v>0</v>
      </c>
      <c r="AA245" s="345">
        <v>0</v>
      </c>
      <c r="AB245" s="345">
        <v>9</v>
      </c>
      <c r="AC245" s="345">
        <v>13</v>
      </c>
      <c r="AD245" s="349">
        <v>1606</v>
      </c>
      <c r="AE245" s="349">
        <v>5</v>
      </c>
      <c r="AF245" s="349">
        <v>1</v>
      </c>
      <c r="AG245" s="349">
        <v>6</v>
      </c>
    </row>
    <row r="246" spans="1:33" x14ac:dyDescent="0.2">
      <c r="A246" s="344" t="s">
        <v>546</v>
      </c>
      <c r="B246" s="350" t="s">
        <v>547</v>
      </c>
      <c r="C246" s="346">
        <v>4051</v>
      </c>
      <c r="D246" s="346">
        <v>52</v>
      </c>
      <c r="E246" s="346">
        <v>214</v>
      </c>
      <c r="F246" s="346">
        <v>545</v>
      </c>
      <c r="G246" s="346">
        <v>162</v>
      </c>
      <c r="H246" s="346">
        <v>5024</v>
      </c>
      <c r="I246" s="345">
        <v>4862</v>
      </c>
      <c r="J246" s="345">
        <v>0</v>
      </c>
      <c r="K246" s="347">
        <v>91.51</v>
      </c>
      <c r="L246" s="347">
        <v>91.29</v>
      </c>
      <c r="M246" s="347">
        <v>4.4400000000000004</v>
      </c>
      <c r="N246" s="347">
        <v>92.58</v>
      </c>
      <c r="O246" s="348">
        <v>3583</v>
      </c>
      <c r="P246" s="345">
        <v>84.96</v>
      </c>
      <c r="Q246" s="345">
        <v>81.709999999999994</v>
      </c>
      <c r="R246" s="345">
        <v>40.35</v>
      </c>
      <c r="S246" s="345">
        <v>124.82</v>
      </c>
      <c r="T246" s="345">
        <v>664</v>
      </c>
      <c r="U246" s="345">
        <v>112.94</v>
      </c>
      <c r="V246" s="345">
        <v>442</v>
      </c>
      <c r="W246" s="345">
        <v>203.43</v>
      </c>
      <c r="X246" s="345">
        <v>8</v>
      </c>
      <c r="Y246" s="345">
        <v>73</v>
      </c>
      <c r="Z246" s="345">
        <v>15</v>
      </c>
      <c r="AA246" s="345">
        <v>0</v>
      </c>
      <c r="AB246" s="345">
        <v>0</v>
      </c>
      <c r="AC246" s="345">
        <v>2</v>
      </c>
      <c r="AD246" s="349">
        <v>3965</v>
      </c>
      <c r="AE246" s="349">
        <v>19</v>
      </c>
      <c r="AF246" s="349">
        <v>14</v>
      </c>
      <c r="AG246" s="349">
        <v>33</v>
      </c>
    </row>
    <row r="247" spans="1:33" x14ac:dyDescent="0.2">
      <c r="A247" s="344" t="s">
        <v>548</v>
      </c>
      <c r="B247" s="350" t="s">
        <v>549</v>
      </c>
      <c r="C247" s="346">
        <v>6258</v>
      </c>
      <c r="D247" s="346">
        <v>0</v>
      </c>
      <c r="E247" s="346">
        <v>243</v>
      </c>
      <c r="F247" s="346">
        <v>924</v>
      </c>
      <c r="G247" s="346">
        <v>598</v>
      </c>
      <c r="H247" s="346">
        <v>8023</v>
      </c>
      <c r="I247" s="345">
        <v>7425</v>
      </c>
      <c r="J247" s="345">
        <v>8</v>
      </c>
      <c r="K247" s="347">
        <v>88.11</v>
      </c>
      <c r="L247" s="347">
        <v>87.84</v>
      </c>
      <c r="M247" s="347">
        <v>4.82</v>
      </c>
      <c r="N247" s="347">
        <v>89.44</v>
      </c>
      <c r="O247" s="348">
        <v>4438</v>
      </c>
      <c r="P247" s="345">
        <v>88.01</v>
      </c>
      <c r="Q247" s="345">
        <v>79.959999999999994</v>
      </c>
      <c r="R247" s="345">
        <v>30.89</v>
      </c>
      <c r="S247" s="345">
        <v>118.44</v>
      </c>
      <c r="T247" s="345">
        <v>1134</v>
      </c>
      <c r="U247" s="345">
        <v>112.23</v>
      </c>
      <c r="V247" s="345">
        <v>1675</v>
      </c>
      <c r="W247" s="345">
        <v>0</v>
      </c>
      <c r="X247" s="345">
        <v>0</v>
      </c>
      <c r="Y247" s="345">
        <v>0</v>
      </c>
      <c r="Z247" s="345">
        <v>4</v>
      </c>
      <c r="AA247" s="345">
        <v>0</v>
      </c>
      <c r="AB247" s="345">
        <v>53</v>
      </c>
      <c r="AC247" s="345">
        <v>8</v>
      </c>
      <c r="AD247" s="349">
        <v>6230</v>
      </c>
      <c r="AE247" s="349">
        <v>42</v>
      </c>
      <c r="AF247" s="349">
        <v>32</v>
      </c>
      <c r="AG247" s="349">
        <v>74</v>
      </c>
    </row>
    <row r="248" spans="1:33" x14ac:dyDescent="0.2">
      <c r="A248" s="344" t="s">
        <v>550</v>
      </c>
      <c r="B248" s="350" t="s">
        <v>551</v>
      </c>
      <c r="C248" s="346">
        <v>6272</v>
      </c>
      <c r="D248" s="346">
        <v>0</v>
      </c>
      <c r="E248" s="346">
        <v>233</v>
      </c>
      <c r="F248" s="346">
        <v>752</v>
      </c>
      <c r="G248" s="346">
        <v>868</v>
      </c>
      <c r="H248" s="346">
        <v>8125</v>
      </c>
      <c r="I248" s="345">
        <v>7257</v>
      </c>
      <c r="J248" s="345">
        <v>1</v>
      </c>
      <c r="K248" s="347">
        <v>110.41</v>
      </c>
      <c r="L248" s="347">
        <v>109.57</v>
      </c>
      <c r="M248" s="347">
        <v>6.79</v>
      </c>
      <c r="N248" s="347">
        <v>112.82</v>
      </c>
      <c r="O248" s="348">
        <v>5288</v>
      </c>
      <c r="P248" s="345">
        <v>94.04</v>
      </c>
      <c r="Q248" s="345">
        <v>89.53</v>
      </c>
      <c r="R248" s="345">
        <v>23.06</v>
      </c>
      <c r="S248" s="345">
        <v>114.18</v>
      </c>
      <c r="T248" s="345">
        <v>821</v>
      </c>
      <c r="U248" s="345">
        <v>173.33</v>
      </c>
      <c r="V248" s="345">
        <v>772</v>
      </c>
      <c r="W248" s="345">
        <v>162.63999999999999</v>
      </c>
      <c r="X248" s="345">
        <v>39</v>
      </c>
      <c r="Y248" s="345">
        <v>0</v>
      </c>
      <c r="Z248" s="345">
        <v>2</v>
      </c>
      <c r="AA248" s="345">
        <v>2</v>
      </c>
      <c r="AB248" s="345">
        <v>103</v>
      </c>
      <c r="AC248" s="345">
        <v>16</v>
      </c>
      <c r="AD248" s="349">
        <v>6074</v>
      </c>
      <c r="AE248" s="349">
        <v>33</v>
      </c>
      <c r="AF248" s="349">
        <v>21</v>
      </c>
      <c r="AG248" s="349">
        <v>54</v>
      </c>
    </row>
    <row r="249" spans="1:33" x14ac:dyDescent="0.2">
      <c r="A249" s="344" t="s">
        <v>552</v>
      </c>
      <c r="B249" s="350" t="s">
        <v>553</v>
      </c>
      <c r="C249" s="346">
        <v>3906</v>
      </c>
      <c r="D249" s="346">
        <v>3</v>
      </c>
      <c r="E249" s="346">
        <v>272</v>
      </c>
      <c r="F249" s="346">
        <v>1075</v>
      </c>
      <c r="G249" s="346">
        <v>215</v>
      </c>
      <c r="H249" s="346">
        <v>5471</v>
      </c>
      <c r="I249" s="345">
        <v>5256</v>
      </c>
      <c r="J249" s="345">
        <v>4</v>
      </c>
      <c r="K249" s="347">
        <v>86.83</v>
      </c>
      <c r="L249" s="347">
        <v>86.17</v>
      </c>
      <c r="M249" s="347">
        <v>2.67</v>
      </c>
      <c r="N249" s="347">
        <v>89.45</v>
      </c>
      <c r="O249" s="348">
        <v>3540</v>
      </c>
      <c r="P249" s="345">
        <v>88.72</v>
      </c>
      <c r="Q249" s="345">
        <v>79.8</v>
      </c>
      <c r="R249" s="345">
        <v>26.31</v>
      </c>
      <c r="S249" s="345">
        <v>115.01</v>
      </c>
      <c r="T249" s="345">
        <v>1266</v>
      </c>
      <c r="U249" s="345">
        <v>100.11</v>
      </c>
      <c r="V249" s="345">
        <v>350</v>
      </c>
      <c r="W249" s="345">
        <v>0</v>
      </c>
      <c r="X249" s="345">
        <v>0</v>
      </c>
      <c r="Y249" s="345">
        <v>0</v>
      </c>
      <c r="Z249" s="345">
        <v>7</v>
      </c>
      <c r="AA249" s="345">
        <v>0</v>
      </c>
      <c r="AB249" s="345">
        <v>12</v>
      </c>
      <c r="AC249" s="345">
        <v>3</v>
      </c>
      <c r="AD249" s="349">
        <v>3904</v>
      </c>
      <c r="AE249" s="349">
        <v>35</v>
      </c>
      <c r="AF249" s="349">
        <v>2</v>
      </c>
      <c r="AG249" s="349">
        <v>37</v>
      </c>
    </row>
    <row r="250" spans="1:33" x14ac:dyDescent="0.2">
      <c r="A250" s="344" t="s">
        <v>554</v>
      </c>
      <c r="B250" s="350" t="s">
        <v>555</v>
      </c>
      <c r="C250" s="346">
        <v>9054</v>
      </c>
      <c r="D250" s="346">
        <v>0</v>
      </c>
      <c r="E250" s="346">
        <v>311</v>
      </c>
      <c r="F250" s="346">
        <v>1696</v>
      </c>
      <c r="G250" s="346">
        <v>662</v>
      </c>
      <c r="H250" s="346">
        <v>11723</v>
      </c>
      <c r="I250" s="345">
        <v>11061</v>
      </c>
      <c r="J250" s="345">
        <v>0</v>
      </c>
      <c r="K250" s="347">
        <v>91.7</v>
      </c>
      <c r="L250" s="347">
        <v>91.01</v>
      </c>
      <c r="M250" s="347">
        <v>4.21</v>
      </c>
      <c r="N250" s="347">
        <v>93.04</v>
      </c>
      <c r="O250" s="348">
        <v>8234</v>
      </c>
      <c r="P250" s="345">
        <v>85.98</v>
      </c>
      <c r="Q250" s="345">
        <v>84.15</v>
      </c>
      <c r="R250" s="345">
        <v>26.46</v>
      </c>
      <c r="S250" s="345">
        <v>112.33</v>
      </c>
      <c r="T250" s="345">
        <v>1973</v>
      </c>
      <c r="U250" s="345">
        <v>113.85</v>
      </c>
      <c r="V250" s="345">
        <v>579</v>
      </c>
      <c r="W250" s="345">
        <v>115.27</v>
      </c>
      <c r="X250" s="345">
        <v>28</v>
      </c>
      <c r="Y250" s="345">
        <v>0</v>
      </c>
      <c r="Z250" s="345">
        <v>37</v>
      </c>
      <c r="AA250" s="345">
        <v>1</v>
      </c>
      <c r="AB250" s="345">
        <v>15</v>
      </c>
      <c r="AC250" s="345">
        <v>13</v>
      </c>
      <c r="AD250" s="349">
        <v>9040</v>
      </c>
      <c r="AE250" s="349">
        <v>46</v>
      </c>
      <c r="AF250" s="349">
        <v>42</v>
      </c>
      <c r="AG250" s="349">
        <v>88</v>
      </c>
    </row>
    <row r="251" spans="1:33" x14ac:dyDescent="0.2">
      <c r="A251" s="344" t="s">
        <v>556</v>
      </c>
      <c r="B251" s="350" t="s">
        <v>557</v>
      </c>
      <c r="C251" s="346">
        <v>5707</v>
      </c>
      <c r="D251" s="346">
        <v>0</v>
      </c>
      <c r="E251" s="346">
        <v>277</v>
      </c>
      <c r="F251" s="346">
        <v>673</v>
      </c>
      <c r="G251" s="346">
        <v>378</v>
      </c>
      <c r="H251" s="346">
        <v>7035</v>
      </c>
      <c r="I251" s="345">
        <v>6657</v>
      </c>
      <c r="J251" s="345">
        <v>0</v>
      </c>
      <c r="K251" s="347">
        <v>87.82</v>
      </c>
      <c r="L251" s="347">
        <v>87.22</v>
      </c>
      <c r="M251" s="347">
        <v>4.5199999999999996</v>
      </c>
      <c r="N251" s="347">
        <v>89.05</v>
      </c>
      <c r="O251" s="348">
        <v>5572</v>
      </c>
      <c r="P251" s="345">
        <v>81.489999999999995</v>
      </c>
      <c r="Q251" s="345">
        <v>80.75</v>
      </c>
      <c r="R251" s="345">
        <v>37.56</v>
      </c>
      <c r="S251" s="345">
        <v>117.76</v>
      </c>
      <c r="T251" s="345">
        <v>811</v>
      </c>
      <c r="U251" s="345">
        <v>104.78</v>
      </c>
      <c r="V251" s="345">
        <v>98</v>
      </c>
      <c r="W251" s="345">
        <v>176.66</v>
      </c>
      <c r="X251" s="345">
        <v>139</v>
      </c>
      <c r="Y251" s="345">
        <v>0</v>
      </c>
      <c r="Z251" s="345">
        <v>3</v>
      </c>
      <c r="AA251" s="345">
        <v>2</v>
      </c>
      <c r="AB251" s="345">
        <v>32</v>
      </c>
      <c r="AC251" s="345">
        <v>5</v>
      </c>
      <c r="AD251" s="349">
        <v>5707</v>
      </c>
      <c r="AE251" s="349">
        <v>17</v>
      </c>
      <c r="AF251" s="349">
        <v>6</v>
      </c>
      <c r="AG251" s="349">
        <v>23</v>
      </c>
    </row>
    <row r="252" spans="1:33" x14ac:dyDescent="0.2">
      <c r="A252" s="344" t="s">
        <v>558</v>
      </c>
      <c r="B252" s="350" t="s">
        <v>559</v>
      </c>
      <c r="C252" s="346">
        <v>3823</v>
      </c>
      <c r="D252" s="346">
        <v>3</v>
      </c>
      <c r="E252" s="346">
        <v>351</v>
      </c>
      <c r="F252" s="346">
        <v>964</v>
      </c>
      <c r="G252" s="346">
        <v>208</v>
      </c>
      <c r="H252" s="346">
        <v>5349</v>
      </c>
      <c r="I252" s="345">
        <v>5141</v>
      </c>
      <c r="J252" s="345">
        <v>0</v>
      </c>
      <c r="K252" s="347">
        <v>79.72</v>
      </c>
      <c r="L252" s="347">
        <v>77.16</v>
      </c>
      <c r="M252" s="347">
        <v>3.26</v>
      </c>
      <c r="N252" s="347">
        <v>81.96</v>
      </c>
      <c r="O252" s="348">
        <v>3138</v>
      </c>
      <c r="P252" s="345">
        <v>83.28</v>
      </c>
      <c r="Q252" s="345">
        <v>76.62</v>
      </c>
      <c r="R252" s="345">
        <v>58.2</v>
      </c>
      <c r="S252" s="345">
        <v>140.72</v>
      </c>
      <c r="T252" s="345">
        <v>917</v>
      </c>
      <c r="U252" s="345">
        <v>98.39</v>
      </c>
      <c r="V252" s="345">
        <v>626</v>
      </c>
      <c r="W252" s="345">
        <v>101.39</v>
      </c>
      <c r="X252" s="345">
        <v>288</v>
      </c>
      <c r="Y252" s="345">
        <v>0</v>
      </c>
      <c r="Z252" s="345">
        <v>1</v>
      </c>
      <c r="AA252" s="345">
        <v>4</v>
      </c>
      <c r="AB252" s="345">
        <v>1</v>
      </c>
      <c r="AC252" s="345">
        <v>5</v>
      </c>
      <c r="AD252" s="349">
        <v>3663</v>
      </c>
      <c r="AE252" s="349">
        <v>72</v>
      </c>
      <c r="AF252" s="349">
        <v>12</v>
      </c>
      <c r="AG252" s="349">
        <v>84</v>
      </c>
    </row>
    <row r="253" spans="1:33" x14ac:dyDescent="0.2">
      <c r="A253" s="344" t="s">
        <v>560</v>
      </c>
      <c r="B253" s="350" t="s">
        <v>561</v>
      </c>
      <c r="C253" s="346">
        <v>5854</v>
      </c>
      <c r="D253" s="346">
        <v>68</v>
      </c>
      <c r="E253" s="346">
        <v>888</v>
      </c>
      <c r="F253" s="346">
        <v>1084</v>
      </c>
      <c r="G253" s="346">
        <v>984</v>
      </c>
      <c r="H253" s="346">
        <v>8878</v>
      </c>
      <c r="I253" s="345">
        <v>7894</v>
      </c>
      <c r="J253" s="345">
        <v>8</v>
      </c>
      <c r="K253" s="347">
        <v>104.59</v>
      </c>
      <c r="L253" s="347">
        <v>102.34</v>
      </c>
      <c r="M253" s="347">
        <v>7.68</v>
      </c>
      <c r="N253" s="347">
        <v>111.15</v>
      </c>
      <c r="O253" s="348">
        <v>4659</v>
      </c>
      <c r="P253" s="345">
        <v>92.96</v>
      </c>
      <c r="Q253" s="345">
        <v>88.91</v>
      </c>
      <c r="R253" s="345">
        <v>39.75</v>
      </c>
      <c r="S253" s="345">
        <v>130.82</v>
      </c>
      <c r="T253" s="345">
        <v>1659</v>
      </c>
      <c r="U253" s="345">
        <v>140.21</v>
      </c>
      <c r="V253" s="345">
        <v>784</v>
      </c>
      <c r="W253" s="345">
        <v>144.79</v>
      </c>
      <c r="X253" s="345">
        <v>21</v>
      </c>
      <c r="Y253" s="345">
        <v>70</v>
      </c>
      <c r="Z253" s="345">
        <v>4</v>
      </c>
      <c r="AA253" s="345">
        <v>2</v>
      </c>
      <c r="AB253" s="345">
        <v>24</v>
      </c>
      <c r="AC253" s="345">
        <v>41</v>
      </c>
      <c r="AD253" s="349">
        <v>5722</v>
      </c>
      <c r="AE253" s="349">
        <v>30</v>
      </c>
      <c r="AF253" s="349">
        <v>14</v>
      </c>
      <c r="AG253" s="349">
        <v>44</v>
      </c>
    </row>
    <row r="254" spans="1:33" x14ac:dyDescent="0.2">
      <c r="A254" s="344" t="s">
        <v>562</v>
      </c>
      <c r="B254" s="350" t="s">
        <v>563</v>
      </c>
      <c r="C254" s="346">
        <v>2825</v>
      </c>
      <c r="D254" s="346">
        <v>0</v>
      </c>
      <c r="E254" s="346">
        <v>532</v>
      </c>
      <c r="F254" s="346">
        <v>316</v>
      </c>
      <c r="G254" s="346">
        <v>378</v>
      </c>
      <c r="H254" s="346">
        <v>4051</v>
      </c>
      <c r="I254" s="345">
        <v>3673</v>
      </c>
      <c r="J254" s="345">
        <v>35</v>
      </c>
      <c r="K254" s="347">
        <v>97.13</v>
      </c>
      <c r="L254" s="347">
        <v>95.92</v>
      </c>
      <c r="M254" s="347">
        <v>11.98</v>
      </c>
      <c r="N254" s="347">
        <v>106.83</v>
      </c>
      <c r="O254" s="348">
        <v>2446</v>
      </c>
      <c r="P254" s="345">
        <v>90.43</v>
      </c>
      <c r="Q254" s="345">
        <v>85.66</v>
      </c>
      <c r="R254" s="345">
        <v>59.57</v>
      </c>
      <c r="S254" s="345">
        <v>145.22</v>
      </c>
      <c r="T254" s="345">
        <v>511</v>
      </c>
      <c r="U254" s="345">
        <v>147.78</v>
      </c>
      <c r="V254" s="345">
        <v>334</v>
      </c>
      <c r="W254" s="345">
        <v>0</v>
      </c>
      <c r="X254" s="345">
        <v>0</v>
      </c>
      <c r="Y254" s="345">
        <v>0</v>
      </c>
      <c r="Z254" s="345">
        <v>0</v>
      </c>
      <c r="AA254" s="345">
        <v>2</v>
      </c>
      <c r="AB254" s="345">
        <v>70</v>
      </c>
      <c r="AC254" s="345">
        <v>4</v>
      </c>
      <c r="AD254" s="349">
        <v>2797</v>
      </c>
      <c r="AE254" s="349">
        <v>12</v>
      </c>
      <c r="AF254" s="349">
        <v>3</v>
      </c>
      <c r="AG254" s="349">
        <v>15</v>
      </c>
    </row>
    <row r="255" spans="1:33" x14ac:dyDescent="0.2">
      <c r="A255" s="344" t="s">
        <v>564</v>
      </c>
      <c r="B255" s="350" t="s">
        <v>565</v>
      </c>
      <c r="C255" s="346">
        <v>14853</v>
      </c>
      <c r="D255" s="346">
        <v>266</v>
      </c>
      <c r="E255" s="346">
        <v>1481</v>
      </c>
      <c r="F255" s="346">
        <v>682</v>
      </c>
      <c r="G255" s="346">
        <v>2941</v>
      </c>
      <c r="H255" s="346">
        <v>20223</v>
      </c>
      <c r="I255" s="345">
        <v>17282</v>
      </c>
      <c r="J255" s="345">
        <v>128</v>
      </c>
      <c r="K255" s="347">
        <v>121.63</v>
      </c>
      <c r="L255" s="347">
        <v>123.38</v>
      </c>
      <c r="M255" s="347">
        <v>12.73</v>
      </c>
      <c r="N255" s="347">
        <v>131.24</v>
      </c>
      <c r="O255" s="348">
        <v>12214</v>
      </c>
      <c r="P255" s="345">
        <v>110.71</v>
      </c>
      <c r="Q255" s="345">
        <v>105.46</v>
      </c>
      <c r="R255" s="345">
        <v>60.49</v>
      </c>
      <c r="S255" s="345">
        <v>162.13999999999999</v>
      </c>
      <c r="T255" s="345">
        <v>1963</v>
      </c>
      <c r="U255" s="345">
        <v>199.29</v>
      </c>
      <c r="V255" s="345">
        <v>1037</v>
      </c>
      <c r="W255" s="345">
        <v>189.3</v>
      </c>
      <c r="X255" s="345">
        <v>25</v>
      </c>
      <c r="Y255" s="345">
        <v>10</v>
      </c>
      <c r="Z255" s="345">
        <v>10</v>
      </c>
      <c r="AA255" s="345">
        <v>28</v>
      </c>
      <c r="AB255" s="345">
        <v>189</v>
      </c>
      <c r="AC255" s="345">
        <v>81</v>
      </c>
      <c r="AD255" s="349">
        <v>13968</v>
      </c>
      <c r="AE255" s="349">
        <v>50</v>
      </c>
      <c r="AF255" s="349">
        <v>128</v>
      </c>
      <c r="AG255" s="349">
        <v>178</v>
      </c>
    </row>
    <row r="256" spans="1:33" x14ac:dyDescent="0.2">
      <c r="A256" s="344" t="s">
        <v>566</v>
      </c>
      <c r="B256" s="350" t="s">
        <v>567</v>
      </c>
      <c r="C256" s="346">
        <v>4911</v>
      </c>
      <c r="D256" s="346">
        <v>0</v>
      </c>
      <c r="E256" s="346">
        <v>138</v>
      </c>
      <c r="F256" s="346">
        <v>338</v>
      </c>
      <c r="G256" s="346">
        <v>417</v>
      </c>
      <c r="H256" s="346">
        <v>5804</v>
      </c>
      <c r="I256" s="345">
        <v>5387</v>
      </c>
      <c r="J256" s="345">
        <v>30</v>
      </c>
      <c r="K256" s="347">
        <v>115.83</v>
      </c>
      <c r="L256" s="347">
        <v>110.25</v>
      </c>
      <c r="M256" s="347">
        <v>5.39</v>
      </c>
      <c r="N256" s="347">
        <v>120.62</v>
      </c>
      <c r="O256" s="348">
        <v>4776</v>
      </c>
      <c r="P256" s="345">
        <v>110.03</v>
      </c>
      <c r="Q256" s="345">
        <v>101.59</v>
      </c>
      <c r="R256" s="345">
        <v>69.09</v>
      </c>
      <c r="S256" s="345">
        <v>178.72</v>
      </c>
      <c r="T256" s="345">
        <v>345</v>
      </c>
      <c r="U256" s="345">
        <v>213.04</v>
      </c>
      <c r="V256" s="345">
        <v>162</v>
      </c>
      <c r="W256" s="345">
        <v>109.82</v>
      </c>
      <c r="X256" s="345">
        <v>3</v>
      </c>
      <c r="Y256" s="345">
        <v>0</v>
      </c>
      <c r="Z256" s="345">
        <v>0</v>
      </c>
      <c r="AA256" s="345">
        <v>1</v>
      </c>
      <c r="AB256" s="345">
        <v>0</v>
      </c>
      <c r="AC256" s="345">
        <v>6</v>
      </c>
      <c r="AD256" s="349">
        <v>4905</v>
      </c>
      <c r="AE256" s="349">
        <v>10</v>
      </c>
      <c r="AF256" s="349">
        <v>11</v>
      </c>
      <c r="AG256" s="349">
        <v>21</v>
      </c>
    </row>
    <row r="257" spans="1:33" x14ac:dyDescent="0.2">
      <c r="A257" s="344" t="s">
        <v>568</v>
      </c>
      <c r="B257" s="350" t="s">
        <v>569</v>
      </c>
      <c r="C257" s="346">
        <v>1991</v>
      </c>
      <c r="D257" s="346">
        <v>81</v>
      </c>
      <c r="E257" s="346">
        <v>284</v>
      </c>
      <c r="F257" s="346">
        <v>178</v>
      </c>
      <c r="G257" s="346">
        <v>218</v>
      </c>
      <c r="H257" s="346">
        <v>2752</v>
      </c>
      <c r="I257" s="345">
        <v>2534</v>
      </c>
      <c r="J257" s="345">
        <v>2</v>
      </c>
      <c r="K257" s="347">
        <v>121.02</v>
      </c>
      <c r="L257" s="347">
        <v>117.36</v>
      </c>
      <c r="M257" s="347">
        <v>7.02</v>
      </c>
      <c r="N257" s="347">
        <v>127.21</v>
      </c>
      <c r="O257" s="348">
        <v>1587</v>
      </c>
      <c r="P257" s="345">
        <v>112.32</v>
      </c>
      <c r="Q257" s="345">
        <v>102.22</v>
      </c>
      <c r="R257" s="345">
        <v>36.409999999999997</v>
      </c>
      <c r="S257" s="345">
        <v>146.96</v>
      </c>
      <c r="T257" s="345">
        <v>389</v>
      </c>
      <c r="U257" s="345">
        <v>184.4</v>
      </c>
      <c r="V257" s="345">
        <v>260</v>
      </c>
      <c r="W257" s="345">
        <v>177.59</v>
      </c>
      <c r="X257" s="345">
        <v>22</v>
      </c>
      <c r="Y257" s="345">
        <v>0</v>
      </c>
      <c r="Z257" s="345">
        <v>0</v>
      </c>
      <c r="AA257" s="345">
        <v>2</v>
      </c>
      <c r="AB257" s="345">
        <v>8</v>
      </c>
      <c r="AC257" s="345">
        <v>10</v>
      </c>
      <c r="AD257" s="349">
        <v>1986</v>
      </c>
      <c r="AE257" s="349">
        <v>16</v>
      </c>
      <c r="AF257" s="349">
        <v>4</v>
      </c>
      <c r="AG257" s="349">
        <v>20</v>
      </c>
    </row>
    <row r="258" spans="1:33" x14ac:dyDescent="0.2">
      <c r="A258" s="344" t="s">
        <v>570</v>
      </c>
      <c r="B258" s="350" t="s">
        <v>571</v>
      </c>
      <c r="C258" s="346">
        <v>14393</v>
      </c>
      <c r="D258" s="346">
        <v>0</v>
      </c>
      <c r="E258" s="346">
        <v>637</v>
      </c>
      <c r="F258" s="346">
        <v>2077</v>
      </c>
      <c r="G258" s="346">
        <v>499</v>
      </c>
      <c r="H258" s="346">
        <v>17606</v>
      </c>
      <c r="I258" s="345">
        <v>17107</v>
      </c>
      <c r="J258" s="345">
        <v>0</v>
      </c>
      <c r="K258" s="347">
        <v>88.05</v>
      </c>
      <c r="L258" s="347">
        <v>87.78</v>
      </c>
      <c r="M258" s="347">
        <v>1.66</v>
      </c>
      <c r="N258" s="347">
        <v>89.55</v>
      </c>
      <c r="O258" s="348">
        <v>13234</v>
      </c>
      <c r="P258" s="345">
        <v>90.99</v>
      </c>
      <c r="Q258" s="345">
        <v>82.26</v>
      </c>
      <c r="R258" s="345">
        <v>41.49</v>
      </c>
      <c r="S258" s="345">
        <v>132.27000000000001</v>
      </c>
      <c r="T258" s="345">
        <v>2536</v>
      </c>
      <c r="U258" s="345">
        <v>99.03</v>
      </c>
      <c r="V258" s="345">
        <v>1087</v>
      </c>
      <c r="W258" s="345">
        <v>106.35</v>
      </c>
      <c r="X258" s="345">
        <v>1</v>
      </c>
      <c r="Y258" s="345">
        <v>0</v>
      </c>
      <c r="Z258" s="345">
        <v>76</v>
      </c>
      <c r="AA258" s="345">
        <v>24</v>
      </c>
      <c r="AB258" s="345">
        <v>27</v>
      </c>
      <c r="AC258" s="345">
        <v>11</v>
      </c>
      <c r="AD258" s="349">
        <v>14348</v>
      </c>
      <c r="AE258" s="349">
        <v>125</v>
      </c>
      <c r="AF258" s="349">
        <v>92</v>
      </c>
      <c r="AG258" s="349">
        <v>217</v>
      </c>
    </row>
    <row r="259" spans="1:33" x14ac:dyDescent="0.2">
      <c r="A259" s="344" t="s">
        <v>572</v>
      </c>
      <c r="B259" s="350" t="s">
        <v>573</v>
      </c>
      <c r="C259" s="346">
        <v>6269</v>
      </c>
      <c r="D259" s="346">
        <v>1</v>
      </c>
      <c r="E259" s="346">
        <v>239</v>
      </c>
      <c r="F259" s="346">
        <v>1673</v>
      </c>
      <c r="G259" s="346">
        <v>396</v>
      </c>
      <c r="H259" s="346">
        <v>8578</v>
      </c>
      <c r="I259" s="345">
        <v>8182</v>
      </c>
      <c r="J259" s="345">
        <v>0</v>
      </c>
      <c r="K259" s="347">
        <v>82.94</v>
      </c>
      <c r="L259" s="347">
        <v>82.52</v>
      </c>
      <c r="M259" s="347">
        <v>4.3899999999999997</v>
      </c>
      <c r="N259" s="347">
        <v>85.51</v>
      </c>
      <c r="O259" s="348">
        <v>5694</v>
      </c>
      <c r="P259" s="345">
        <v>79.72</v>
      </c>
      <c r="Q259" s="345">
        <v>80.95</v>
      </c>
      <c r="R259" s="345">
        <v>19.350000000000001</v>
      </c>
      <c r="S259" s="345">
        <v>98.46</v>
      </c>
      <c r="T259" s="345">
        <v>1775</v>
      </c>
      <c r="U259" s="345">
        <v>100.61</v>
      </c>
      <c r="V259" s="345">
        <v>564</v>
      </c>
      <c r="W259" s="345">
        <v>181.69</v>
      </c>
      <c r="X259" s="345">
        <v>134</v>
      </c>
      <c r="Y259" s="345">
        <v>0</v>
      </c>
      <c r="Z259" s="345">
        <v>16</v>
      </c>
      <c r="AA259" s="345">
        <v>9</v>
      </c>
      <c r="AB259" s="345">
        <v>27</v>
      </c>
      <c r="AC259" s="345">
        <v>10</v>
      </c>
      <c r="AD259" s="349">
        <v>6263</v>
      </c>
      <c r="AE259" s="349">
        <v>17</v>
      </c>
      <c r="AF259" s="349">
        <v>18</v>
      </c>
      <c r="AG259" s="349">
        <v>35</v>
      </c>
    </row>
    <row r="260" spans="1:33" x14ac:dyDescent="0.2">
      <c r="A260" s="344" t="s">
        <v>574</v>
      </c>
      <c r="B260" s="350" t="s">
        <v>575</v>
      </c>
      <c r="C260" s="346">
        <v>2772</v>
      </c>
      <c r="D260" s="346">
        <v>2</v>
      </c>
      <c r="E260" s="346">
        <v>155</v>
      </c>
      <c r="F260" s="346">
        <v>926</v>
      </c>
      <c r="G260" s="346">
        <v>69</v>
      </c>
      <c r="H260" s="346">
        <v>3924</v>
      </c>
      <c r="I260" s="345">
        <v>3855</v>
      </c>
      <c r="J260" s="345">
        <v>61</v>
      </c>
      <c r="K260" s="347">
        <v>85.35</v>
      </c>
      <c r="L260" s="347">
        <v>82.34</v>
      </c>
      <c r="M260" s="347">
        <v>6.79</v>
      </c>
      <c r="N260" s="347">
        <v>87.16</v>
      </c>
      <c r="O260" s="348">
        <v>2460</v>
      </c>
      <c r="P260" s="345">
        <v>84.68</v>
      </c>
      <c r="Q260" s="345">
        <v>76.11</v>
      </c>
      <c r="R260" s="345">
        <v>23.03</v>
      </c>
      <c r="S260" s="345">
        <v>106.8</v>
      </c>
      <c r="T260" s="345">
        <v>986</v>
      </c>
      <c r="U260" s="345">
        <v>96.95</v>
      </c>
      <c r="V260" s="345">
        <v>231</v>
      </c>
      <c r="W260" s="345">
        <v>138.30000000000001</v>
      </c>
      <c r="X260" s="345">
        <v>74</v>
      </c>
      <c r="Y260" s="345">
        <v>0</v>
      </c>
      <c r="Z260" s="345">
        <v>13</v>
      </c>
      <c r="AA260" s="345">
        <v>2</v>
      </c>
      <c r="AB260" s="345">
        <v>0</v>
      </c>
      <c r="AC260" s="345">
        <v>0</v>
      </c>
      <c r="AD260" s="349">
        <v>2589</v>
      </c>
      <c r="AE260" s="349">
        <v>26</v>
      </c>
      <c r="AF260" s="349">
        <v>8</v>
      </c>
      <c r="AG260" s="349">
        <v>34</v>
      </c>
    </row>
    <row r="261" spans="1:33" x14ac:dyDescent="0.2">
      <c r="A261" s="344" t="s">
        <v>576</v>
      </c>
      <c r="B261" s="350" t="s">
        <v>577</v>
      </c>
      <c r="C261" s="346">
        <v>1712</v>
      </c>
      <c r="D261" s="346">
        <v>3</v>
      </c>
      <c r="E261" s="346">
        <v>164</v>
      </c>
      <c r="F261" s="346">
        <v>312</v>
      </c>
      <c r="G261" s="346">
        <v>412</v>
      </c>
      <c r="H261" s="346">
        <v>2603</v>
      </c>
      <c r="I261" s="345">
        <v>2191</v>
      </c>
      <c r="J261" s="345">
        <v>3</v>
      </c>
      <c r="K261" s="347">
        <v>112.62</v>
      </c>
      <c r="L261" s="347">
        <v>110.5</v>
      </c>
      <c r="M261" s="347">
        <v>6.46</v>
      </c>
      <c r="N261" s="347">
        <v>118.64</v>
      </c>
      <c r="O261" s="348">
        <v>1415</v>
      </c>
      <c r="P261" s="345">
        <v>103.36</v>
      </c>
      <c r="Q261" s="345">
        <v>89.38</v>
      </c>
      <c r="R261" s="345">
        <v>34.950000000000003</v>
      </c>
      <c r="S261" s="345">
        <v>137.69999999999999</v>
      </c>
      <c r="T261" s="345">
        <v>401</v>
      </c>
      <c r="U261" s="345">
        <v>137.72999999999999</v>
      </c>
      <c r="V261" s="345">
        <v>151</v>
      </c>
      <c r="W261" s="345">
        <v>0</v>
      </c>
      <c r="X261" s="345">
        <v>0</v>
      </c>
      <c r="Y261" s="345">
        <v>0</v>
      </c>
      <c r="Z261" s="345">
        <v>1</v>
      </c>
      <c r="AA261" s="345">
        <v>0</v>
      </c>
      <c r="AB261" s="345">
        <v>1</v>
      </c>
      <c r="AC261" s="345">
        <v>10</v>
      </c>
      <c r="AD261" s="349">
        <v>1585</v>
      </c>
      <c r="AE261" s="349">
        <v>10</v>
      </c>
      <c r="AF261" s="349">
        <v>1</v>
      </c>
      <c r="AG261" s="349">
        <v>11</v>
      </c>
    </row>
    <row r="262" spans="1:33" x14ac:dyDescent="0.2">
      <c r="A262" s="344" t="s">
        <v>578</v>
      </c>
      <c r="B262" s="350" t="s">
        <v>579</v>
      </c>
      <c r="C262" s="346">
        <v>4536</v>
      </c>
      <c r="D262" s="346">
        <v>4</v>
      </c>
      <c r="E262" s="346">
        <v>427</v>
      </c>
      <c r="F262" s="346">
        <v>1350</v>
      </c>
      <c r="G262" s="346">
        <v>960</v>
      </c>
      <c r="H262" s="346">
        <v>7277</v>
      </c>
      <c r="I262" s="345">
        <v>6317</v>
      </c>
      <c r="J262" s="345">
        <v>65</v>
      </c>
      <c r="K262" s="347">
        <v>82.97</v>
      </c>
      <c r="L262" s="347">
        <v>81.739999999999995</v>
      </c>
      <c r="M262" s="347">
        <v>7.82</v>
      </c>
      <c r="N262" s="347">
        <v>87.32</v>
      </c>
      <c r="O262" s="348">
        <v>3804</v>
      </c>
      <c r="P262" s="345">
        <v>83.52</v>
      </c>
      <c r="Q262" s="345">
        <v>76.900000000000006</v>
      </c>
      <c r="R262" s="345">
        <v>27.86</v>
      </c>
      <c r="S262" s="345">
        <v>110.42</v>
      </c>
      <c r="T262" s="345">
        <v>1657</v>
      </c>
      <c r="U262" s="345">
        <v>109.63</v>
      </c>
      <c r="V262" s="345">
        <v>559</v>
      </c>
      <c r="W262" s="345">
        <v>143.97</v>
      </c>
      <c r="X262" s="345">
        <v>57</v>
      </c>
      <c r="Y262" s="345">
        <v>0</v>
      </c>
      <c r="Z262" s="345">
        <v>10</v>
      </c>
      <c r="AA262" s="345">
        <v>4</v>
      </c>
      <c r="AB262" s="345">
        <v>16</v>
      </c>
      <c r="AC262" s="345">
        <v>8</v>
      </c>
      <c r="AD262" s="349">
        <v>4185</v>
      </c>
      <c r="AE262" s="349">
        <v>17</v>
      </c>
      <c r="AF262" s="349">
        <v>21</v>
      </c>
      <c r="AG262" s="349">
        <v>38</v>
      </c>
    </row>
    <row r="263" spans="1:33" x14ac:dyDescent="0.2">
      <c r="A263" s="344" t="s">
        <v>580</v>
      </c>
      <c r="B263" s="350" t="s">
        <v>581</v>
      </c>
      <c r="C263" s="346">
        <v>12816</v>
      </c>
      <c r="D263" s="346">
        <v>4</v>
      </c>
      <c r="E263" s="346">
        <v>467</v>
      </c>
      <c r="F263" s="346">
        <v>658</v>
      </c>
      <c r="G263" s="346">
        <v>242</v>
      </c>
      <c r="H263" s="346">
        <v>14187</v>
      </c>
      <c r="I263" s="345">
        <v>13945</v>
      </c>
      <c r="J263" s="345">
        <v>2</v>
      </c>
      <c r="K263" s="347">
        <v>80.59</v>
      </c>
      <c r="L263" s="347">
        <v>80.73</v>
      </c>
      <c r="M263" s="347">
        <v>11.4</v>
      </c>
      <c r="N263" s="347">
        <v>83.74</v>
      </c>
      <c r="O263" s="348">
        <v>10998</v>
      </c>
      <c r="P263" s="345">
        <v>85.19</v>
      </c>
      <c r="Q263" s="345">
        <v>78.8</v>
      </c>
      <c r="R263" s="345">
        <v>47.31</v>
      </c>
      <c r="S263" s="345">
        <v>132.22999999999999</v>
      </c>
      <c r="T263" s="345">
        <v>1045</v>
      </c>
      <c r="U263" s="345">
        <v>97.63</v>
      </c>
      <c r="V263" s="345">
        <v>1714</v>
      </c>
      <c r="W263" s="345">
        <v>166.33</v>
      </c>
      <c r="X263" s="345">
        <v>58</v>
      </c>
      <c r="Y263" s="345">
        <v>20</v>
      </c>
      <c r="Z263" s="345">
        <v>58</v>
      </c>
      <c r="AA263" s="345">
        <v>0</v>
      </c>
      <c r="AB263" s="345">
        <v>4</v>
      </c>
      <c r="AC263" s="345">
        <v>6</v>
      </c>
      <c r="AD263" s="349">
        <v>12742</v>
      </c>
      <c r="AE263" s="349">
        <v>84</v>
      </c>
      <c r="AF263" s="349">
        <v>194</v>
      </c>
      <c r="AG263" s="349">
        <v>278</v>
      </c>
    </row>
    <row r="264" spans="1:33" x14ac:dyDescent="0.2">
      <c r="A264" s="344" t="s">
        <v>582</v>
      </c>
      <c r="B264" s="350" t="s">
        <v>583</v>
      </c>
      <c r="C264" s="346">
        <v>5971</v>
      </c>
      <c r="D264" s="346">
        <v>14</v>
      </c>
      <c r="E264" s="346">
        <v>755</v>
      </c>
      <c r="F264" s="346">
        <v>1501</v>
      </c>
      <c r="G264" s="346">
        <v>244</v>
      </c>
      <c r="H264" s="346">
        <v>8485</v>
      </c>
      <c r="I264" s="345">
        <v>8241</v>
      </c>
      <c r="J264" s="345">
        <v>11</v>
      </c>
      <c r="K264" s="347">
        <v>76.010000000000005</v>
      </c>
      <c r="L264" s="347">
        <v>75.12</v>
      </c>
      <c r="M264" s="347">
        <v>4.57</v>
      </c>
      <c r="N264" s="347">
        <v>79.03</v>
      </c>
      <c r="O264" s="348">
        <v>4879</v>
      </c>
      <c r="P264" s="345">
        <v>95.39</v>
      </c>
      <c r="Q264" s="345">
        <v>87.64</v>
      </c>
      <c r="R264" s="345">
        <v>54.25</v>
      </c>
      <c r="S264" s="345">
        <v>148.21</v>
      </c>
      <c r="T264" s="345">
        <v>1790</v>
      </c>
      <c r="U264" s="345">
        <v>91.78</v>
      </c>
      <c r="V264" s="345">
        <v>534</v>
      </c>
      <c r="W264" s="345">
        <v>213.12</v>
      </c>
      <c r="X264" s="345">
        <v>126</v>
      </c>
      <c r="Y264" s="345">
        <v>0</v>
      </c>
      <c r="Z264" s="345">
        <v>4</v>
      </c>
      <c r="AA264" s="345">
        <v>21</v>
      </c>
      <c r="AB264" s="345">
        <v>0</v>
      </c>
      <c r="AC264" s="345">
        <v>11</v>
      </c>
      <c r="AD264" s="349">
        <v>5385</v>
      </c>
      <c r="AE264" s="349">
        <v>40</v>
      </c>
      <c r="AF264" s="349">
        <v>36</v>
      </c>
      <c r="AG264" s="349">
        <v>76</v>
      </c>
    </row>
    <row r="265" spans="1:33" x14ac:dyDescent="0.2">
      <c r="A265" s="344" t="s">
        <v>584</v>
      </c>
      <c r="B265" s="350" t="s">
        <v>585</v>
      </c>
      <c r="C265" s="346">
        <v>6882</v>
      </c>
      <c r="D265" s="346">
        <v>2</v>
      </c>
      <c r="E265" s="346">
        <v>93</v>
      </c>
      <c r="F265" s="346">
        <v>721</v>
      </c>
      <c r="G265" s="346">
        <v>757</v>
      </c>
      <c r="H265" s="346">
        <v>8455</v>
      </c>
      <c r="I265" s="345">
        <v>7698</v>
      </c>
      <c r="J265" s="345">
        <v>30</v>
      </c>
      <c r="K265" s="347">
        <v>104.44</v>
      </c>
      <c r="L265" s="347">
        <v>104.77</v>
      </c>
      <c r="M265" s="347">
        <v>5.72</v>
      </c>
      <c r="N265" s="347">
        <v>107.02</v>
      </c>
      <c r="O265" s="348">
        <v>6264</v>
      </c>
      <c r="P265" s="345">
        <v>88.47</v>
      </c>
      <c r="Q265" s="345">
        <v>96.24</v>
      </c>
      <c r="R265" s="345">
        <v>30.15</v>
      </c>
      <c r="S265" s="345">
        <v>118.35</v>
      </c>
      <c r="T265" s="345">
        <v>673</v>
      </c>
      <c r="U265" s="345">
        <v>134.79</v>
      </c>
      <c r="V265" s="345">
        <v>274</v>
      </c>
      <c r="W265" s="345">
        <v>170.96</v>
      </c>
      <c r="X265" s="345">
        <v>50</v>
      </c>
      <c r="Y265" s="345">
        <v>12</v>
      </c>
      <c r="Z265" s="345">
        <v>9</v>
      </c>
      <c r="AA265" s="345">
        <v>60</v>
      </c>
      <c r="AB265" s="345">
        <v>76</v>
      </c>
      <c r="AC265" s="345">
        <v>13</v>
      </c>
      <c r="AD265" s="349">
        <v>6486</v>
      </c>
      <c r="AE265" s="349">
        <v>27</v>
      </c>
      <c r="AF265" s="349">
        <v>98</v>
      </c>
      <c r="AG265" s="349">
        <v>125</v>
      </c>
    </row>
    <row r="266" spans="1:33" x14ac:dyDescent="0.2">
      <c r="A266" s="344" t="s">
        <v>586</v>
      </c>
      <c r="B266" s="350" t="s">
        <v>587</v>
      </c>
      <c r="C266" s="346">
        <v>1469</v>
      </c>
      <c r="D266" s="346">
        <v>0</v>
      </c>
      <c r="E266" s="346">
        <v>158</v>
      </c>
      <c r="F266" s="346">
        <v>138</v>
      </c>
      <c r="G266" s="346">
        <v>352</v>
      </c>
      <c r="H266" s="346">
        <v>2117</v>
      </c>
      <c r="I266" s="345">
        <v>1765</v>
      </c>
      <c r="J266" s="345">
        <v>0</v>
      </c>
      <c r="K266" s="347">
        <v>97.87</v>
      </c>
      <c r="L266" s="347">
        <v>95.44</v>
      </c>
      <c r="M266" s="347">
        <v>4.99</v>
      </c>
      <c r="N266" s="347">
        <v>101.92</v>
      </c>
      <c r="O266" s="348">
        <v>1021</v>
      </c>
      <c r="P266" s="345">
        <v>110.37</v>
      </c>
      <c r="Q266" s="345">
        <v>79.98</v>
      </c>
      <c r="R266" s="345">
        <v>40.08</v>
      </c>
      <c r="S266" s="345">
        <v>148.59</v>
      </c>
      <c r="T266" s="345">
        <v>258</v>
      </c>
      <c r="U266" s="345">
        <v>118.76</v>
      </c>
      <c r="V266" s="345">
        <v>362</v>
      </c>
      <c r="W266" s="345">
        <v>0</v>
      </c>
      <c r="X266" s="345">
        <v>0</v>
      </c>
      <c r="Y266" s="345">
        <v>23</v>
      </c>
      <c r="Z266" s="345">
        <v>0</v>
      </c>
      <c r="AA266" s="345">
        <v>0</v>
      </c>
      <c r="AB266" s="345">
        <v>5</v>
      </c>
      <c r="AC266" s="345">
        <v>5</v>
      </c>
      <c r="AD266" s="349">
        <v>1397</v>
      </c>
      <c r="AE266" s="349">
        <v>4</v>
      </c>
      <c r="AF266" s="349">
        <v>7</v>
      </c>
      <c r="AG266" s="349">
        <v>11</v>
      </c>
    </row>
    <row r="267" spans="1:33" x14ac:dyDescent="0.2">
      <c r="A267" s="344" t="s">
        <v>588</v>
      </c>
      <c r="B267" s="350" t="s">
        <v>589</v>
      </c>
      <c r="C267" s="346">
        <v>31640</v>
      </c>
      <c r="D267" s="346">
        <v>14</v>
      </c>
      <c r="E267" s="346">
        <v>591</v>
      </c>
      <c r="F267" s="346">
        <v>2061</v>
      </c>
      <c r="G267" s="346">
        <v>281</v>
      </c>
      <c r="H267" s="346">
        <v>34587</v>
      </c>
      <c r="I267" s="345">
        <v>34306</v>
      </c>
      <c r="J267" s="345">
        <v>12</v>
      </c>
      <c r="K267" s="347">
        <v>78.84</v>
      </c>
      <c r="L267" s="347">
        <v>78.48</v>
      </c>
      <c r="M267" s="347">
        <v>6.94</v>
      </c>
      <c r="N267" s="347">
        <v>80.17</v>
      </c>
      <c r="O267" s="348">
        <v>29341</v>
      </c>
      <c r="P267" s="345">
        <v>83.55</v>
      </c>
      <c r="Q267" s="345">
        <v>75.680000000000007</v>
      </c>
      <c r="R267" s="345">
        <v>37.630000000000003</v>
      </c>
      <c r="S267" s="345">
        <v>120.14</v>
      </c>
      <c r="T267" s="345">
        <v>1985</v>
      </c>
      <c r="U267" s="345">
        <v>97.8</v>
      </c>
      <c r="V267" s="345">
        <v>1945</v>
      </c>
      <c r="W267" s="345">
        <v>186.79</v>
      </c>
      <c r="X267" s="345">
        <v>528</v>
      </c>
      <c r="Y267" s="345">
        <v>0</v>
      </c>
      <c r="Z267" s="345">
        <v>189</v>
      </c>
      <c r="AA267" s="345">
        <v>0</v>
      </c>
      <c r="AB267" s="345">
        <v>16</v>
      </c>
      <c r="AC267" s="345">
        <v>9</v>
      </c>
      <c r="AD267" s="349">
        <v>31338</v>
      </c>
      <c r="AE267" s="349">
        <v>309</v>
      </c>
      <c r="AF267" s="349">
        <v>55</v>
      </c>
      <c r="AG267" s="349">
        <v>364</v>
      </c>
    </row>
    <row r="268" spans="1:33" x14ac:dyDescent="0.2">
      <c r="A268" s="344" t="s">
        <v>590</v>
      </c>
      <c r="B268" s="350" t="s">
        <v>591</v>
      </c>
      <c r="C268" s="346">
        <v>3049</v>
      </c>
      <c r="D268" s="346">
        <v>1</v>
      </c>
      <c r="E268" s="346">
        <v>134</v>
      </c>
      <c r="F268" s="346">
        <v>307</v>
      </c>
      <c r="G268" s="346">
        <v>277</v>
      </c>
      <c r="H268" s="346">
        <v>3768</v>
      </c>
      <c r="I268" s="345">
        <v>3491</v>
      </c>
      <c r="J268" s="345">
        <v>54</v>
      </c>
      <c r="K268" s="347">
        <v>111.25</v>
      </c>
      <c r="L268" s="347">
        <v>108.01</v>
      </c>
      <c r="M268" s="347">
        <v>5.89</v>
      </c>
      <c r="N268" s="347">
        <v>114.44</v>
      </c>
      <c r="O268" s="348">
        <v>2978</v>
      </c>
      <c r="P268" s="345">
        <v>110.06</v>
      </c>
      <c r="Q268" s="345">
        <v>87.79</v>
      </c>
      <c r="R268" s="345">
        <v>30.34</v>
      </c>
      <c r="S268" s="345">
        <v>139.74</v>
      </c>
      <c r="T268" s="345">
        <v>410</v>
      </c>
      <c r="U268" s="345">
        <v>219.22</v>
      </c>
      <c r="V268" s="345">
        <v>68</v>
      </c>
      <c r="W268" s="345">
        <v>0</v>
      </c>
      <c r="X268" s="345">
        <v>0</v>
      </c>
      <c r="Y268" s="345">
        <v>6</v>
      </c>
      <c r="Z268" s="345">
        <v>0</v>
      </c>
      <c r="AA268" s="345">
        <v>1</v>
      </c>
      <c r="AB268" s="345">
        <v>24</v>
      </c>
      <c r="AC268" s="345">
        <v>2</v>
      </c>
      <c r="AD268" s="349">
        <v>3049</v>
      </c>
      <c r="AE268" s="349">
        <v>15</v>
      </c>
      <c r="AF268" s="349">
        <v>7</v>
      </c>
      <c r="AG268" s="349">
        <v>22</v>
      </c>
    </row>
    <row r="269" spans="1:33" x14ac:dyDescent="0.2">
      <c r="A269" s="344" t="s">
        <v>592</v>
      </c>
      <c r="B269" s="350" t="s">
        <v>593</v>
      </c>
      <c r="C269" s="346">
        <v>4612</v>
      </c>
      <c r="D269" s="346">
        <v>8</v>
      </c>
      <c r="E269" s="346">
        <v>385</v>
      </c>
      <c r="F269" s="346">
        <v>952</v>
      </c>
      <c r="G269" s="346">
        <v>767</v>
      </c>
      <c r="H269" s="346">
        <v>6724</v>
      </c>
      <c r="I269" s="345">
        <v>5957</v>
      </c>
      <c r="J269" s="345">
        <v>8</v>
      </c>
      <c r="K269" s="347">
        <v>117.09</v>
      </c>
      <c r="L269" s="347">
        <v>116.35</v>
      </c>
      <c r="M269" s="347">
        <v>8.3800000000000008</v>
      </c>
      <c r="N269" s="347">
        <v>124.84</v>
      </c>
      <c r="O269" s="348">
        <v>4077</v>
      </c>
      <c r="P269" s="345">
        <v>122.13</v>
      </c>
      <c r="Q269" s="345">
        <v>104.22</v>
      </c>
      <c r="R269" s="345">
        <v>41.54</v>
      </c>
      <c r="S269" s="345">
        <v>157.46</v>
      </c>
      <c r="T269" s="345">
        <v>822</v>
      </c>
      <c r="U269" s="345">
        <v>179.23</v>
      </c>
      <c r="V269" s="345">
        <v>339</v>
      </c>
      <c r="W269" s="345">
        <v>210.86</v>
      </c>
      <c r="X269" s="345">
        <v>93</v>
      </c>
      <c r="Y269" s="345">
        <v>0</v>
      </c>
      <c r="Z269" s="345">
        <v>0</v>
      </c>
      <c r="AA269" s="345">
        <v>2</v>
      </c>
      <c r="AB269" s="345">
        <v>53</v>
      </c>
      <c r="AC269" s="345">
        <v>17</v>
      </c>
      <c r="AD269" s="349">
        <v>4450</v>
      </c>
      <c r="AE269" s="349">
        <v>6</v>
      </c>
      <c r="AF269" s="349">
        <v>10</v>
      </c>
      <c r="AG269" s="349">
        <v>16</v>
      </c>
    </row>
    <row r="270" spans="1:33" x14ac:dyDescent="0.2">
      <c r="A270" s="344" t="s">
        <v>594</v>
      </c>
      <c r="B270" s="350" t="s">
        <v>595</v>
      </c>
      <c r="C270" s="346">
        <v>7683</v>
      </c>
      <c r="D270" s="346">
        <v>0</v>
      </c>
      <c r="E270" s="346">
        <v>237</v>
      </c>
      <c r="F270" s="346">
        <v>437</v>
      </c>
      <c r="G270" s="346">
        <v>671</v>
      </c>
      <c r="H270" s="346">
        <v>9028</v>
      </c>
      <c r="I270" s="345">
        <v>8357</v>
      </c>
      <c r="J270" s="345">
        <v>4</v>
      </c>
      <c r="K270" s="347">
        <v>97.47</v>
      </c>
      <c r="L270" s="347">
        <v>96.72</v>
      </c>
      <c r="M270" s="347">
        <v>5.86</v>
      </c>
      <c r="N270" s="347">
        <v>100.14</v>
      </c>
      <c r="O270" s="348">
        <v>6523</v>
      </c>
      <c r="P270" s="345">
        <v>92.59</v>
      </c>
      <c r="Q270" s="345">
        <v>83.09</v>
      </c>
      <c r="R270" s="345">
        <v>46.28</v>
      </c>
      <c r="S270" s="345">
        <v>138.79</v>
      </c>
      <c r="T270" s="345">
        <v>605</v>
      </c>
      <c r="U270" s="345">
        <v>127.15</v>
      </c>
      <c r="V270" s="345">
        <v>1043</v>
      </c>
      <c r="W270" s="345">
        <v>0</v>
      </c>
      <c r="X270" s="345">
        <v>0</v>
      </c>
      <c r="Y270" s="345">
        <v>0</v>
      </c>
      <c r="Z270" s="345">
        <v>1</v>
      </c>
      <c r="AA270" s="345">
        <v>2</v>
      </c>
      <c r="AB270" s="345">
        <v>45</v>
      </c>
      <c r="AC270" s="345">
        <v>17</v>
      </c>
      <c r="AD270" s="349">
        <v>7594</v>
      </c>
      <c r="AE270" s="349">
        <v>22</v>
      </c>
      <c r="AF270" s="349">
        <v>35</v>
      </c>
      <c r="AG270" s="349">
        <v>57</v>
      </c>
    </row>
    <row r="271" spans="1:33" x14ac:dyDescent="0.2">
      <c r="A271" s="344" t="s">
        <v>596</v>
      </c>
      <c r="B271" s="350" t="s">
        <v>597</v>
      </c>
      <c r="C271" s="346">
        <v>4010</v>
      </c>
      <c r="D271" s="346">
        <v>12</v>
      </c>
      <c r="E271" s="346">
        <v>507</v>
      </c>
      <c r="F271" s="346">
        <v>804</v>
      </c>
      <c r="G271" s="346">
        <v>1051</v>
      </c>
      <c r="H271" s="346">
        <v>6384</v>
      </c>
      <c r="I271" s="345">
        <v>5333</v>
      </c>
      <c r="J271" s="345">
        <v>0</v>
      </c>
      <c r="K271" s="347">
        <v>95.92</v>
      </c>
      <c r="L271" s="347">
        <v>94.58</v>
      </c>
      <c r="M271" s="347">
        <v>7.45</v>
      </c>
      <c r="N271" s="347">
        <v>101.83</v>
      </c>
      <c r="O271" s="348">
        <v>3153</v>
      </c>
      <c r="P271" s="345">
        <v>83.83</v>
      </c>
      <c r="Q271" s="345">
        <v>81.12</v>
      </c>
      <c r="R271" s="345">
        <v>48.68</v>
      </c>
      <c r="S271" s="345">
        <v>129.91999999999999</v>
      </c>
      <c r="T271" s="345">
        <v>1183</v>
      </c>
      <c r="U271" s="345">
        <v>128.52000000000001</v>
      </c>
      <c r="V271" s="345">
        <v>614</v>
      </c>
      <c r="W271" s="345">
        <v>162.49</v>
      </c>
      <c r="X271" s="345">
        <v>79</v>
      </c>
      <c r="Y271" s="345">
        <v>57</v>
      </c>
      <c r="Z271" s="345">
        <v>1</v>
      </c>
      <c r="AA271" s="345">
        <v>1</v>
      </c>
      <c r="AB271" s="345">
        <v>15</v>
      </c>
      <c r="AC271" s="345">
        <v>31</v>
      </c>
      <c r="AD271" s="349">
        <v>3893</v>
      </c>
      <c r="AE271" s="349">
        <v>22</v>
      </c>
      <c r="AF271" s="349">
        <v>8</v>
      </c>
      <c r="AG271" s="349">
        <v>30</v>
      </c>
    </row>
    <row r="272" spans="1:33" x14ac:dyDescent="0.2">
      <c r="A272" s="344" t="s">
        <v>598</v>
      </c>
      <c r="B272" s="350" t="s">
        <v>599</v>
      </c>
      <c r="C272" s="346">
        <v>20145</v>
      </c>
      <c r="D272" s="346">
        <v>2</v>
      </c>
      <c r="E272" s="346">
        <v>556</v>
      </c>
      <c r="F272" s="346">
        <v>1518</v>
      </c>
      <c r="G272" s="346">
        <v>71</v>
      </c>
      <c r="H272" s="346">
        <v>22292</v>
      </c>
      <c r="I272" s="345">
        <v>22221</v>
      </c>
      <c r="J272" s="345">
        <v>30</v>
      </c>
      <c r="K272" s="347">
        <v>81.400000000000006</v>
      </c>
      <c r="L272" s="347">
        <v>78.569999999999993</v>
      </c>
      <c r="M272" s="347">
        <v>3.58</v>
      </c>
      <c r="N272" s="347">
        <v>84.66</v>
      </c>
      <c r="O272" s="348">
        <v>16748</v>
      </c>
      <c r="P272" s="345">
        <v>80.400000000000006</v>
      </c>
      <c r="Q272" s="345">
        <v>72.5</v>
      </c>
      <c r="R272" s="345">
        <v>33.78</v>
      </c>
      <c r="S272" s="345">
        <v>113.33</v>
      </c>
      <c r="T272" s="345">
        <v>1940</v>
      </c>
      <c r="U272" s="345">
        <v>103.72</v>
      </c>
      <c r="V272" s="345">
        <v>2368</v>
      </c>
      <c r="W272" s="345">
        <v>105.46</v>
      </c>
      <c r="X272" s="345">
        <v>19</v>
      </c>
      <c r="Y272" s="345">
        <v>0</v>
      </c>
      <c r="Z272" s="345">
        <v>46</v>
      </c>
      <c r="AA272" s="345">
        <v>0</v>
      </c>
      <c r="AB272" s="345">
        <v>1</v>
      </c>
      <c r="AC272" s="345">
        <v>4</v>
      </c>
      <c r="AD272" s="349">
        <v>19157</v>
      </c>
      <c r="AE272" s="349">
        <v>147</v>
      </c>
      <c r="AF272" s="349">
        <v>29</v>
      </c>
      <c r="AG272" s="349">
        <v>176</v>
      </c>
    </row>
    <row r="273" spans="1:33" x14ac:dyDescent="0.2">
      <c r="A273" s="344" t="s">
        <v>600</v>
      </c>
      <c r="B273" s="350" t="s">
        <v>601</v>
      </c>
      <c r="C273" s="346">
        <v>1501</v>
      </c>
      <c r="D273" s="346">
        <v>0</v>
      </c>
      <c r="E273" s="346">
        <v>123</v>
      </c>
      <c r="F273" s="346">
        <v>109</v>
      </c>
      <c r="G273" s="346">
        <v>166</v>
      </c>
      <c r="H273" s="346">
        <v>1899</v>
      </c>
      <c r="I273" s="345">
        <v>1733</v>
      </c>
      <c r="J273" s="345">
        <v>0</v>
      </c>
      <c r="K273" s="347">
        <v>87.96</v>
      </c>
      <c r="L273" s="347">
        <v>85.25</v>
      </c>
      <c r="M273" s="347">
        <v>5.01</v>
      </c>
      <c r="N273" s="347">
        <v>92.03</v>
      </c>
      <c r="O273" s="348">
        <v>1247</v>
      </c>
      <c r="P273" s="345">
        <v>82.44</v>
      </c>
      <c r="Q273" s="345">
        <v>80.3</v>
      </c>
      <c r="R273" s="345">
        <v>30.61</v>
      </c>
      <c r="S273" s="345">
        <v>113.05</v>
      </c>
      <c r="T273" s="345">
        <v>194</v>
      </c>
      <c r="U273" s="345">
        <v>107.31</v>
      </c>
      <c r="V273" s="345">
        <v>240</v>
      </c>
      <c r="W273" s="345">
        <v>0</v>
      </c>
      <c r="X273" s="345">
        <v>0</v>
      </c>
      <c r="Y273" s="345">
        <v>9</v>
      </c>
      <c r="Z273" s="345">
        <v>0</v>
      </c>
      <c r="AA273" s="345">
        <v>3</v>
      </c>
      <c r="AB273" s="345">
        <v>30</v>
      </c>
      <c r="AC273" s="345">
        <v>5</v>
      </c>
      <c r="AD273" s="349">
        <v>1486</v>
      </c>
      <c r="AE273" s="349">
        <v>18</v>
      </c>
      <c r="AF273" s="349">
        <v>0</v>
      </c>
      <c r="AG273" s="349">
        <v>18</v>
      </c>
    </row>
    <row r="274" spans="1:33" x14ac:dyDescent="0.2">
      <c r="A274" s="344" t="s">
        <v>602</v>
      </c>
      <c r="B274" s="350" t="s">
        <v>603</v>
      </c>
      <c r="C274" s="346">
        <v>1099</v>
      </c>
      <c r="D274" s="346">
        <v>0</v>
      </c>
      <c r="E274" s="346">
        <v>115</v>
      </c>
      <c r="F274" s="346">
        <v>99</v>
      </c>
      <c r="G274" s="346">
        <v>262</v>
      </c>
      <c r="H274" s="346">
        <v>1575</v>
      </c>
      <c r="I274" s="345">
        <v>1313</v>
      </c>
      <c r="J274" s="345">
        <v>0</v>
      </c>
      <c r="K274" s="347">
        <v>123.91</v>
      </c>
      <c r="L274" s="347">
        <v>120.76</v>
      </c>
      <c r="M274" s="347">
        <v>8.2100000000000009</v>
      </c>
      <c r="N274" s="347">
        <v>131.63999999999999</v>
      </c>
      <c r="O274" s="348">
        <v>707</v>
      </c>
      <c r="P274" s="345">
        <v>134.6</v>
      </c>
      <c r="Q274" s="345">
        <v>99.09</v>
      </c>
      <c r="R274" s="345">
        <v>58.97</v>
      </c>
      <c r="S274" s="345">
        <v>193.57</v>
      </c>
      <c r="T274" s="345">
        <v>86</v>
      </c>
      <c r="U274" s="345">
        <v>178.93</v>
      </c>
      <c r="V274" s="345">
        <v>335</v>
      </c>
      <c r="W274" s="345">
        <v>111.05</v>
      </c>
      <c r="X274" s="345">
        <v>7</v>
      </c>
      <c r="Y274" s="345">
        <v>0</v>
      </c>
      <c r="Z274" s="345">
        <v>0</v>
      </c>
      <c r="AA274" s="345">
        <v>0</v>
      </c>
      <c r="AB274" s="345">
        <v>19</v>
      </c>
      <c r="AC274" s="345">
        <v>1</v>
      </c>
      <c r="AD274" s="349">
        <v>1076</v>
      </c>
      <c r="AE274" s="349">
        <v>4</v>
      </c>
      <c r="AF274" s="349">
        <v>1</v>
      </c>
      <c r="AG274" s="349">
        <v>5</v>
      </c>
    </row>
    <row r="275" spans="1:33" x14ac:dyDescent="0.2">
      <c r="A275" s="344" t="s">
        <v>604</v>
      </c>
      <c r="B275" s="350" t="s">
        <v>605</v>
      </c>
      <c r="C275" s="346">
        <v>4176</v>
      </c>
      <c r="D275" s="346">
        <v>0</v>
      </c>
      <c r="E275" s="346">
        <v>188</v>
      </c>
      <c r="F275" s="346">
        <v>1374</v>
      </c>
      <c r="G275" s="346">
        <v>594</v>
      </c>
      <c r="H275" s="346">
        <v>6332</v>
      </c>
      <c r="I275" s="345">
        <v>5738</v>
      </c>
      <c r="J275" s="345">
        <v>0</v>
      </c>
      <c r="K275" s="347">
        <v>85.86</v>
      </c>
      <c r="L275" s="347">
        <v>85.14</v>
      </c>
      <c r="M275" s="347">
        <v>3.55</v>
      </c>
      <c r="N275" s="347">
        <v>89.26</v>
      </c>
      <c r="O275" s="348">
        <v>3396</v>
      </c>
      <c r="P275" s="345">
        <v>81.93</v>
      </c>
      <c r="Q275" s="345">
        <v>79.14</v>
      </c>
      <c r="R275" s="345">
        <v>14.24</v>
      </c>
      <c r="S275" s="345">
        <v>95.98</v>
      </c>
      <c r="T275" s="345">
        <v>1261</v>
      </c>
      <c r="U275" s="345">
        <v>126.59</v>
      </c>
      <c r="V275" s="345">
        <v>702</v>
      </c>
      <c r="W275" s="345">
        <v>97.35</v>
      </c>
      <c r="X275" s="345">
        <v>11</v>
      </c>
      <c r="Y275" s="345">
        <v>0</v>
      </c>
      <c r="Z275" s="345">
        <v>12</v>
      </c>
      <c r="AA275" s="345">
        <v>4</v>
      </c>
      <c r="AB275" s="345">
        <v>19</v>
      </c>
      <c r="AC275" s="345">
        <v>13</v>
      </c>
      <c r="AD275" s="349">
        <v>4149</v>
      </c>
      <c r="AE275" s="349">
        <v>16</v>
      </c>
      <c r="AF275" s="349">
        <v>16</v>
      </c>
      <c r="AG275" s="349">
        <v>32</v>
      </c>
    </row>
    <row r="276" spans="1:33" x14ac:dyDescent="0.2">
      <c r="A276" s="344" t="s">
        <v>606</v>
      </c>
      <c r="B276" s="350" t="s">
        <v>607</v>
      </c>
      <c r="C276" s="346">
        <v>11230</v>
      </c>
      <c r="D276" s="346">
        <v>0</v>
      </c>
      <c r="E276" s="346">
        <v>383</v>
      </c>
      <c r="F276" s="346">
        <v>1884</v>
      </c>
      <c r="G276" s="346">
        <v>462</v>
      </c>
      <c r="H276" s="346">
        <v>13959</v>
      </c>
      <c r="I276" s="345">
        <v>13497</v>
      </c>
      <c r="J276" s="345">
        <v>24</v>
      </c>
      <c r="K276" s="347">
        <v>88.74</v>
      </c>
      <c r="L276" s="347">
        <v>88.32</v>
      </c>
      <c r="M276" s="347">
        <v>6.09</v>
      </c>
      <c r="N276" s="347">
        <v>91.14</v>
      </c>
      <c r="O276" s="348">
        <v>9891</v>
      </c>
      <c r="P276" s="345">
        <v>87.08</v>
      </c>
      <c r="Q276" s="345">
        <v>84.82</v>
      </c>
      <c r="R276" s="345">
        <v>39.299999999999997</v>
      </c>
      <c r="S276" s="345">
        <v>125.84</v>
      </c>
      <c r="T276" s="345">
        <v>1932</v>
      </c>
      <c r="U276" s="345">
        <v>111.98</v>
      </c>
      <c r="V276" s="345">
        <v>1045</v>
      </c>
      <c r="W276" s="345">
        <v>208.09</v>
      </c>
      <c r="X276" s="345">
        <v>242</v>
      </c>
      <c r="Y276" s="345">
        <v>0</v>
      </c>
      <c r="Z276" s="345">
        <v>47</v>
      </c>
      <c r="AA276" s="345">
        <v>106</v>
      </c>
      <c r="AB276" s="345">
        <v>5</v>
      </c>
      <c r="AC276" s="345">
        <v>6</v>
      </c>
      <c r="AD276" s="349">
        <v>11190</v>
      </c>
      <c r="AE276" s="349">
        <v>28</v>
      </c>
      <c r="AF276" s="349">
        <v>202</v>
      </c>
      <c r="AG276" s="349">
        <v>230</v>
      </c>
    </row>
    <row r="277" spans="1:33" x14ac:dyDescent="0.2">
      <c r="A277" s="344" t="s">
        <v>608</v>
      </c>
      <c r="B277" s="350" t="s">
        <v>609</v>
      </c>
      <c r="C277" s="346">
        <v>2064</v>
      </c>
      <c r="D277" s="346">
        <v>0</v>
      </c>
      <c r="E277" s="346">
        <v>231</v>
      </c>
      <c r="F277" s="346">
        <v>551</v>
      </c>
      <c r="G277" s="346">
        <v>94</v>
      </c>
      <c r="H277" s="346">
        <v>2940</v>
      </c>
      <c r="I277" s="345">
        <v>2846</v>
      </c>
      <c r="J277" s="345">
        <v>1</v>
      </c>
      <c r="K277" s="347">
        <v>99.82</v>
      </c>
      <c r="L277" s="347">
        <v>98.36</v>
      </c>
      <c r="M277" s="347">
        <v>15.98</v>
      </c>
      <c r="N277" s="347">
        <v>113.11</v>
      </c>
      <c r="O277" s="348">
        <v>1833</v>
      </c>
      <c r="P277" s="345">
        <v>89.38</v>
      </c>
      <c r="Q277" s="345">
        <v>81.510000000000005</v>
      </c>
      <c r="R277" s="345">
        <v>34.119999999999997</v>
      </c>
      <c r="S277" s="345">
        <v>123.19</v>
      </c>
      <c r="T277" s="345">
        <v>765</v>
      </c>
      <c r="U277" s="345">
        <v>120.8</v>
      </c>
      <c r="V277" s="345">
        <v>183</v>
      </c>
      <c r="W277" s="345">
        <v>0</v>
      </c>
      <c r="X277" s="345">
        <v>0</v>
      </c>
      <c r="Y277" s="345">
        <v>27</v>
      </c>
      <c r="Z277" s="345">
        <v>1</v>
      </c>
      <c r="AA277" s="345">
        <v>2</v>
      </c>
      <c r="AB277" s="345">
        <v>1</v>
      </c>
      <c r="AC277" s="345">
        <v>3</v>
      </c>
      <c r="AD277" s="349">
        <v>2064</v>
      </c>
      <c r="AE277" s="349">
        <v>23</v>
      </c>
      <c r="AF277" s="349">
        <v>3</v>
      </c>
      <c r="AG277" s="349">
        <v>26</v>
      </c>
    </row>
    <row r="278" spans="1:33" x14ac:dyDescent="0.2">
      <c r="A278" s="344" t="s">
        <v>610</v>
      </c>
      <c r="B278" s="350" t="s">
        <v>611</v>
      </c>
      <c r="C278" s="346">
        <v>7234</v>
      </c>
      <c r="D278" s="346">
        <v>0</v>
      </c>
      <c r="E278" s="346">
        <v>331</v>
      </c>
      <c r="F278" s="346">
        <v>363</v>
      </c>
      <c r="G278" s="346">
        <v>811</v>
      </c>
      <c r="H278" s="346">
        <v>8739</v>
      </c>
      <c r="I278" s="345">
        <v>7928</v>
      </c>
      <c r="J278" s="345">
        <v>0</v>
      </c>
      <c r="K278" s="347">
        <v>106.78</v>
      </c>
      <c r="L278" s="347">
        <v>105.54</v>
      </c>
      <c r="M278" s="347">
        <v>3.31</v>
      </c>
      <c r="N278" s="347">
        <v>109.69</v>
      </c>
      <c r="O278" s="348">
        <v>6238</v>
      </c>
      <c r="P278" s="345">
        <v>93.13</v>
      </c>
      <c r="Q278" s="345">
        <v>90.82</v>
      </c>
      <c r="R278" s="345">
        <v>31.02</v>
      </c>
      <c r="S278" s="345">
        <v>123.49</v>
      </c>
      <c r="T278" s="345">
        <v>561</v>
      </c>
      <c r="U278" s="345">
        <v>141.41</v>
      </c>
      <c r="V278" s="345">
        <v>746</v>
      </c>
      <c r="W278" s="345">
        <v>110.46</v>
      </c>
      <c r="X278" s="345">
        <v>1</v>
      </c>
      <c r="Y278" s="345">
        <v>43</v>
      </c>
      <c r="Z278" s="345">
        <v>13</v>
      </c>
      <c r="AA278" s="345">
        <v>16</v>
      </c>
      <c r="AB278" s="345">
        <v>108</v>
      </c>
      <c r="AC278" s="345">
        <v>13</v>
      </c>
      <c r="AD278" s="349">
        <v>7059</v>
      </c>
      <c r="AE278" s="349">
        <v>21</v>
      </c>
      <c r="AF278" s="349">
        <v>44</v>
      </c>
      <c r="AG278" s="349">
        <v>65</v>
      </c>
    </row>
    <row r="279" spans="1:33" x14ac:dyDescent="0.2">
      <c r="A279" s="344" t="s">
        <v>612</v>
      </c>
      <c r="B279" s="350" t="s">
        <v>613</v>
      </c>
      <c r="C279" s="346">
        <v>4502</v>
      </c>
      <c r="D279" s="346">
        <v>0</v>
      </c>
      <c r="E279" s="346">
        <v>81</v>
      </c>
      <c r="F279" s="346">
        <v>557</v>
      </c>
      <c r="G279" s="346">
        <v>773</v>
      </c>
      <c r="H279" s="346">
        <v>5913</v>
      </c>
      <c r="I279" s="345">
        <v>5140</v>
      </c>
      <c r="J279" s="345">
        <v>0</v>
      </c>
      <c r="K279" s="347">
        <v>94.84</v>
      </c>
      <c r="L279" s="347">
        <v>93.71</v>
      </c>
      <c r="M279" s="347">
        <v>4.5</v>
      </c>
      <c r="N279" s="347">
        <v>97.25</v>
      </c>
      <c r="O279" s="348">
        <v>3852</v>
      </c>
      <c r="P279" s="345">
        <v>88.69</v>
      </c>
      <c r="Q279" s="345">
        <v>83.88</v>
      </c>
      <c r="R279" s="345">
        <v>37.39</v>
      </c>
      <c r="S279" s="345">
        <v>126.08</v>
      </c>
      <c r="T279" s="345">
        <v>629</v>
      </c>
      <c r="U279" s="345">
        <v>130.82</v>
      </c>
      <c r="V279" s="345">
        <v>640</v>
      </c>
      <c r="W279" s="345">
        <v>157.4</v>
      </c>
      <c r="X279" s="345">
        <v>4</v>
      </c>
      <c r="Y279" s="345">
        <v>0</v>
      </c>
      <c r="Z279" s="345">
        <v>1</v>
      </c>
      <c r="AA279" s="345">
        <v>1</v>
      </c>
      <c r="AB279" s="345">
        <v>110</v>
      </c>
      <c r="AC279" s="345">
        <v>11</v>
      </c>
      <c r="AD279" s="349">
        <v>4496</v>
      </c>
      <c r="AE279" s="349">
        <v>3</v>
      </c>
      <c r="AF279" s="349">
        <v>5</v>
      </c>
      <c r="AG279" s="349">
        <v>8</v>
      </c>
    </row>
    <row r="280" spans="1:33" x14ac:dyDescent="0.2">
      <c r="A280" s="344" t="s">
        <v>614</v>
      </c>
      <c r="B280" s="350" t="s">
        <v>615</v>
      </c>
      <c r="C280" s="346">
        <v>3923</v>
      </c>
      <c r="D280" s="346">
        <v>0</v>
      </c>
      <c r="E280" s="346">
        <v>138</v>
      </c>
      <c r="F280" s="346">
        <v>657</v>
      </c>
      <c r="G280" s="346">
        <v>128</v>
      </c>
      <c r="H280" s="346">
        <v>4846</v>
      </c>
      <c r="I280" s="345">
        <v>4718</v>
      </c>
      <c r="J280" s="345">
        <v>3</v>
      </c>
      <c r="K280" s="347">
        <v>91.07</v>
      </c>
      <c r="L280" s="347">
        <v>90.42</v>
      </c>
      <c r="M280" s="347">
        <v>7.96</v>
      </c>
      <c r="N280" s="347">
        <v>96.86</v>
      </c>
      <c r="O280" s="348">
        <v>3615</v>
      </c>
      <c r="P280" s="345">
        <v>96.08</v>
      </c>
      <c r="Q280" s="345">
        <v>82.62</v>
      </c>
      <c r="R280" s="345">
        <v>44.29</v>
      </c>
      <c r="S280" s="345">
        <v>139.62</v>
      </c>
      <c r="T280" s="345">
        <v>772</v>
      </c>
      <c r="U280" s="345">
        <v>115.95</v>
      </c>
      <c r="V280" s="345">
        <v>281</v>
      </c>
      <c r="W280" s="345">
        <v>0</v>
      </c>
      <c r="X280" s="345">
        <v>0</v>
      </c>
      <c r="Y280" s="345">
        <v>0</v>
      </c>
      <c r="Z280" s="345">
        <v>1</v>
      </c>
      <c r="AA280" s="345">
        <v>44</v>
      </c>
      <c r="AB280" s="345">
        <v>1</v>
      </c>
      <c r="AC280" s="345">
        <v>2</v>
      </c>
      <c r="AD280" s="349">
        <v>3923</v>
      </c>
      <c r="AE280" s="349">
        <v>12</v>
      </c>
      <c r="AF280" s="349">
        <v>47</v>
      </c>
      <c r="AG280" s="349">
        <v>59</v>
      </c>
    </row>
    <row r="281" spans="1:33" x14ac:dyDescent="0.2">
      <c r="A281" s="344" t="s">
        <v>616</v>
      </c>
      <c r="B281" s="350" t="s">
        <v>617</v>
      </c>
      <c r="C281" s="346">
        <v>4642</v>
      </c>
      <c r="D281" s="346">
        <v>38</v>
      </c>
      <c r="E281" s="346">
        <v>53</v>
      </c>
      <c r="F281" s="346">
        <v>873</v>
      </c>
      <c r="G281" s="346">
        <v>213</v>
      </c>
      <c r="H281" s="346">
        <v>5819</v>
      </c>
      <c r="I281" s="345">
        <v>5606</v>
      </c>
      <c r="J281" s="345">
        <v>14</v>
      </c>
      <c r="K281" s="347">
        <v>112.24</v>
      </c>
      <c r="L281" s="347">
        <v>111.66</v>
      </c>
      <c r="M281" s="347">
        <v>6.63</v>
      </c>
      <c r="N281" s="347">
        <v>115.25</v>
      </c>
      <c r="O281" s="348">
        <v>4379</v>
      </c>
      <c r="P281" s="345">
        <v>98.76</v>
      </c>
      <c r="Q281" s="345">
        <v>97.57</v>
      </c>
      <c r="R281" s="345">
        <v>19.59</v>
      </c>
      <c r="S281" s="345">
        <v>115.89</v>
      </c>
      <c r="T281" s="345">
        <v>899</v>
      </c>
      <c r="U281" s="345">
        <v>161.76</v>
      </c>
      <c r="V281" s="345">
        <v>181</v>
      </c>
      <c r="W281" s="345">
        <v>0</v>
      </c>
      <c r="X281" s="345">
        <v>0</v>
      </c>
      <c r="Y281" s="345">
        <v>20</v>
      </c>
      <c r="Z281" s="345">
        <v>10</v>
      </c>
      <c r="AA281" s="345">
        <v>0</v>
      </c>
      <c r="AB281" s="345">
        <v>20</v>
      </c>
      <c r="AC281" s="345">
        <v>7</v>
      </c>
      <c r="AD281" s="349">
        <v>4630</v>
      </c>
      <c r="AE281" s="349">
        <v>12</v>
      </c>
      <c r="AF281" s="349">
        <v>57</v>
      </c>
      <c r="AG281" s="349">
        <v>69</v>
      </c>
    </row>
    <row r="282" spans="1:33" x14ac:dyDescent="0.2">
      <c r="A282" s="344" t="s">
        <v>618</v>
      </c>
      <c r="B282" s="350" t="s">
        <v>619</v>
      </c>
      <c r="C282" s="346">
        <v>1857</v>
      </c>
      <c r="D282" s="346">
        <v>0</v>
      </c>
      <c r="E282" s="346">
        <v>97</v>
      </c>
      <c r="F282" s="346">
        <v>91</v>
      </c>
      <c r="G282" s="346">
        <v>339</v>
      </c>
      <c r="H282" s="346">
        <v>2384</v>
      </c>
      <c r="I282" s="345">
        <v>2045</v>
      </c>
      <c r="J282" s="345">
        <v>5</v>
      </c>
      <c r="K282" s="347">
        <v>102.69</v>
      </c>
      <c r="L282" s="347">
        <v>104.37</v>
      </c>
      <c r="M282" s="347">
        <v>7.81</v>
      </c>
      <c r="N282" s="347">
        <v>107.88</v>
      </c>
      <c r="O282" s="348">
        <v>1193</v>
      </c>
      <c r="P282" s="345">
        <v>109.31</v>
      </c>
      <c r="Q282" s="345">
        <v>99.79</v>
      </c>
      <c r="R282" s="345">
        <v>63.75</v>
      </c>
      <c r="S282" s="345">
        <v>165.51</v>
      </c>
      <c r="T282" s="345">
        <v>152</v>
      </c>
      <c r="U282" s="345">
        <v>156.02000000000001</v>
      </c>
      <c r="V282" s="345">
        <v>509</v>
      </c>
      <c r="W282" s="345">
        <v>0</v>
      </c>
      <c r="X282" s="345">
        <v>0</v>
      </c>
      <c r="Y282" s="345">
        <v>8</v>
      </c>
      <c r="Z282" s="345">
        <v>2</v>
      </c>
      <c r="AA282" s="345">
        <v>0</v>
      </c>
      <c r="AB282" s="345">
        <v>37</v>
      </c>
      <c r="AC282" s="345">
        <v>11</v>
      </c>
      <c r="AD282" s="349">
        <v>1753</v>
      </c>
      <c r="AE282" s="349">
        <v>8</v>
      </c>
      <c r="AF282" s="349">
        <v>1</v>
      </c>
      <c r="AG282" s="349">
        <v>9</v>
      </c>
    </row>
    <row r="283" spans="1:33" x14ac:dyDescent="0.2">
      <c r="A283" s="344" t="s">
        <v>620</v>
      </c>
      <c r="B283" s="350" t="s">
        <v>621</v>
      </c>
      <c r="C283" s="346">
        <v>7661</v>
      </c>
      <c r="D283" s="346">
        <v>4</v>
      </c>
      <c r="E283" s="346">
        <v>140</v>
      </c>
      <c r="F283" s="346">
        <v>632</v>
      </c>
      <c r="G283" s="346">
        <v>1026</v>
      </c>
      <c r="H283" s="346">
        <v>9463</v>
      </c>
      <c r="I283" s="345">
        <v>8437</v>
      </c>
      <c r="J283" s="345">
        <v>0</v>
      </c>
      <c r="K283" s="347">
        <v>113.08</v>
      </c>
      <c r="L283" s="347">
        <v>113.06</v>
      </c>
      <c r="M283" s="347">
        <v>7.58</v>
      </c>
      <c r="N283" s="347">
        <v>114.24</v>
      </c>
      <c r="O283" s="348">
        <v>6453</v>
      </c>
      <c r="P283" s="345">
        <v>96.09</v>
      </c>
      <c r="Q283" s="345">
        <v>96.92</v>
      </c>
      <c r="R283" s="345">
        <v>29.8</v>
      </c>
      <c r="S283" s="345">
        <v>121.95</v>
      </c>
      <c r="T283" s="345">
        <v>568</v>
      </c>
      <c r="U283" s="345">
        <v>143.77000000000001</v>
      </c>
      <c r="V283" s="345">
        <v>1113</v>
      </c>
      <c r="W283" s="345">
        <v>209.12</v>
      </c>
      <c r="X283" s="345">
        <v>109</v>
      </c>
      <c r="Y283" s="345">
        <v>0</v>
      </c>
      <c r="Z283" s="345">
        <v>1</v>
      </c>
      <c r="AA283" s="345">
        <v>8</v>
      </c>
      <c r="AB283" s="345">
        <v>76</v>
      </c>
      <c r="AC283" s="345">
        <v>13</v>
      </c>
      <c r="AD283" s="349">
        <v>7641</v>
      </c>
      <c r="AE283" s="349">
        <v>15</v>
      </c>
      <c r="AF283" s="349">
        <v>31</v>
      </c>
      <c r="AG283" s="349">
        <v>46</v>
      </c>
    </row>
    <row r="284" spans="1:33" x14ac:dyDescent="0.2">
      <c r="A284" s="344" t="s">
        <v>622</v>
      </c>
      <c r="B284" s="350" t="s">
        <v>623</v>
      </c>
      <c r="C284" s="346">
        <v>4279</v>
      </c>
      <c r="D284" s="346">
        <v>11</v>
      </c>
      <c r="E284" s="346">
        <v>295</v>
      </c>
      <c r="F284" s="346">
        <v>910</v>
      </c>
      <c r="G284" s="346">
        <v>546</v>
      </c>
      <c r="H284" s="346">
        <v>6041</v>
      </c>
      <c r="I284" s="345">
        <v>5495</v>
      </c>
      <c r="J284" s="345">
        <v>6</v>
      </c>
      <c r="K284" s="347">
        <v>88.88</v>
      </c>
      <c r="L284" s="347">
        <v>85.89</v>
      </c>
      <c r="M284" s="347">
        <v>5.6</v>
      </c>
      <c r="N284" s="347">
        <v>93.65</v>
      </c>
      <c r="O284" s="348">
        <v>3807</v>
      </c>
      <c r="P284" s="345">
        <v>87.07</v>
      </c>
      <c r="Q284" s="345">
        <v>79.58</v>
      </c>
      <c r="R284" s="345">
        <v>36.72</v>
      </c>
      <c r="S284" s="345">
        <v>122.36</v>
      </c>
      <c r="T284" s="345">
        <v>949</v>
      </c>
      <c r="U284" s="345">
        <v>116.47</v>
      </c>
      <c r="V284" s="345">
        <v>458</v>
      </c>
      <c r="W284" s="345">
        <v>175.61</v>
      </c>
      <c r="X284" s="345">
        <v>3</v>
      </c>
      <c r="Y284" s="345">
        <v>0</v>
      </c>
      <c r="Z284" s="345">
        <v>12</v>
      </c>
      <c r="AA284" s="345">
        <v>1</v>
      </c>
      <c r="AB284" s="345">
        <v>2</v>
      </c>
      <c r="AC284" s="345">
        <v>9</v>
      </c>
      <c r="AD284" s="349">
        <v>4279</v>
      </c>
      <c r="AE284" s="349">
        <v>19</v>
      </c>
      <c r="AF284" s="349">
        <v>15</v>
      </c>
      <c r="AG284" s="349">
        <v>34</v>
      </c>
    </row>
    <row r="285" spans="1:33" x14ac:dyDescent="0.2">
      <c r="A285" s="344" t="s">
        <v>624</v>
      </c>
      <c r="B285" s="350" t="s">
        <v>625</v>
      </c>
      <c r="C285" s="346">
        <v>2374</v>
      </c>
      <c r="D285" s="346">
        <v>3</v>
      </c>
      <c r="E285" s="346">
        <v>46</v>
      </c>
      <c r="F285" s="346">
        <v>386</v>
      </c>
      <c r="G285" s="346">
        <v>191</v>
      </c>
      <c r="H285" s="346">
        <v>3000</v>
      </c>
      <c r="I285" s="345">
        <v>2809</v>
      </c>
      <c r="J285" s="345">
        <v>0</v>
      </c>
      <c r="K285" s="347">
        <v>82.68</v>
      </c>
      <c r="L285" s="347">
        <v>80.09</v>
      </c>
      <c r="M285" s="347">
        <v>3.21</v>
      </c>
      <c r="N285" s="347">
        <v>84.46</v>
      </c>
      <c r="O285" s="348">
        <v>2264</v>
      </c>
      <c r="P285" s="345">
        <v>72.489999999999995</v>
      </c>
      <c r="Q285" s="345">
        <v>67.03</v>
      </c>
      <c r="R285" s="345">
        <v>31.37</v>
      </c>
      <c r="S285" s="345">
        <v>98.46</v>
      </c>
      <c r="T285" s="345">
        <v>348</v>
      </c>
      <c r="U285" s="345">
        <v>105.4</v>
      </c>
      <c r="V285" s="345">
        <v>113</v>
      </c>
      <c r="W285" s="345">
        <v>181.12</v>
      </c>
      <c r="X285" s="345">
        <v>41</v>
      </c>
      <c r="Y285" s="345">
        <v>16</v>
      </c>
      <c r="Z285" s="345">
        <v>4</v>
      </c>
      <c r="AA285" s="345">
        <v>8</v>
      </c>
      <c r="AB285" s="345">
        <v>0</v>
      </c>
      <c r="AC285" s="345">
        <v>3</v>
      </c>
      <c r="AD285" s="349">
        <v>2362</v>
      </c>
      <c r="AE285" s="349">
        <v>6</v>
      </c>
      <c r="AF285" s="349">
        <v>6</v>
      </c>
      <c r="AG285" s="349">
        <v>12</v>
      </c>
    </row>
    <row r="286" spans="1:33" x14ac:dyDescent="0.2">
      <c r="A286" s="344" t="s">
        <v>626</v>
      </c>
      <c r="B286" s="350" t="s">
        <v>627</v>
      </c>
      <c r="C286" s="346">
        <v>29636</v>
      </c>
      <c r="D286" s="346">
        <v>110</v>
      </c>
      <c r="E286" s="346">
        <v>1484</v>
      </c>
      <c r="F286" s="346">
        <v>793</v>
      </c>
      <c r="G286" s="346">
        <v>2987</v>
      </c>
      <c r="H286" s="346">
        <v>35010</v>
      </c>
      <c r="I286" s="345">
        <v>32023</v>
      </c>
      <c r="J286" s="345">
        <v>103</v>
      </c>
      <c r="K286" s="347">
        <v>124.14</v>
      </c>
      <c r="L286" s="347">
        <v>127.84</v>
      </c>
      <c r="M286" s="347">
        <v>15.62</v>
      </c>
      <c r="N286" s="347">
        <v>138.53</v>
      </c>
      <c r="O286" s="348">
        <v>25491</v>
      </c>
      <c r="P286" s="345">
        <v>110.67</v>
      </c>
      <c r="Q286" s="345">
        <v>111.5</v>
      </c>
      <c r="R286" s="345">
        <v>61.6</v>
      </c>
      <c r="S286" s="345">
        <v>162.09</v>
      </c>
      <c r="T286" s="345">
        <v>1833</v>
      </c>
      <c r="U286" s="345">
        <v>199.72</v>
      </c>
      <c r="V286" s="345">
        <v>2341</v>
      </c>
      <c r="W286" s="345">
        <v>213.69</v>
      </c>
      <c r="X286" s="345">
        <v>154</v>
      </c>
      <c r="Y286" s="345">
        <v>0</v>
      </c>
      <c r="Z286" s="345">
        <v>35</v>
      </c>
      <c r="AA286" s="345">
        <v>113</v>
      </c>
      <c r="AB286" s="345">
        <v>54</v>
      </c>
      <c r="AC286" s="345">
        <v>122</v>
      </c>
      <c r="AD286" s="349">
        <v>28263</v>
      </c>
      <c r="AE286" s="349">
        <v>293</v>
      </c>
      <c r="AF286" s="349">
        <v>251</v>
      </c>
      <c r="AG286" s="349">
        <v>544</v>
      </c>
    </row>
    <row r="287" spans="1:33" x14ac:dyDescent="0.2">
      <c r="A287" s="344" t="s">
        <v>628</v>
      </c>
      <c r="B287" s="350" t="s">
        <v>629</v>
      </c>
      <c r="C287" s="346">
        <v>11721</v>
      </c>
      <c r="D287" s="346">
        <v>0</v>
      </c>
      <c r="E287" s="346">
        <v>491</v>
      </c>
      <c r="F287" s="346">
        <v>3342</v>
      </c>
      <c r="G287" s="346">
        <v>496</v>
      </c>
      <c r="H287" s="346">
        <v>16050</v>
      </c>
      <c r="I287" s="345">
        <v>15554</v>
      </c>
      <c r="J287" s="345">
        <v>32</v>
      </c>
      <c r="K287" s="347">
        <v>87.19</v>
      </c>
      <c r="L287" s="347">
        <v>87.92</v>
      </c>
      <c r="M287" s="347">
        <v>4.93</v>
      </c>
      <c r="N287" s="347">
        <v>90.92</v>
      </c>
      <c r="O287" s="348">
        <v>9803</v>
      </c>
      <c r="P287" s="345">
        <v>89.26</v>
      </c>
      <c r="Q287" s="345">
        <v>85.87</v>
      </c>
      <c r="R287" s="345">
        <v>22.03</v>
      </c>
      <c r="S287" s="345">
        <v>111.22</v>
      </c>
      <c r="T287" s="345">
        <v>3633</v>
      </c>
      <c r="U287" s="345">
        <v>119.69</v>
      </c>
      <c r="V287" s="345">
        <v>1846</v>
      </c>
      <c r="W287" s="345">
        <v>149.78</v>
      </c>
      <c r="X287" s="345">
        <v>137</v>
      </c>
      <c r="Y287" s="345">
        <v>0</v>
      </c>
      <c r="Z287" s="345">
        <v>59</v>
      </c>
      <c r="AA287" s="345">
        <v>3</v>
      </c>
      <c r="AB287" s="345">
        <v>3</v>
      </c>
      <c r="AC287" s="345">
        <v>28</v>
      </c>
      <c r="AD287" s="349">
        <v>11699</v>
      </c>
      <c r="AE287" s="349">
        <v>37</v>
      </c>
      <c r="AF287" s="349">
        <v>89</v>
      </c>
      <c r="AG287" s="349">
        <v>126</v>
      </c>
    </row>
    <row r="288" spans="1:33" x14ac:dyDescent="0.2">
      <c r="A288" s="344" t="s">
        <v>630</v>
      </c>
      <c r="B288" s="350" t="s">
        <v>631</v>
      </c>
      <c r="C288" s="346">
        <v>6256</v>
      </c>
      <c r="D288" s="346">
        <v>0</v>
      </c>
      <c r="E288" s="346">
        <v>159</v>
      </c>
      <c r="F288" s="346">
        <v>791</v>
      </c>
      <c r="G288" s="346">
        <v>479</v>
      </c>
      <c r="H288" s="346">
        <v>7685</v>
      </c>
      <c r="I288" s="345">
        <v>7206</v>
      </c>
      <c r="J288" s="345">
        <v>6</v>
      </c>
      <c r="K288" s="347">
        <v>109.77</v>
      </c>
      <c r="L288" s="347">
        <v>105.08</v>
      </c>
      <c r="M288" s="347">
        <v>3.77</v>
      </c>
      <c r="N288" s="347">
        <v>112.96</v>
      </c>
      <c r="O288" s="348">
        <v>5504</v>
      </c>
      <c r="P288" s="345">
        <v>100.43</v>
      </c>
      <c r="Q288" s="345">
        <v>91.33</v>
      </c>
      <c r="R288" s="345">
        <v>30.01</v>
      </c>
      <c r="S288" s="345">
        <v>129.22999999999999</v>
      </c>
      <c r="T288" s="345">
        <v>696</v>
      </c>
      <c r="U288" s="345">
        <v>153.22999999999999</v>
      </c>
      <c r="V288" s="345">
        <v>577</v>
      </c>
      <c r="W288" s="345">
        <v>130.97</v>
      </c>
      <c r="X288" s="345">
        <v>121</v>
      </c>
      <c r="Y288" s="345">
        <v>0</v>
      </c>
      <c r="Z288" s="345">
        <v>3</v>
      </c>
      <c r="AA288" s="345">
        <v>14</v>
      </c>
      <c r="AB288" s="345">
        <v>34</v>
      </c>
      <c r="AC288" s="345">
        <v>9</v>
      </c>
      <c r="AD288" s="349">
        <v>6101</v>
      </c>
      <c r="AE288" s="349">
        <v>11</v>
      </c>
      <c r="AF288" s="349">
        <v>44</v>
      </c>
      <c r="AG288" s="349">
        <v>55</v>
      </c>
    </row>
    <row r="289" spans="1:33" x14ac:dyDescent="0.2">
      <c r="A289" s="344" t="s">
        <v>632</v>
      </c>
      <c r="B289" s="350" t="s">
        <v>633</v>
      </c>
      <c r="C289" s="346">
        <v>1721</v>
      </c>
      <c r="D289" s="346">
        <v>0</v>
      </c>
      <c r="E289" s="346">
        <v>69</v>
      </c>
      <c r="F289" s="346">
        <v>193</v>
      </c>
      <c r="G289" s="346">
        <v>527</v>
      </c>
      <c r="H289" s="346">
        <v>2510</v>
      </c>
      <c r="I289" s="345">
        <v>1983</v>
      </c>
      <c r="J289" s="345">
        <v>2</v>
      </c>
      <c r="K289" s="347">
        <v>107.85</v>
      </c>
      <c r="L289" s="347">
        <v>106.97</v>
      </c>
      <c r="M289" s="347">
        <v>6.64</v>
      </c>
      <c r="N289" s="347">
        <v>112.32</v>
      </c>
      <c r="O289" s="348">
        <v>1002</v>
      </c>
      <c r="P289" s="345">
        <v>100.97</v>
      </c>
      <c r="Q289" s="345">
        <v>88.38</v>
      </c>
      <c r="R289" s="345">
        <v>58.9</v>
      </c>
      <c r="S289" s="345">
        <v>159.63999999999999</v>
      </c>
      <c r="T289" s="345">
        <v>254</v>
      </c>
      <c r="U289" s="345">
        <v>154.78</v>
      </c>
      <c r="V289" s="345">
        <v>699</v>
      </c>
      <c r="W289" s="345">
        <v>147.15</v>
      </c>
      <c r="X289" s="345">
        <v>6</v>
      </c>
      <c r="Y289" s="345">
        <v>3</v>
      </c>
      <c r="Z289" s="345">
        <v>0</v>
      </c>
      <c r="AA289" s="345">
        <v>0</v>
      </c>
      <c r="AB289" s="345">
        <v>65</v>
      </c>
      <c r="AC289" s="345">
        <v>2</v>
      </c>
      <c r="AD289" s="349">
        <v>1714</v>
      </c>
      <c r="AE289" s="349">
        <v>19</v>
      </c>
      <c r="AF289" s="349">
        <v>4</v>
      </c>
      <c r="AG289" s="349">
        <v>23</v>
      </c>
    </row>
    <row r="290" spans="1:33" x14ac:dyDescent="0.2">
      <c r="A290" s="344" t="s">
        <v>634</v>
      </c>
      <c r="B290" s="350" t="s">
        <v>635</v>
      </c>
      <c r="C290" s="346">
        <v>6975</v>
      </c>
      <c r="D290" s="346">
        <v>15</v>
      </c>
      <c r="E290" s="346">
        <v>235</v>
      </c>
      <c r="F290" s="346">
        <v>433</v>
      </c>
      <c r="G290" s="346">
        <v>782</v>
      </c>
      <c r="H290" s="346">
        <v>8440</v>
      </c>
      <c r="I290" s="345">
        <v>7658</v>
      </c>
      <c r="J290" s="345">
        <v>7</v>
      </c>
      <c r="K290" s="347">
        <v>106.78</v>
      </c>
      <c r="L290" s="347">
        <v>107.61</v>
      </c>
      <c r="M290" s="347">
        <v>5.18</v>
      </c>
      <c r="N290" s="347">
        <v>108</v>
      </c>
      <c r="O290" s="348">
        <v>5484</v>
      </c>
      <c r="P290" s="345">
        <v>101.67</v>
      </c>
      <c r="Q290" s="345">
        <v>98.48</v>
      </c>
      <c r="R290" s="345">
        <v>28.66</v>
      </c>
      <c r="S290" s="345">
        <v>129.38999999999999</v>
      </c>
      <c r="T290" s="345">
        <v>612</v>
      </c>
      <c r="U290" s="345">
        <v>164.35</v>
      </c>
      <c r="V290" s="345">
        <v>1437</v>
      </c>
      <c r="W290" s="345">
        <v>184.01</v>
      </c>
      <c r="X290" s="345">
        <v>27</v>
      </c>
      <c r="Y290" s="345">
        <v>0</v>
      </c>
      <c r="Z290" s="345">
        <v>2</v>
      </c>
      <c r="AA290" s="345">
        <v>12</v>
      </c>
      <c r="AB290" s="345">
        <v>39</v>
      </c>
      <c r="AC290" s="345">
        <v>12</v>
      </c>
      <c r="AD290" s="349">
        <v>6917</v>
      </c>
      <c r="AE290" s="349">
        <v>34</v>
      </c>
      <c r="AF290" s="349">
        <v>11</v>
      </c>
      <c r="AG290" s="349">
        <v>45</v>
      </c>
    </row>
    <row r="291" spans="1:33" x14ac:dyDescent="0.2">
      <c r="A291" s="344" t="s">
        <v>636</v>
      </c>
      <c r="B291" s="350" t="s">
        <v>637</v>
      </c>
      <c r="C291" s="346">
        <v>32562</v>
      </c>
      <c r="D291" s="346">
        <v>0</v>
      </c>
      <c r="E291" s="346">
        <v>2158</v>
      </c>
      <c r="F291" s="346">
        <v>620</v>
      </c>
      <c r="G291" s="346">
        <v>775</v>
      </c>
      <c r="H291" s="346">
        <v>36115</v>
      </c>
      <c r="I291" s="345">
        <v>35340</v>
      </c>
      <c r="J291" s="345">
        <v>2</v>
      </c>
      <c r="K291" s="347">
        <v>82.16</v>
      </c>
      <c r="L291" s="347">
        <v>82.51</v>
      </c>
      <c r="M291" s="347">
        <v>5.72</v>
      </c>
      <c r="N291" s="347">
        <v>82.9</v>
      </c>
      <c r="O291" s="348">
        <v>29939</v>
      </c>
      <c r="P291" s="345">
        <v>80.459999999999994</v>
      </c>
      <c r="Q291" s="345">
        <v>77.17</v>
      </c>
      <c r="R291" s="345">
        <v>37.17</v>
      </c>
      <c r="S291" s="345">
        <v>117.47</v>
      </c>
      <c r="T291" s="345">
        <v>2601</v>
      </c>
      <c r="U291" s="345">
        <v>97.07</v>
      </c>
      <c r="V291" s="345">
        <v>2210</v>
      </c>
      <c r="W291" s="345">
        <v>148.81</v>
      </c>
      <c r="X291" s="345">
        <v>8</v>
      </c>
      <c r="Y291" s="345">
        <v>0</v>
      </c>
      <c r="Z291" s="345">
        <v>170</v>
      </c>
      <c r="AA291" s="345">
        <v>11</v>
      </c>
      <c r="AB291" s="345">
        <v>110</v>
      </c>
      <c r="AC291" s="345">
        <v>15</v>
      </c>
      <c r="AD291" s="349">
        <v>32523</v>
      </c>
      <c r="AE291" s="349">
        <v>121</v>
      </c>
      <c r="AF291" s="349">
        <v>151</v>
      </c>
      <c r="AG291" s="349">
        <v>272</v>
      </c>
    </row>
    <row r="292" spans="1:33" x14ac:dyDescent="0.2">
      <c r="A292" s="344" t="s">
        <v>638</v>
      </c>
      <c r="B292" s="350" t="s">
        <v>639</v>
      </c>
      <c r="C292" s="346">
        <v>26800</v>
      </c>
      <c r="D292" s="346">
        <v>14</v>
      </c>
      <c r="E292" s="346">
        <v>450</v>
      </c>
      <c r="F292" s="346">
        <v>793</v>
      </c>
      <c r="G292" s="346">
        <v>510</v>
      </c>
      <c r="H292" s="346">
        <v>28567</v>
      </c>
      <c r="I292" s="345">
        <v>28057</v>
      </c>
      <c r="J292" s="345">
        <v>18</v>
      </c>
      <c r="K292" s="347">
        <v>84.79</v>
      </c>
      <c r="L292" s="347">
        <v>84.89</v>
      </c>
      <c r="M292" s="347">
        <v>9.1999999999999993</v>
      </c>
      <c r="N292" s="347">
        <v>89.44</v>
      </c>
      <c r="O292" s="348">
        <v>24445</v>
      </c>
      <c r="P292" s="345">
        <v>106.44</v>
      </c>
      <c r="Q292" s="345">
        <v>96.24</v>
      </c>
      <c r="R292" s="345">
        <v>43.27</v>
      </c>
      <c r="S292" s="345">
        <v>147.88</v>
      </c>
      <c r="T292" s="345">
        <v>1037</v>
      </c>
      <c r="U292" s="345">
        <v>109.03</v>
      </c>
      <c r="V292" s="345">
        <v>2124</v>
      </c>
      <c r="W292" s="345">
        <v>144.09</v>
      </c>
      <c r="X292" s="345">
        <v>192</v>
      </c>
      <c r="Y292" s="345">
        <v>0</v>
      </c>
      <c r="Z292" s="345">
        <v>124</v>
      </c>
      <c r="AA292" s="345">
        <v>16</v>
      </c>
      <c r="AB292" s="345">
        <v>36</v>
      </c>
      <c r="AC292" s="345">
        <v>16</v>
      </c>
      <c r="AD292" s="349">
        <v>26743</v>
      </c>
      <c r="AE292" s="349">
        <v>128</v>
      </c>
      <c r="AF292" s="349">
        <v>64</v>
      </c>
      <c r="AG292" s="349">
        <v>192</v>
      </c>
    </row>
    <row r="293" spans="1:33" x14ac:dyDescent="0.2">
      <c r="A293" s="344" t="s">
        <v>640</v>
      </c>
      <c r="B293" s="350" t="s">
        <v>641</v>
      </c>
      <c r="C293" s="346">
        <v>10585</v>
      </c>
      <c r="D293" s="346">
        <v>2</v>
      </c>
      <c r="E293" s="346">
        <v>945</v>
      </c>
      <c r="F293" s="346">
        <v>841</v>
      </c>
      <c r="G293" s="346">
        <v>1383</v>
      </c>
      <c r="H293" s="346">
        <v>13756</v>
      </c>
      <c r="I293" s="345">
        <v>12373</v>
      </c>
      <c r="J293" s="345">
        <v>15</v>
      </c>
      <c r="K293" s="347">
        <v>116.49</v>
      </c>
      <c r="L293" s="347">
        <v>114.76</v>
      </c>
      <c r="M293" s="347">
        <v>10.17</v>
      </c>
      <c r="N293" s="347">
        <v>121.81</v>
      </c>
      <c r="O293" s="348">
        <v>8672</v>
      </c>
      <c r="P293" s="345">
        <v>102.64</v>
      </c>
      <c r="Q293" s="345">
        <v>95.16</v>
      </c>
      <c r="R293" s="345">
        <v>40.270000000000003</v>
      </c>
      <c r="S293" s="345">
        <v>124.6</v>
      </c>
      <c r="T293" s="345">
        <v>1212</v>
      </c>
      <c r="U293" s="345">
        <v>175.95</v>
      </c>
      <c r="V293" s="345">
        <v>1364</v>
      </c>
      <c r="W293" s="345">
        <v>187.93</v>
      </c>
      <c r="X293" s="345">
        <v>63</v>
      </c>
      <c r="Y293" s="345">
        <v>0</v>
      </c>
      <c r="Z293" s="345">
        <v>5</v>
      </c>
      <c r="AA293" s="345">
        <v>2</v>
      </c>
      <c r="AB293" s="345">
        <v>21</v>
      </c>
      <c r="AC293" s="345">
        <v>30</v>
      </c>
      <c r="AD293" s="349">
        <v>10099</v>
      </c>
      <c r="AE293" s="349">
        <v>80</v>
      </c>
      <c r="AF293" s="349">
        <v>35</v>
      </c>
      <c r="AG293" s="349">
        <v>115</v>
      </c>
    </row>
    <row r="294" spans="1:33" x14ac:dyDescent="0.2">
      <c r="A294" s="344" t="s">
        <v>642</v>
      </c>
      <c r="B294" s="350" t="s">
        <v>643</v>
      </c>
      <c r="C294" s="346">
        <v>8699</v>
      </c>
      <c r="D294" s="346">
        <v>67</v>
      </c>
      <c r="E294" s="346">
        <v>1131</v>
      </c>
      <c r="F294" s="346">
        <v>989</v>
      </c>
      <c r="G294" s="346">
        <v>2340</v>
      </c>
      <c r="H294" s="346">
        <v>13226</v>
      </c>
      <c r="I294" s="345">
        <v>10886</v>
      </c>
      <c r="J294" s="345">
        <v>349</v>
      </c>
      <c r="K294" s="347">
        <v>127.94</v>
      </c>
      <c r="L294" s="347">
        <v>135.38</v>
      </c>
      <c r="M294" s="347">
        <v>9.2899999999999991</v>
      </c>
      <c r="N294" s="347">
        <v>133.13</v>
      </c>
      <c r="O294" s="348">
        <v>7539</v>
      </c>
      <c r="P294" s="345">
        <v>133.78</v>
      </c>
      <c r="Q294" s="345">
        <v>128.28</v>
      </c>
      <c r="R294" s="345">
        <v>50.42</v>
      </c>
      <c r="S294" s="345">
        <v>175.19</v>
      </c>
      <c r="T294" s="345">
        <v>2009</v>
      </c>
      <c r="U294" s="345">
        <v>205.06</v>
      </c>
      <c r="V294" s="345">
        <v>720</v>
      </c>
      <c r="W294" s="345">
        <v>222.34</v>
      </c>
      <c r="X294" s="345">
        <v>27</v>
      </c>
      <c r="Y294" s="345">
        <v>45</v>
      </c>
      <c r="Z294" s="345">
        <v>0</v>
      </c>
      <c r="AA294" s="345">
        <v>13</v>
      </c>
      <c r="AB294" s="345">
        <v>113</v>
      </c>
      <c r="AC294" s="345">
        <v>58</v>
      </c>
      <c r="AD294" s="349">
        <v>8374</v>
      </c>
      <c r="AE294" s="349">
        <v>34</v>
      </c>
      <c r="AF294" s="349">
        <v>47</v>
      </c>
      <c r="AG294" s="349">
        <v>81</v>
      </c>
    </row>
    <row r="295" spans="1:33" x14ac:dyDescent="0.2">
      <c r="A295" s="344" t="s">
        <v>644</v>
      </c>
      <c r="B295" s="350" t="s">
        <v>645</v>
      </c>
      <c r="C295" s="346">
        <v>11638</v>
      </c>
      <c r="D295" s="346">
        <v>0</v>
      </c>
      <c r="E295" s="346">
        <v>498</v>
      </c>
      <c r="F295" s="346">
        <v>2360</v>
      </c>
      <c r="G295" s="346">
        <v>604</v>
      </c>
      <c r="H295" s="346">
        <v>15100</v>
      </c>
      <c r="I295" s="345">
        <v>14496</v>
      </c>
      <c r="J295" s="345">
        <v>163</v>
      </c>
      <c r="K295" s="347">
        <v>83.46</v>
      </c>
      <c r="L295" s="347">
        <v>84.63</v>
      </c>
      <c r="M295" s="347">
        <v>5.08</v>
      </c>
      <c r="N295" s="347">
        <v>85.03</v>
      </c>
      <c r="O295" s="348">
        <v>10912</v>
      </c>
      <c r="P295" s="345">
        <v>83.75</v>
      </c>
      <c r="Q295" s="345">
        <v>81.760000000000005</v>
      </c>
      <c r="R295" s="345">
        <v>30.4</v>
      </c>
      <c r="S295" s="345">
        <v>109.54</v>
      </c>
      <c r="T295" s="345">
        <v>2781</v>
      </c>
      <c r="U295" s="345">
        <v>104.46</v>
      </c>
      <c r="V295" s="345">
        <v>674</v>
      </c>
      <c r="W295" s="345">
        <v>98.91</v>
      </c>
      <c r="X295" s="345">
        <v>2</v>
      </c>
      <c r="Y295" s="345">
        <v>6</v>
      </c>
      <c r="Z295" s="345">
        <v>53</v>
      </c>
      <c r="AA295" s="345">
        <v>0</v>
      </c>
      <c r="AB295" s="345">
        <v>19</v>
      </c>
      <c r="AC295" s="345">
        <v>14</v>
      </c>
      <c r="AD295" s="349">
        <v>11638</v>
      </c>
      <c r="AE295" s="349">
        <v>48</v>
      </c>
      <c r="AF295" s="349">
        <v>27</v>
      </c>
      <c r="AG295" s="349">
        <v>75</v>
      </c>
    </row>
    <row r="296" spans="1:33" x14ac:dyDescent="0.2">
      <c r="A296" s="344" t="s">
        <v>646</v>
      </c>
      <c r="B296" s="350" t="s">
        <v>647</v>
      </c>
      <c r="C296" s="346">
        <v>2816</v>
      </c>
      <c r="D296" s="346">
        <v>0</v>
      </c>
      <c r="E296" s="346">
        <v>140</v>
      </c>
      <c r="F296" s="346">
        <v>627</v>
      </c>
      <c r="G296" s="346">
        <v>832</v>
      </c>
      <c r="H296" s="346">
        <v>4415</v>
      </c>
      <c r="I296" s="345">
        <v>3583</v>
      </c>
      <c r="J296" s="345">
        <v>3</v>
      </c>
      <c r="K296" s="347">
        <v>103.85</v>
      </c>
      <c r="L296" s="347">
        <v>102.94</v>
      </c>
      <c r="M296" s="347">
        <v>7.55</v>
      </c>
      <c r="N296" s="347">
        <v>110.3</v>
      </c>
      <c r="O296" s="348">
        <v>2218</v>
      </c>
      <c r="P296" s="345">
        <v>102.68</v>
      </c>
      <c r="Q296" s="345">
        <v>91</v>
      </c>
      <c r="R296" s="345">
        <v>47.04</v>
      </c>
      <c r="S296" s="345">
        <v>149.47</v>
      </c>
      <c r="T296" s="345">
        <v>564</v>
      </c>
      <c r="U296" s="345">
        <v>138.43</v>
      </c>
      <c r="V296" s="345">
        <v>529</v>
      </c>
      <c r="W296" s="345">
        <v>186.89</v>
      </c>
      <c r="X296" s="345">
        <v>126</v>
      </c>
      <c r="Y296" s="345">
        <v>0</v>
      </c>
      <c r="Z296" s="345">
        <v>1</v>
      </c>
      <c r="AA296" s="345">
        <v>37</v>
      </c>
      <c r="AB296" s="345">
        <v>99</v>
      </c>
      <c r="AC296" s="345">
        <v>11</v>
      </c>
      <c r="AD296" s="349">
        <v>2752</v>
      </c>
      <c r="AE296" s="349">
        <v>26</v>
      </c>
      <c r="AF296" s="349">
        <v>49</v>
      </c>
      <c r="AG296" s="349">
        <v>75</v>
      </c>
    </row>
    <row r="297" spans="1:33" x14ac:dyDescent="0.2">
      <c r="A297" s="344" t="s">
        <v>648</v>
      </c>
      <c r="B297" s="350" t="s">
        <v>649</v>
      </c>
      <c r="C297" s="346">
        <v>5456</v>
      </c>
      <c r="D297" s="346">
        <v>155</v>
      </c>
      <c r="E297" s="346">
        <v>386</v>
      </c>
      <c r="F297" s="346">
        <v>589</v>
      </c>
      <c r="G297" s="346">
        <v>367</v>
      </c>
      <c r="H297" s="346">
        <v>6953</v>
      </c>
      <c r="I297" s="345">
        <v>6586</v>
      </c>
      <c r="J297" s="345">
        <v>110</v>
      </c>
      <c r="K297" s="347">
        <v>113.3</v>
      </c>
      <c r="L297" s="347">
        <v>117.32</v>
      </c>
      <c r="M297" s="347">
        <v>9.59</v>
      </c>
      <c r="N297" s="347">
        <v>117.6</v>
      </c>
      <c r="O297" s="348">
        <v>4992</v>
      </c>
      <c r="P297" s="345">
        <v>91.22</v>
      </c>
      <c r="Q297" s="345">
        <v>90.61</v>
      </c>
      <c r="R297" s="345">
        <v>37.619999999999997</v>
      </c>
      <c r="S297" s="345">
        <v>128.52000000000001</v>
      </c>
      <c r="T297" s="345">
        <v>711</v>
      </c>
      <c r="U297" s="345">
        <v>174.03</v>
      </c>
      <c r="V297" s="345">
        <v>386</v>
      </c>
      <c r="W297" s="345">
        <v>160.68</v>
      </c>
      <c r="X297" s="345">
        <v>2</v>
      </c>
      <c r="Y297" s="345">
        <v>32</v>
      </c>
      <c r="Z297" s="345">
        <v>9</v>
      </c>
      <c r="AA297" s="345">
        <v>1</v>
      </c>
      <c r="AB297" s="345">
        <v>6</v>
      </c>
      <c r="AC297" s="345">
        <v>9</v>
      </c>
      <c r="AD297" s="349">
        <v>5437</v>
      </c>
      <c r="AE297" s="349">
        <v>19</v>
      </c>
      <c r="AF297" s="349">
        <v>27</v>
      </c>
      <c r="AG297" s="349">
        <v>46</v>
      </c>
    </row>
    <row r="298" spans="1:33" x14ac:dyDescent="0.2">
      <c r="A298" s="344" t="s">
        <v>650</v>
      </c>
      <c r="B298" s="350" t="s">
        <v>651</v>
      </c>
      <c r="C298" s="346">
        <v>1195</v>
      </c>
      <c r="D298" s="346">
        <v>0</v>
      </c>
      <c r="E298" s="346">
        <v>137</v>
      </c>
      <c r="F298" s="346">
        <v>164</v>
      </c>
      <c r="G298" s="346">
        <v>446</v>
      </c>
      <c r="H298" s="346">
        <v>1942</v>
      </c>
      <c r="I298" s="345">
        <v>1496</v>
      </c>
      <c r="J298" s="345">
        <v>3</v>
      </c>
      <c r="K298" s="347">
        <v>117.6</v>
      </c>
      <c r="L298" s="347">
        <v>114.33</v>
      </c>
      <c r="M298" s="347">
        <v>4.33</v>
      </c>
      <c r="N298" s="347">
        <v>121.58</v>
      </c>
      <c r="O298" s="348">
        <v>915</v>
      </c>
      <c r="P298" s="345">
        <v>112.89</v>
      </c>
      <c r="Q298" s="345">
        <v>96.84</v>
      </c>
      <c r="R298" s="345">
        <v>31.35</v>
      </c>
      <c r="S298" s="345">
        <v>143.33000000000001</v>
      </c>
      <c r="T298" s="345">
        <v>137</v>
      </c>
      <c r="U298" s="345">
        <v>189.13</v>
      </c>
      <c r="V298" s="345">
        <v>238</v>
      </c>
      <c r="W298" s="345">
        <v>109.9</v>
      </c>
      <c r="X298" s="345">
        <v>3</v>
      </c>
      <c r="Y298" s="345">
        <v>0</v>
      </c>
      <c r="Z298" s="345">
        <v>0</v>
      </c>
      <c r="AA298" s="345">
        <v>0</v>
      </c>
      <c r="AB298" s="345">
        <v>41</v>
      </c>
      <c r="AC298" s="345">
        <v>6</v>
      </c>
      <c r="AD298" s="349">
        <v>1144</v>
      </c>
      <c r="AE298" s="349">
        <v>17</v>
      </c>
      <c r="AF298" s="349">
        <v>4</v>
      </c>
      <c r="AG298" s="349">
        <v>21</v>
      </c>
    </row>
    <row r="299" spans="1:33" x14ac:dyDescent="0.2">
      <c r="A299" s="344" t="s">
        <v>652</v>
      </c>
      <c r="B299" s="350" t="s">
        <v>653</v>
      </c>
      <c r="C299" s="346">
        <v>2221</v>
      </c>
      <c r="D299" s="346">
        <v>0</v>
      </c>
      <c r="E299" s="346">
        <v>90</v>
      </c>
      <c r="F299" s="346">
        <v>307</v>
      </c>
      <c r="G299" s="346">
        <v>533</v>
      </c>
      <c r="H299" s="346">
        <v>3151</v>
      </c>
      <c r="I299" s="345">
        <v>2618</v>
      </c>
      <c r="J299" s="345">
        <v>1</v>
      </c>
      <c r="K299" s="347">
        <v>102.68</v>
      </c>
      <c r="L299" s="347">
        <v>100.9</v>
      </c>
      <c r="M299" s="347">
        <v>6.13</v>
      </c>
      <c r="N299" s="347">
        <v>107.36</v>
      </c>
      <c r="O299" s="348">
        <v>1379</v>
      </c>
      <c r="P299" s="345">
        <v>80.37</v>
      </c>
      <c r="Q299" s="345">
        <v>76.36</v>
      </c>
      <c r="R299" s="345">
        <v>31.56</v>
      </c>
      <c r="S299" s="345">
        <v>109.26</v>
      </c>
      <c r="T299" s="345">
        <v>236</v>
      </c>
      <c r="U299" s="345">
        <v>144.97999999999999</v>
      </c>
      <c r="V299" s="345">
        <v>825</v>
      </c>
      <c r="W299" s="345">
        <v>186.25</v>
      </c>
      <c r="X299" s="345">
        <v>55</v>
      </c>
      <c r="Y299" s="345">
        <v>26</v>
      </c>
      <c r="Z299" s="345">
        <v>0</v>
      </c>
      <c r="AA299" s="345">
        <v>0</v>
      </c>
      <c r="AB299" s="345">
        <v>42</v>
      </c>
      <c r="AC299" s="345">
        <v>7</v>
      </c>
      <c r="AD299" s="349">
        <v>2221</v>
      </c>
      <c r="AE299" s="349">
        <v>12</v>
      </c>
      <c r="AF299" s="349">
        <v>4</v>
      </c>
      <c r="AG299" s="349">
        <v>16</v>
      </c>
    </row>
    <row r="300" spans="1:33" x14ac:dyDescent="0.2">
      <c r="A300" s="344" t="s">
        <v>654</v>
      </c>
      <c r="B300" s="350" t="s">
        <v>655</v>
      </c>
      <c r="C300" s="346">
        <v>2754</v>
      </c>
      <c r="D300" s="346">
        <v>0</v>
      </c>
      <c r="E300" s="346">
        <v>315</v>
      </c>
      <c r="F300" s="346">
        <v>329</v>
      </c>
      <c r="G300" s="346">
        <v>549</v>
      </c>
      <c r="H300" s="346">
        <v>3947</v>
      </c>
      <c r="I300" s="345">
        <v>3398</v>
      </c>
      <c r="J300" s="345">
        <v>129</v>
      </c>
      <c r="K300" s="347">
        <v>110.5</v>
      </c>
      <c r="L300" s="347">
        <v>108.92</v>
      </c>
      <c r="M300" s="347">
        <v>7.98</v>
      </c>
      <c r="N300" s="347">
        <v>116.78</v>
      </c>
      <c r="O300" s="348">
        <v>2168</v>
      </c>
      <c r="P300" s="345">
        <v>100.09</v>
      </c>
      <c r="Q300" s="345">
        <v>91.43</v>
      </c>
      <c r="R300" s="345">
        <v>39.46</v>
      </c>
      <c r="S300" s="345">
        <v>138.88</v>
      </c>
      <c r="T300" s="345">
        <v>235</v>
      </c>
      <c r="U300" s="345">
        <v>150.83000000000001</v>
      </c>
      <c r="V300" s="345">
        <v>453</v>
      </c>
      <c r="W300" s="345">
        <v>0</v>
      </c>
      <c r="X300" s="345">
        <v>0</v>
      </c>
      <c r="Y300" s="345">
        <v>0</v>
      </c>
      <c r="Z300" s="345">
        <v>2</v>
      </c>
      <c r="AA300" s="345">
        <v>0</v>
      </c>
      <c r="AB300" s="345">
        <v>104</v>
      </c>
      <c r="AC300" s="345">
        <v>8</v>
      </c>
      <c r="AD300" s="349">
        <v>2611</v>
      </c>
      <c r="AE300" s="349">
        <v>12</v>
      </c>
      <c r="AF300" s="349">
        <v>8</v>
      </c>
      <c r="AG300" s="349">
        <v>20</v>
      </c>
    </row>
    <row r="301" spans="1:33" x14ac:dyDescent="0.2">
      <c r="A301" s="344" t="s">
        <v>656</v>
      </c>
      <c r="B301" s="350" t="s">
        <v>657</v>
      </c>
      <c r="C301" s="346">
        <v>7959</v>
      </c>
      <c r="D301" s="346">
        <v>0</v>
      </c>
      <c r="E301" s="346">
        <v>375</v>
      </c>
      <c r="F301" s="346">
        <v>788</v>
      </c>
      <c r="G301" s="346">
        <v>697</v>
      </c>
      <c r="H301" s="346">
        <v>9819</v>
      </c>
      <c r="I301" s="345">
        <v>9122</v>
      </c>
      <c r="J301" s="345">
        <v>0</v>
      </c>
      <c r="K301" s="347">
        <v>116.54</v>
      </c>
      <c r="L301" s="347">
        <v>117.88</v>
      </c>
      <c r="M301" s="347">
        <v>5.3</v>
      </c>
      <c r="N301" s="347">
        <v>119.35</v>
      </c>
      <c r="O301" s="348">
        <v>7564</v>
      </c>
      <c r="P301" s="345">
        <v>114.49</v>
      </c>
      <c r="Q301" s="345">
        <v>107.32</v>
      </c>
      <c r="R301" s="345">
        <v>29.37</v>
      </c>
      <c r="S301" s="345">
        <v>142.94999999999999</v>
      </c>
      <c r="T301" s="345">
        <v>998</v>
      </c>
      <c r="U301" s="345">
        <v>148.88999999999999</v>
      </c>
      <c r="V301" s="345">
        <v>382</v>
      </c>
      <c r="W301" s="345">
        <v>173.48</v>
      </c>
      <c r="X301" s="345">
        <v>81</v>
      </c>
      <c r="Y301" s="345">
        <v>0</v>
      </c>
      <c r="Z301" s="345">
        <v>1</v>
      </c>
      <c r="AA301" s="345">
        <v>12</v>
      </c>
      <c r="AB301" s="345">
        <v>13</v>
      </c>
      <c r="AC301" s="345">
        <v>12</v>
      </c>
      <c r="AD301" s="349">
        <v>7940</v>
      </c>
      <c r="AE301" s="349">
        <v>22</v>
      </c>
      <c r="AF301" s="349">
        <v>16</v>
      </c>
      <c r="AG301" s="349">
        <v>38</v>
      </c>
    </row>
    <row r="302" spans="1:33" x14ac:dyDescent="0.2">
      <c r="A302" s="344" t="s">
        <v>658</v>
      </c>
      <c r="B302" s="350" t="s">
        <v>659</v>
      </c>
      <c r="C302" s="346">
        <v>2122</v>
      </c>
      <c r="D302" s="346">
        <v>5</v>
      </c>
      <c r="E302" s="346">
        <v>38</v>
      </c>
      <c r="F302" s="346">
        <v>328</v>
      </c>
      <c r="G302" s="346">
        <v>117</v>
      </c>
      <c r="H302" s="346">
        <v>2610</v>
      </c>
      <c r="I302" s="345">
        <v>2493</v>
      </c>
      <c r="J302" s="345">
        <v>0</v>
      </c>
      <c r="K302" s="347">
        <v>90.8</v>
      </c>
      <c r="L302" s="347">
        <v>82.26</v>
      </c>
      <c r="M302" s="347">
        <v>4.09</v>
      </c>
      <c r="N302" s="347">
        <v>92.07</v>
      </c>
      <c r="O302" s="348">
        <v>1931</v>
      </c>
      <c r="P302" s="345">
        <v>84.12</v>
      </c>
      <c r="Q302" s="345">
        <v>73.989999999999995</v>
      </c>
      <c r="R302" s="345">
        <v>18.010000000000002</v>
      </c>
      <c r="S302" s="345">
        <v>101.62</v>
      </c>
      <c r="T302" s="345">
        <v>285</v>
      </c>
      <c r="U302" s="345">
        <v>115.9</v>
      </c>
      <c r="V302" s="345">
        <v>135</v>
      </c>
      <c r="W302" s="345">
        <v>82.86</v>
      </c>
      <c r="X302" s="345">
        <v>4</v>
      </c>
      <c r="Y302" s="345">
        <v>0</v>
      </c>
      <c r="Z302" s="345">
        <v>2</v>
      </c>
      <c r="AA302" s="345">
        <v>3</v>
      </c>
      <c r="AB302" s="345">
        <v>8</v>
      </c>
      <c r="AC302" s="345">
        <v>4</v>
      </c>
      <c r="AD302" s="349">
        <v>2048</v>
      </c>
      <c r="AE302" s="349">
        <v>8</v>
      </c>
      <c r="AF302" s="349">
        <v>6</v>
      </c>
      <c r="AG302" s="349">
        <v>14</v>
      </c>
    </row>
    <row r="303" spans="1:33" x14ac:dyDescent="0.2">
      <c r="A303" s="344" t="s">
        <v>660</v>
      </c>
      <c r="B303" s="350" t="s">
        <v>661</v>
      </c>
      <c r="C303" s="346">
        <v>779</v>
      </c>
      <c r="D303" s="346">
        <v>4</v>
      </c>
      <c r="E303" s="346">
        <v>200</v>
      </c>
      <c r="F303" s="346">
        <v>375</v>
      </c>
      <c r="G303" s="346">
        <v>337</v>
      </c>
      <c r="H303" s="346">
        <v>1695</v>
      </c>
      <c r="I303" s="345">
        <v>1358</v>
      </c>
      <c r="J303" s="345">
        <v>0</v>
      </c>
      <c r="K303" s="347">
        <v>91.35</v>
      </c>
      <c r="L303" s="347">
        <v>90.07</v>
      </c>
      <c r="M303" s="347">
        <v>5.5</v>
      </c>
      <c r="N303" s="347">
        <v>95.05</v>
      </c>
      <c r="O303" s="348">
        <v>554</v>
      </c>
      <c r="P303" s="345">
        <v>100.11</v>
      </c>
      <c r="Q303" s="345">
        <v>84.79</v>
      </c>
      <c r="R303" s="345">
        <v>41.93</v>
      </c>
      <c r="S303" s="345">
        <v>141.61000000000001</v>
      </c>
      <c r="T303" s="345">
        <v>490</v>
      </c>
      <c r="U303" s="345">
        <v>105.29</v>
      </c>
      <c r="V303" s="345">
        <v>202</v>
      </c>
      <c r="W303" s="345">
        <v>0</v>
      </c>
      <c r="X303" s="345">
        <v>0</v>
      </c>
      <c r="Y303" s="345">
        <v>0</v>
      </c>
      <c r="Z303" s="345">
        <v>0</v>
      </c>
      <c r="AA303" s="345">
        <v>0</v>
      </c>
      <c r="AB303" s="345">
        <v>2</v>
      </c>
      <c r="AC303" s="345">
        <v>1</v>
      </c>
      <c r="AD303" s="349">
        <v>768</v>
      </c>
      <c r="AE303" s="349">
        <v>6</v>
      </c>
      <c r="AF303" s="349">
        <v>0</v>
      </c>
      <c r="AG303" s="349">
        <v>6</v>
      </c>
    </row>
    <row r="304" spans="1:33" x14ac:dyDescent="0.2">
      <c r="A304" s="344" t="s">
        <v>662</v>
      </c>
      <c r="B304" s="350" t="s">
        <v>663</v>
      </c>
      <c r="C304" s="346">
        <v>4215</v>
      </c>
      <c r="D304" s="346">
        <v>0</v>
      </c>
      <c r="E304" s="346">
        <v>86</v>
      </c>
      <c r="F304" s="346">
        <v>442</v>
      </c>
      <c r="G304" s="346">
        <v>322</v>
      </c>
      <c r="H304" s="346">
        <v>5065</v>
      </c>
      <c r="I304" s="345">
        <v>4743</v>
      </c>
      <c r="J304" s="345">
        <v>0</v>
      </c>
      <c r="K304" s="347">
        <v>78.87</v>
      </c>
      <c r="L304" s="347">
        <v>78.84</v>
      </c>
      <c r="M304" s="347">
        <v>4.4800000000000004</v>
      </c>
      <c r="N304" s="347">
        <v>80.16</v>
      </c>
      <c r="O304" s="348">
        <v>3954</v>
      </c>
      <c r="P304" s="345">
        <v>76.150000000000006</v>
      </c>
      <c r="Q304" s="345">
        <v>74.05</v>
      </c>
      <c r="R304" s="345">
        <v>33.130000000000003</v>
      </c>
      <c r="S304" s="345">
        <v>108.74</v>
      </c>
      <c r="T304" s="345">
        <v>498</v>
      </c>
      <c r="U304" s="345">
        <v>94.75</v>
      </c>
      <c r="V304" s="345">
        <v>239</v>
      </c>
      <c r="W304" s="345">
        <v>105.37</v>
      </c>
      <c r="X304" s="345">
        <v>20</v>
      </c>
      <c r="Y304" s="345">
        <v>0</v>
      </c>
      <c r="Z304" s="345">
        <v>5</v>
      </c>
      <c r="AA304" s="345">
        <v>2</v>
      </c>
      <c r="AB304" s="345">
        <v>13</v>
      </c>
      <c r="AC304" s="345">
        <v>10</v>
      </c>
      <c r="AD304" s="349">
        <v>4204</v>
      </c>
      <c r="AE304" s="349">
        <v>31</v>
      </c>
      <c r="AF304" s="349">
        <v>16</v>
      </c>
      <c r="AG304" s="349">
        <v>47</v>
      </c>
    </row>
    <row r="305" spans="1:33" ht="15" x14ac:dyDescent="0.25">
      <c r="A305" s="351" t="s">
        <v>800</v>
      </c>
      <c r="B305" s="351" t="s">
        <v>798</v>
      </c>
      <c r="C305" s="345">
        <v>11251</v>
      </c>
      <c r="D305" s="345">
        <v>15</v>
      </c>
      <c r="E305" s="345">
        <v>471</v>
      </c>
      <c r="F305" s="345">
        <v>2450</v>
      </c>
      <c r="G305" s="345">
        <v>2292</v>
      </c>
      <c r="H305" s="345">
        <v>16479</v>
      </c>
      <c r="I305" s="345">
        <v>14187</v>
      </c>
      <c r="J305" s="345">
        <v>0</v>
      </c>
      <c r="K305" s="345">
        <v>96.38</v>
      </c>
      <c r="L305" s="345">
        <v>96.81</v>
      </c>
      <c r="M305" s="345">
        <v>6.04</v>
      </c>
      <c r="N305" s="345">
        <v>100.3</v>
      </c>
      <c r="O305" s="345">
        <v>9237</v>
      </c>
      <c r="P305" s="345">
        <v>94.3</v>
      </c>
      <c r="Q305" s="345">
        <v>94.04</v>
      </c>
      <c r="R305" s="345">
        <v>31.66</v>
      </c>
      <c r="S305" s="345">
        <v>116.7</v>
      </c>
      <c r="T305" s="345">
        <v>2799</v>
      </c>
      <c r="U305" s="345">
        <v>121.84</v>
      </c>
      <c r="V305" s="345">
        <v>1614</v>
      </c>
      <c r="W305" s="345">
        <v>130.01</v>
      </c>
      <c r="X305" s="345">
        <v>77</v>
      </c>
      <c r="Y305" s="345">
        <v>226</v>
      </c>
      <c r="Z305" s="345">
        <v>25</v>
      </c>
      <c r="AA305" s="345">
        <v>16</v>
      </c>
      <c r="AB305" s="345">
        <v>206</v>
      </c>
      <c r="AC305" s="345">
        <v>33</v>
      </c>
      <c r="AD305" s="345">
        <v>10958</v>
      </c>
      <c r="AE305" s="345">
        <v>80</v>
      </c>
      <c r="AF305" s="345">
        <v>37</v>
      </c>
      <c r="AG305" s="345">
        <v>117</v>
      </c>
    </row>
    <row r="306" spans="1:33" x14ac:dyDescent="0.2">
      <c r="A306" s="344" t="s">
        <v>664</v>
      </c>
      <c r="B306" s="350" t="s">
        <v>665</v>
      </c>
      <c r="C306" s="346">
        <v>5698</v>
      </c>
      <c r="D306" s="346">
        <v>2</v>
      </c>
      <c r="E306" s="346">
        <v>135</v>
      </c>
      <c r="F306" s="346">
        <v>159</v>
      </c>
      <c r="G306" s="346">
        <v>618</v>
      </c>
      <c r="H306" s="346">
        <v>6612</v>
      </c>
      <c r="I306" s="345">
        <v>5994</v>
      </c>
      <c r="J306" s="345">
        <v>32</v>
      </c>
      <c r="K306" s="347">
        <v>108.8</v>
      </c>
      <c r="L306" s="347">
        <v>111.53</v>
      </c>
      <c r="M306" s="347">
        <v>4.62</v>
      </c>
      <c r="N306" s="347">
        <v>110.64</v>
      </c>
      <c r="O306" s="348">
        <v>4954</v>
      </c>
      <c r="P306" s="345">
        <v>101.07</v>
      </c>
      <c r="Q306" s="345">
        <v>97.35</v>
      </c>
      <c r="R306" s="345">
        <v>54.89</v>
      </c>
      <c r="S306" s="345">
        <v>152.72</v>
      </c>
      <c r="T306" s="345">
        <v>289</v>
      </c>
      <c r="U306" s="345">
        <v>160.84</v>
      </c>
      <c r="V306" s="345">
        <v>642</v>
      </c>
      <c r="W306" s="345">
        <v>0</v>
      </c>
      <c r="X306" s="345">
        <v>0</v>
      </c>
      <c r="Y306" s="345">
        <v>0</v>
      </c>
      <c r="Z306" s="345">
        <v>3</v>
      </c>
      <c r="AA306" s="345">
        <v>7</v>
      </c>
      <c r="AB306" s="345">
        <v>33</v>
      </c>
      <c r="AC306" s="345">
        <v>6</v>
      </c>
      <c r="AD306" s="349">
        <v>5555</v>
      </c>
      <c r="AE306" s="349">
        <v>20</v>
      </c>
      <c r="AF306" s="349">
        <v>59</v>
      </c>
      <c r="AG306" s="349">
        <v>79</v>
      </c>
    </row>
    <row r="307" spans="1:33" x14ac:dyDescent="0.2">
      <c r="A307" s="344" t="s">
        <v>666</v>
      </c>
      <c r="B307" s="350" t="s">
        <v>667</v>
      </c>
      <c r="C307" s="345">
        <v>10682</v>
      </c>
      <c r="D307" s="345">
        <v>1</v>
      </c>
      <c r="E307" s="345">
        <v>467</v>
      </c>
      <c r="F307" s="345">
        <v>1133</v>
      </c>
      <c r="G307" s="345">
        <v>628</v>
      </c>
      <c r="H307" s="345">
        <v>12911</v>
      </c>
      <c r="I307" s="345">
        <v>12283</v>
      </c>
      <c r="J307" s="345">
        <v>20</v>
      </c>
      <c r="K307" s="345">
        <v>90.57</v>
      </c>
      <c r="L307" s="347">
        <v>90.6</v>
      </c>
      <c r="M307" s="347">
        <v>4.66</v>
      </c>
      <c r="N307" s="347">
        <v>91.8</v>
      </c>
      <c r="O307" s="348">
        <v>8865</v>
      </c>
      <c r="P307" s="345">
        <v>86.78</v>
      </c>
      <c r="Q307" s="345">
        <v>85.17</v>
      </c>
      <c r="R307" s="345">
        <v>38.35</v>
      </c>
      <c r="S307" s="345">
        <v>123.84</v>
      </c>
      <c r="T307" s="345">
        <v>1549</v>
      </c>
      <c r="U307" s="345">
        <v>128.22</v>
      </c>
      <c r="V307" s="345">
        <v>1669</v>
      </c>
      <c r="W307" s="345">
        <v>106.67</v>
      </c>
      <c r="X307" s="345">
        <v>22</v>
      </c>
      <c r="Y307" s="345">
        <v>33</v>
      </c>
      <c r="Z307" s="345">
        <v>33</v>
      </c>
      <c r="AA307" s="345">
        <v>28</v>
      </c>
      <c r="AB307" s="345">
        <v>47</v>
      </c>
      <c r="AC307" s="345">
        <v>13</v>
      </c>
      <c r="AD307" s="345">
        <v>10678</v>
      </c>
      <c r="AE307" s="345">
        <v>52</v>
      </c>
      <c r="AF307" s="345">
        <v>41</v>
      </c>
      <c r="AG307" s="345">
        <v>93</v>
      </c>
    </row>
    <row r="308" spans="1:33" x14ac:dyDescent="0.2">
      <c r="A308" s="344" t="s">
        <v>668</v>
      </c>
      <c r="B308" s="350" t="s">
        <v>669</v>
      </c>
      <c r="C308" s="346">
        <v>12151</v>
      </c>
      <c r="D308" s="346">
        <v>1093</v>
      </c>
      <c r="E308" s="346">
        <v>1094</v>
      </c>
      <c r="F308" s="346">
        <v>737</v>
      </c>
      <c r="G308" s="346">
        <v>525</v>
      </c>
      <c r="H308" s="346">
        <v>15600</v>
      </c>
      <c r="I308" s="345">
        <v>15075</v>
      </c>
      <c r="J308" s="345">
        <v>670</v>
      </c>
      <c r="K308" s="347">
        <v>140.01</v>
      </c>
      <c r="L308" s="347">
        <v>141.85</v>
      </c>
      <c r="M308" s="347">
        <v>12.83</v>
      </c>
      <c r="N308" s="347">
        <v>150.68</v>
      </c>
      <c r="O308" s="348">
        <v>10148</v>
      </c>
      <c r="P308" s="345">
        <v>110.43</v>
      </c>
      <c r="Q308" s="345">
        <v>109.13</v>
      </c>
      <c r="R308" s="345">
        <v>66.790000000000006</v>
      </c>
      <c r="S308" s="345">
        <v>163.9</v>
      </c>
      <c r="T308" s="345">
        <v>1709</v>
      </c>
      <c r="U308" s="345">
        <v>207.01</v>
      </c>
      <c r="V308" s="345">
        <v>702</v>
      </c>
      <c r="W308" s="345">
        <v>143.47999999999999</v>
      </c>
      <c r="X308" s="345">
        <v>2</v>
      </c>
      <c r="Y308" s="345">
        <v>0</v>
      </c>
      <c r="Z308" s="345">
        <v>0</v>
      </c>
      <c r="AA308" s="345">
        <v>2</v>
      </c>
      <c r="AB308" s="345">
        <v>6</v>
      </c>
      <c r="AC308" s="345">
        <v>9</v>
      </c>
      <c r="AD308" s="349">
        <v>10566</v>
      </c>
      <c r="AE308" s="349">
        <v>32</v>
      </c>
      <c r="AF308" s="349">
        <v>71</v>
      </c>
      <c r="AG308" s="349">
        <v>103</v>
      </c>
    </row>
    <row r="309" spans="1:33" x14ac:dyDescent="0.2">
      <c r="A309" s="344" t="s">
        <v>670</v>
      </c>
      <c r="B309" s="350" t="s">
        <v>671</v>
      </c>
      <c r="C309" s="346">
        <v>2184</v>
      </c>
      <c r="D309" s="346">
        <v>0</v>
      </c>
      <c r="E309" s="346">
        <v>819</v>
      </c>
      <c r="F309" s="346">
        <v>1019</v>
      </c>
      <c r="G309" s="346">
        <v>254</v>
      </c>
      <c r="H309" s="346">
        <v>4276</v>
      </c>
      <c r="I309" s="345">
        <v>4022</v>
      </c>
      <c r="J309" s="345">
        <v>0</v>
      </c>
      <c r="K309" s="347">
        <v>79.09</v>
      </c>
      <c r="L309" s="347">
        <v>75.89</v>
      </c>
      <c r="M309" s="347">
        <v>6.38</v>
      </c>
      <c r="N309" s="347">
        <v>82.54</v>
      </c>
      <c r="O309" s="348">
        <v>1590</v>
      </c>
      <c r="P309" s="345">
        <v>88.31</v>
      </c>
      <c r="Q309" s="345">
        <v>71.760000000000005</v>
      </c>
      <c r="R309" s="345">
        <v>68.14</v>
      </c>
      <c r="S309" s="345">
        <v>153.94999999999999</v>
      </c>
      <c r="T309" s="345">
        <v>1668</v>
      </c>
      <c r="U309" s="345">
        <v>96.66</v>
      </c>
      <c r="V309" s="345">
        <v>459</v>
      </c>
      <c r="W309" s="345">
        <v>157.94</v>
      </c>
      <c r="X309" s="345">
        <v>20</v>
      </c>
      <c r="Y309" s="345">
        <v>0</v>
      </c>
      <c r="Z309" s="345">
        <v>2</v>
      </c>
      <c r="AA309" s="345">
        <v>15</v>
      </c>
      <c r="AB309" s="345">
        <v>44</v>
      </c>
      <c r="AC309" s="345">
        <v>1</v>
      </c>
      <c r="AD309" s="349">
        <v>2081</v>
      </c>
      <c r="AE309" s="349">
        <v>24</v>
      </c>
      <c r="AF309" s="349">
        <v>7</v>
      </c>
      <c r="AG309" s="349">
        <v>31</v>
      </c>
    </row>
    <row r="310" spans="1:33" x14ac:dyDescent="0.2">
      <c r="A310" s="344" t="s">
        <v>672</v>
      </c>
      <c r="B310" s="350" t="s">
        <v>673</v>
      </c>
      <c r="C310" s="346">
        <v>21985</v>
      </c>
      <c r="D310" s="346">
        <v>25</v>
      </c>
      <c r="E310" s="346">
        <v>669</v>
      </c>
      <c r="F310" s="346">
        <v>3074</v>
      </c>
      <c r="G310" s="346">
        <v>1745</v>
      </c>
      <c r="H310" s="346">
        <v>27498</v>
      </c>
      <c r="I310" s="345">
        <v>25753</v>
      </c>
      <c r="J310" s="345">
        <v>103</v>
      </c>
      <c r="K310" s="347">
        <v>99.12</v>
      </c>
      <c r="L310" s="347">
        <v>99.27</v>
      </c>
      <c r="M310" s="347">
        <v>3.96</v>
      </c>
      <c r="N310" s="347">
        <v>101.17</v>
      </c>
      <c r="O310" s="348">
        <v>18583</v>
      </c>
      <c r="P310" s="345">
        <v>92.97</v>
      </c>
      <c r="Q310" s="345">
        <v>92.45</v>
      </c>
      <c r="R310" s="345">
        <v>23.78</v>
      </c>
      <c r="S310" s="345">
        <v>115.85</v>
      </c>
      <c r="T310" s="345">
        <v>3311</v>
      </c>
      <c r="U310" s="345">
        <v>128.5</v>
      </c>
      <c r="V310" s="345">
        <v>2747</v>
      </c>
      <c r="W310" s="345">
        <v>161.44</v>
      </c>
      <c r="X310" s="345">
        <v>73</v>
      </c>
      <c r="Y310" s="345">
        <v>330</v>
      </c>
      <c r="Z310" s="345">
        <v>31</v>
      </c>
      <c r="AA310" s="345">
        <v>77</v>
      </c>
      <c r="AB310" s="345">
        <v>92</v>
      </c>
      <c r="AC310" s="345">
        <v>34</v>
      </c>
      <c r="AD310" s="349">
        <v>21325</v>
      </c>
      <c r="AE310" s="349">
        <v>138</v>
      </c>
      <c r="AF310" s="349">
        <v>110</v>
      </c>
      <c r="AG310" s="349">
        <v>248</v>
      </c>
    </row>
    <row r="311" spans="1:33" x14ac:dyDescent="0.2">
      <c r="A311" s="344" t="s">
        <v>674</v>
      </c>
      <c r="B311" s="350" t="s">
        <v>675</v>
      </c>
      <c r="C311" s="346">
        <v>2347</v>
      </c>
      <c r="D311" s="346">
        <v>6</v>
      </c>
      <c r="E311" s="346">
        <v>198</v>
      </c>
      <c r="F311" s="346">
        <v>238</v>
      </c>
      <c r="G311" s="346">
        <v>418</v>
      </c>
      <c r="H311" s="346">
        <v>3207</v>
      </c>
      <c r="I311" s="345">
        <v>2789</v>
      </c>
      <c r="J311" s="345">
        <v>2</v>
      </c>
      <c r="K311" s="347">
        <v>112.58</v>
      </c>
      <c r="L311" s="347">
        <v>109.2</v>
      </c>
      <c r="M311" s="347">
        <v>7.42</v>
      </c>
      <c r="N311" s="347">
        <v>119.47</v>
      </c>
      <c r="O311" s="348">
        <v>1748</v>
      </c>
      <c r="P311" s="345">
        <v>98.76</v>
      </c>
      <c r="Q311" s="345">
        <v>88.47</v>
      </c>
      <c r="R311" s="345">
        <v>37.229999999999997</v>
      </c>
      <c r="S311" s="345">
        <v>133.69</v>
      </c>
      <c r="T311" s="345">
        <v>405</v>
      </c>
      <c r="U311" s="345">
        <v>167.01</v>
      </c>
      <c r="V311" s="345">
        <v>445</v>
      </c>
      <c r="W311" s="345">
        <v>0</v>
      </c>
      <c r="X311" s="345">
        <v>0</v>
      </c>
      <c r="Y311" s="345">
        <v>16</v>
      </c>
      <c r="Z311" s="345">
        <v>0</v>
      </c>
      <c r="AA311" s="345">
        <v>8</v>
      </c>
      <c r="AB311" s="345">
        <v>34</v>
      </c>
      <c r="AC311" s="345">
        <v>16</v>
      </c>
      <c r="AD311" s="349">
        <v>2195</v>
      </c>
      <c r="AE311" s="349">
        <v>8</v>
      </c>
      <c r="AF311" s="349">
        <v>5</v>
      </c>
      <c r="AG311" s="349">
        <v>13</v>
      </c>
    </row>
    <row r="312" spans="1:33" x14ac:dyDescent="0.2">
      <c r="A312" s="344" t="s">
        <v>676</v>
      </c>
      <c r="B312" s="350" t="s">
        <v>677</v>
      </c>
      <c r="C312" s="346">
        <v>6797</v>
      </c>
      <c r="D312" s="346">
        <v>16</v>
      </c>
      <c r="E312" s="346">
        <v>167</v>
      </c>
      <c r="F312" s="346">
        <v>895</v>
      </c>
      <c r="G312" s="346">
        <v>247</v>
      </c>
      <c r="H312" s="346">
        <v>8122</v>
      </c>
      <c r="I312" s="345">
        <v>7875</v>
      </c>
      <c r="J312" s="345">
        <v>39</v>
      </c>
      <c r="K312" s="347">
        <v>120.53</v>
      </c>
      <c r="L312" s="347">
        <v>122.09</v>
      </c>
      <c r="M312" s="347">
        <v>8.19</v>
      </c>
      <c r="N312" s="347">
        <v>124.16</v>
      </c>
      <c r="O312" s="348">
        <v>6392</v>
      </c>
      <c r="P312" s="345">
        <v>107.86</v>
      </c>
      <c r="Q312" s="345">
        <v>106.27</v>
      </c>
      <c r="R312" s="345">
        <v>28.4</v>
      </c>
      <c r="S312" s="345">
        <v>127.52</v>
      </c>
      <c r="T312" s="345">
        <v>1017</v>
      </c>
      <c r="U312" s="345">
        <v>173.3</v>
      </c>
      <c r="V312" s="345">
        <v>327</v>
      </c>
      <c r="W312" s="345">
        <v>143.82</v>
      </c>
      <c r="X312" s="345">
        <v>1</v>
      </c>
      <c r="Y312" s="345">
        <v>31</v>
      </c>
      <c r="Z312" s="345">
        <v>4</v>
      </c>
      <c r="AA312" s="345">
        <v>0</v>
      </c>
      <c r="AB312" s="345">
        <v>12</v>
      </c>
      <c r="AC312" s="345">
        <v>5</v>
      </c>
      <c r="AD312" s="349">
        <v>6788</v>
      </c>
      <c r="AE312" s="349">
        <v>28</v>
      </c>
      <c r="AF312" s="349">
        <v>14</v>
      </c>
      <c r="AG312" s="349">
        <v>42</v>
      </c>
    </row>
    <row r="313" spans="1:33" x14ac:dyDescent="0.2">
      <c r="A313" s="344" t="s">
        <v>678</v>
      </c>
      <c r="B313" s="350" t="s">
        <v>679</v>
      </c>
      <c r="C313" s="346">
        <v>17732</v>
      </c>
      <c r="D313" s="346">
        <v>35</v>
      </c>
      <c r="E313" s="346">
        <v>1207</v>
      </c>
      <c r="F313" s="346">
        <v>3693</v>
      </c>
      <c r="G313" s="346">
        <v>402</v>
      </c>
      <c r="H313" s="346">
        <v>23069</v>
      </c>
      <c r="I313" s="345">
        <v>22667</v>
      </c>
      <c r="J313" s="345">
        <v>6</v>
      </c>
      <c r="K313" s="347">
        <v>85.59</v>
      </c>
      <c r="L313" s="347">
        <v>82.48</v>
      </c>
      <c r="M313" s="347">
        <v>7.26</v>
      </c>
      <c r="N313" s="347">
        <v>88.14</v>
      </c>
      <c r="O313" s="348">
        <v>13894</v>
      </c>
      <c r="P313" s="345">
        <v>84.85</v>
      </c>
      <c r="Q313" s="345">
        <v>75.959999999999994</v>
      </c>
      <c r="R313" s="345">
        <v>26.58</v>
      </c>
      <c r="S313" s="345">
        <v>110.14</v>
      </c>
      <c r="T313" s="345">
        <v>3780</v>
      </c>
      <c r="U313" s="345">
        <v>107.72</v>
      </c>
      <c r="V313" s="345">
        <v>2024</v>
      </c>
      <c r="W313" s="345">
        <v>144.31</v>
      </c>
      <c r="X313" s="345">
        <v>122</v>
      </c>
      <c r="Y313" s="345">
        <v>3</v>
      </c>
      <c r="Z313" s="345">
        <v>81</v>
      </c>
      <c r="AA313" s="345">
        <v>13</v>
      </c>
      <c r="AB313" s="345">
        <v>12</v>
      </c>
      <c r="AC313" s="345">
        <v>7</v>
      </c>
      <c r="AD313" s="349">
        <v>15785</v>
      </c>
      <c r="AE313" s="349">
        <v>192</v>
      </c>
      <c r="AF313" s="349">
        <v>62</v>
      </c>
      <c r="AG313" s="349">
        <v>254</v>
      </c>
    </row>
    <row r="314" spans="1:33" x14ac:dyDescent="0.2">
      <c r="A314" s="344" t="s">
        <v>680</v>
      </c>
      <c r="B314" s="350" t="s">
        <v>681</v>
      </c>
      <c r="C314" s="346">
        <v>1139</v>
      </c>
      <c r="D314" s="346">
        <v>4</v>
      </c>
      <c r="E314" s="346">
        <v>175</v>
      </c>
      <c r="F314" s="346">
        <v>329</v>
      </c>
      <c r="G314" s="346">
        <v>290</v>
      </c>
      <c r="H314" s="346">
        <v>1937</v>
      </c>
      <c r="I314" s="345">
        <v>1647</v>
      </c>
      <c r="J314" s="345">
        <v>2</v>
      </c>
      <c r="K314" s="347">
        <v>127.71</v>
      </c>
      <c r="L314" s="347">
        <v>120.4</v>
      </c>
      <c r="M314" s="347">
        <v>8.99</v>
      </c>
      <c r="N314" s="347">
        <v>135.41999999999999</v>
      </c>
      <c r="O314" s="348">
        <v>944</v>
      </c>
      <c r="P314" s="345">
        <v>116.72</v>
      </c>
      <c r="Q314" s="345">
        <v>94.05</v>
      </c>
      <c r="R314" s="345">
        <v>36.299999999999997</v>
      </c>
      <c r="S314" s="345">
        <v>152.88999999999999</v>
      </c>
      <c r="T314" s="345">
        <v>273</v>
      </c>
      <c r="U314" s="345">
        <v>189.31</v>
      </c>
      <c r="V314" s="345">
        <v>67</v>
      </c>
      <c r="W314" s="345">
        <v>110.04</v>
      </c>
      <c r="X314" s="345">
        <v>4</v>
      </c>
      <c r="Y314" s="345">
        <v>206</v>
      </c>
      <c r="Z314" s="345">
        <v>4</v>
      </c>
      <c r="AA314" s="345">
        <v>10</v>
      </c>
      <c r="AB314" s="345">
        <v>1</v>
      </c>
      <c r="AC314" s="345">
        <v>3</v>
      </c>
      <c r="AD314" s="349">
        <v>1023</v>
      </c>
      <c r="AE314" s="349">
        <v>25</v>
      </c>
      <c r="AF314" s="349">
        <v>9</v>
      </c>
      <c r="AG314" s="349">
        <v>34</v>
      </c>
    </row>
    <row r="315" spans="1:33" x14ac:dyDescent="0.2">
      <c r="A315" s="344" t="s">
        <v>682</v>
      </c>
      <c r="B315" s="350" t="s">
        <v>683</v>
      </c>
      <c r="C315" s="346">
        <v>1816</v>
      </c>
      <c r="D315" s="346">
        <v>0</v>
      </c>
      <c r="E315" s="346">
        <v>189</v>
      </c>
      <c r="F315" s="346">
        <v>180</v>
      </c>
      <c r="G315" s="346">
        <v>992</v>
      </c>
      <c r="H315" s="346">
        <v>3177</v>
      </c>
      <c r="I315" s="345">
        <v>2185</v>
      </c>
      <c r="J315" s="345">
        <v>0</v>
      </c>
      <c r="K315" s="347">
        <v>130.72999999999999</v>
      </c>
      <c r="L315" s="347">
        <v>128.58000000000001</v>
      </c>
      <c r="M315" s="347">
        <v>7.59</v>
      </c>
      <c r="N315" s="347">
        <v>136.96</v>
      </c>
      <c r="O315" s="348">
        <v>1638</v>
      </c>
      <c r="P315" s="345">
        <v>110.95</v>
      </c>
      <c r="Q315" s="345">
        <v>109.17</v>
      </c>
      <c r="R315" s="345">
        <v>44.97</v>
      </c>
      <c r="S315" s="345">
        <v>152.05000000000001</v>
      </c>
      <c r="T315" s="345">
        <v>244</v>
      </c>
      <c r="U315" s="345">
        <v>158.38</v>
      </c>
      <c r="V315" s="345">
        <v>133</v>
      </c>
      <c r="W315" s="345">
        <v>0</v>
      </c>
      <c r="X315" s="345">
        <v>0</v>
      </c>
      <c r="Y315" s="345">
        <v>0</v>
      </c>
      <c r="Z315" s="345">
        <v>1</v>
      </c>
      <c r="AA315" s="345">
        <v>19</v>
      </c>
      <c r="AB315" s="345">
        <v>153</v>
      </c>
      <c r="AC315" s="345">
        <v>7</v>
      </c>
      <c r="AD315" s="349">
        <v>1796</v>
      </c>
      <c r="AE315" s="349">
        <v>10</v>
      </c>
      <c r="AF315" s="349">
        <v>2</v>
      </c>
      <c r="AG315" s="349">
        <v>12</v>
      </c>
    </row>
    <row r="316" spans="1:33" x14ac:dyDescent="0.2">
      <c r="A316" s="344" t="s">
        <v>684</v>
      </c>
      <c r="B316" s="350" t="s">
        <v>685</v>
      </c>
      <c r="C316" s="346">
        <v>4433</v>
      </c>
      <c r="D316" s="346">
        <v>2</v>
      </c>
      <c r="E316" s="346">
        <v>629</v>
      </c>
      <c r="F316" s="346">
        <v>1489</v>
      </c>
      <c r="G316" s="346">
        <v>283</v>
      </c>
      <c r="H316" s="346">
        <v>6836</v>
      </c>
      <c r="I316" s="345">
        <v>6553</v>
      </c>
      <c r="J316" s="345">
        <v>2</v>
      </c>
      <c r="K316" s="347">
        <v>87.81</v>
      </c>
      <c r="L316" s="347">
        <v>84.25</v>
      </c>
      <c r="M316" s="347">
        <v>6.08</v>
      </c>
      <c r="N316" s="347">
        <v>93.06</v>
      </c>
      <c r="O316" s="348">
        <v>3841</v>
      </c>
      <c r="P316" s="345">
        <v>97.1</v>
      </c>
      <c r="Q316" s="345">
        <v>87.53</v>
      </c>
      <c r="R316" s="345">
        <v>49.94</v>
      </c>
      <c r="S316" s="345">
        <v>144.32</v>
      </c>
      <c r="T316" s="345">
        <v>1880</v>
      </c>
      <c r="U316" s="345">
        <v>106.04</v>
      </c>
      <c r="V316" s="345">
        <v>432</v>
      </c>
      <c r="W316" s="345">
        <v>170.92</v>
      </c>
      <c r="X316" s="345">
        <v>36</v>
      </c>
      <c r="Y316" s="345">
        <v>118</v>
      </c>
      <c r="Z316" s="345">
        <v>2</v>
      </c>
      <c r="AA316" s="345">
        <v>8</v>
      </c>
      <c r="AB316" s="345">
        <v>3</v>
      </c>
      <c r="AC316" s="345">
        <v>13</v>
      </c>
      <c r="AD316" s="349">
        <v>4433</v>
      </c>
      <c r="AE316" s="349">
        <v>58</v>
      </c>
      <c r="AF316" s="349">
        <v>33</v>
      </c>
      <c r="AG316" s="349">
        <v>91</v>
      </c>
    </row>
    <row r="317" spans="1:33" x14ac:dyDescent="0.2">
      <c r="A317" s="344" t="s">
        <v>686</v>
      </c>
      <c r="B317" s="350" t="s">
        <v>687</v>
      </c>
      <c r="C317" s="346">
        <v>6235</v>
      </c>
      <c r="D317" s="346">
        <v>5</v>
      </c>
      <c r="E317" s="346">
        <v>473</v>
      </c>
      <c r="F317" s="346">
        <v>961</v>
      </c>
      <c r="G317" s="346">
        <v>480</v>
      </c>
      <c r="H317" s="346">
        <v>8154</v>
      </c>
      <c r="I317" s="345">
        <v>7674</v>
      </c>
      <c r="J317" s="345">
        <v>0</v>
      </c>
      <c r="K317" s="347">
        <v>86.15</v>
      </c>
      <c r="L317" s="347">
        <v>87.62</v>
      </c>
      <c r="M317" s="347">
        <v>5.69</v>
      </c>
      <c r="N317" s="347">
        <v>91.41</v>
      </c>
      <c r="O317" s="348">
        <v>5251</v>
      </c>
      <c r="P317" s="345">
        <v>86.66</v>
      </c>
      <c r="Q317" s="345">
        <v>78.58</v>
      </c>
      <c r="R317" s="345">
        <v>40.33</v>
      </c>
      <c r="S317" s="345">
        <v>126</v>
      </c>
      <c r="T317" s="345">
        <v>1140</v>
      </c>
      <c r="U317" s="345">
        <v>108.98</v>
      </c>
      <c r="V317" s="345">
        <v>857</v>
      </c>
      <c r="W317" s="345">
        <v>194.16</v>
      </c>
      <c r="X317" s="345">
        <v>162</v>
      </c>
      <c r="Y317" s="345">
        <v>0</v>
      </c>
      <c r="Z317" s="345">
        <v>11</v>
      </c>
      <c r="AA317" s="345">
        <v>3</v>
      </c>
      <c r="AB317" s="345">
        <v>12</v>
      </c>
      <c r="AC317" s="345">
        <v>11</v>
      </c>
      <c r="AD317" s="349">
        <v>6109</v>
      </c>
      <c r="AE317" s="349">
        <v>23</v>
      </c>
      <c r="AF317" s="349">
        <v>7</v>
      </c>
      <c r="AG317" s="349">
        <v>30</v>
      </c>
    </row>
    <row r="318" spans="1:33" x14ac:dyDescent="0.2">
      <c r="A318" s="344" t="s">
        <v>688</v>
      </c>
      <c r="B318" s="350" t="s">
        <v>689</v>
      </c>
      <c r="C318" s="346">
        <v>4047</v>
      </c>
      <c r="D318" s="346">
        <v>33</v>
      </c>
      <c r="E318" s="346">
        <v>235</v>
      </c>
      <c r="F318" s="346">
        <v>490</v>
      </c>
      <c r="G318" s="346">
        <v>155</v>
      </c>
      <c r="H318" s="346">
        <v>4960</v>
      </c>
      <c r="I318" s="345">
        <v>4805</v>
      </c>
      <c r="J318" s="345">
        <v>3</v>
      </c>
      <c r="K318" s="347">
        <v>100.33</v>
      </c>
      <c r="L318" s="347">
        <v>99.07</v>
      </c>
      <c r="M318" s="347">
        <v>6.76</v>
      </c>
      <c r="N318" s="347">
        <v>104.55</v>
      </c>
      <c r="O318" s="348">
        <v>3750</v>
      </c>
      <c r="P318" s="345">
        <v>89.86</v>
      </c>
      <c r="Q318" s="345">
        <v>84.56</v>
      </c>
      <c r="R318" s="345">
        <v>33.46</v>
      </c>
      <c r="S318" s="345">
        <v>122.07</v>
      </c>
      <c r="T318" s="345">
        <v>507</v>
      </c>
      <c r="U318" s="345">
        <v>141.24</v>
      </c>
      <c r="V318" s="345">
        <v>181</v>
      </c>
      <c r="W318" s="345">
        <v>142.27000000000001</v>
      </c>
      <c r="X318" s="345">
        <v>25</v>
      </c>
      <c r="Y318" s="345">
        <v>0</v>
      </c>
      <c r="Z318" s="345">
        <v>4</v>
      </c>
      <c r="AA318" s="345">
        <v>28</v>
      </c>
      <c r="AB318" s="345">
        <v>40</v>
      </c>
      <c r="AC318" s="345">
        <v>3</v>
      </c>
      <c r="AD318" s="349">
        <v>4018</v>
      </c>
      <c r="AE318" s="349">
        <v>19</v>
      </c>
      <c r="AF318" s="349">
        <v>3</v>
      </c>
      <c r="AG318" s="349">
        <v>22</v>
      </c>
    </row>
    <row r="319" spans="1:33" x14ac:dyDescent="0.2">
      <c r="A319" s="344" t="s">
        <v>690</v>
      </c>
      <c r="B319" s="350" t="s">
        <v>691</v>
      </c>
      <c r="C319" s="346">
        <v>7773</v>
      </c>
      <c r="D319" s="346">
        <v>7</v>
      </c>
      <c r="E319" s="346">
        <v>102</v>
      </c>
      <c r="F319" s="346">
        <v>899</v>
      </c>
      <c r="G319" s="346">
        <v>574</v>
      </c>
      <c r="H319" s="346">
        <v>9355</v>
      </c>
      <c r="I319" s="345">
        <v>8781</v>
      </c>
      <c r="J319" s="345">
        <v>0</v>
      </c>
      <c r="K319" s="347">
        <v>93.54</v>
      </c>
      <c r="L319" s="347">
        <v>91.77</v>
      </c>
      <c r="M319" s="347">
        <v>3.99</v>
      </c>
      <c r="N319" s="347">
        <v>95.65</v>
      </c>
      <c r="O319" s="348">
        <v>6654</v>
      </c>
      <c r="P319" s="345">
        <v>98.67</v>
      </c>
      <c r="Q319" s="345">
        <v>85.92</v>
      </c>
      <c r="R319" s="345">
        <v>37.35</v>
      </c>
      <c r="S319" s="345">
        <v>135.97</v>
      </c>
      <c r="T319" s="345">
        <v>925</v>
      </c>
      <c r="U319" s="345">
        <v>115.22</v>
      </c>
      <c r="V319" s="345">
        <v>1109</v>
      </c>
      <c r="W319" s="345">
        <v>224.41</v>
      </c>
      <c r="X319" s="345">
        <v>76</v>
      </c>
      <c r="Y319" s="345">
        <v>0</v>
      </c>
      <c r="Z319" s="345">
        <v>9</v>
      </c>
      <c r="AA319" s="345">
        <v>9</v>
      </c>
      <c r="AB319" s="345">
        <v>83</v>
      </c>
      <c r="AC319" s="345">
        <v>10</v>
      </c>
      <c r="AD319" s="349">
        <v>7773</v>
      </c>
      <c r="AE319" s="349">
        <v>27</v>
      </c>
      <c r="AF319" s="349">
        <v>10</v>
      </c>
      <c r="AG319" s="349">
        <v>37</v>
      </c>
    </row>
    <row r="320" spans="1:33" x14ac:dyDescent="0.2">
      <c r="A320" s="345" t="s">
        <v>692</v>
      </c>
      <c r="B320" s="346" t="s">
        <v>693</v>
      </c>
      <c r="C320" s="350">
        <v>3182</v>
      </c>
      <c r="D320" s="350">
        <v>0</v>
      </c>
      <c r="E320" s="350">
        <v>260</v>
      </c>
      <c r="F320" s="350">
        <v>375</v>
      </c>
      <c r="G320" s="350">
        <v>195</v>
      </c>
      <c r="H320" s="350">
        <v>4012</v>
      </c>
      <c r="I320" s="344">
        <v>3817</v>
      </c>
      <c r="J320" s="344">
        <v>63</v>
      </c>
      <c r="K320" s="353">
        <v>85.07</v>
      </c>
      <c r="L320" s="353">
        <v>85.25</v>
      </c>
      <c r="M320" s="353">
        <v>4.1500000000000004</v>
      </c>
      <c r="N320" s="353">
        <v>87.49</v>
      </c>
      <c r="O320" s="354">
        <v>2871</v>
      </c>
      <c r="P320" s="344">
        <v>97.89</v>
      </c>
      <c r="Q320" s="344">
        <v>83.02</v>
      </c>
      <c r="R320" s="344">
        <v>37.72</v>
      </c>
      <c r="S320" s="344">
        <v>135.41</v>
      </c>
      <c r="T320" s="344">
        <v>569</v>
      </c>
      <c r="U320" s="344">
        <v>103.85</v>
      </c>
      <c r="V320" s="344">
        <v>262</v>
      </c>
      <c r="W320" s="344">
        <v>0</v>
      </c>
      <c r="X320" s="344">
        <v>0</v>
      </c>
      <c r="Y320" s="344">
        <v>3</v>
      </c>
      <c r="Z320" s="344">
        <v>2</v>
      </c>
      <c r="AA320" s="344">
        <v>5</v>
      </c>
      <c r="AB320" s="344">
        <v>15</v>
      </c>
      <c r="AC320" s="344">
        <v>9</v>
      </c>
      <c r="AD320" s="355">
        <v>3147</v>
      </c>
      <c r="AE320" s="355">
        <v>14</v>
      </c>
      <c r="AF320" s="355">
        <v>32</v>
      </c>
      <c r="AG320" s="355">
        <v>46</v>
      </c>
    </row>
    <row r="321" spans="1:33" x14ac:dyDescent="0.2">
      <c r="A321" s="344" t="s">
        <v>694</v>
      </c>
      <c r="B321" s="350" t="s">
        <v>695</v>
      </c>
      <c r="C321" s="350">
        <v>4429</v>
      </c>
      <c r="D321" s="350">
        <v>0</v>
      </c>
      <c r="E321" s="350">
        <v>2197</v>
      </c>
      <c r="F321" s="350">
        <v>58</v>
      </c>
      <c r="G321" s="350">
        <v>429</v>
      </c>
      <c r="H321" s="350">
        <v>7113</v>
      </c>
      <c r="I321" s="344">
        <v>6684</v>
      </c>
      <c r="J321" s="344">
        <v>0</v>
      </c>
      <c r="K321" s="353">
        <v>87.52</v>
      </c>
      <c r="L321" s="353">
        <v>84.81</v>
      </c>
      <c r="M321" s="353">
        <v>4.43</v>
      </c>
      <c r="N321" s="353">
        <v>91.77</v>
      </c>
      <c r="O321" s="354">
        <v>4083</v>
      </c>
      <c r="P321" s="344">
        <v>84.24</v>
      </c>
      <c r="Q321" s="344">
        <v>78.19</v>
      </c>
      <c r="R321" s="344">
        <v>16.149999999999999</v>
      </c>
      <c r="S321" s="344">
        <v>100.37</v>
      </c>
      <c r="T321" s="344">
        <v>2136</v>
      </c>
      <c r="U321" s="344">
        <v>97.41</v>
      </c>
      <c r="V321" s="344">
        <v>310</v>
      </c>
      <c r="W321" s="344">
        <v>203.24</v>
      </c>
      <c r="X321" s="344">
        <v>115</v>
      </c>
      <c r="Y321" s="344">
        <v>0</v>
      </c>
      <c r="Z321" s="344">
        <v>9</v>
      </c>
      <c r="AA321" s="344">
        <v>1</v>
      </c>
      <c r="AB321" s="344">
        <v>68</v>
      </c>
      <c r="AC321" s="344">
        <v>21</v>
      </c>
      <c r="AD321" s="355">
        <v>4429</v>
      </c>
      <c r="AE321" s="355">
        <v>9</v>
      </c>
      <c r="AF321" s="355">
        <v>29</v>
      </c>
      <c r="AG321" s="355">
        <v>38</v>
      </c>
    </row>
    <row r="322" spans="1:33" x14ac:dyDescent="0.2">
      <c r="A322" s="344" t="s">
        <v>696</v>
      </c>
      <c r="B322" s="350" t="s">
        <v>697</v>
      </c>
      <c r="C322" s="350">
        <v>3910</v>
      </c>
      <c r="D322" s="350">
        <v>10</v>
      </c>
      <c r="E322" s="350">
        <v>356</v>
      </c>
      <c r="F322" s="350">
        <v>697</v>
      </c>
      <c r="G322" s="350">
        <v>419</v>
      </c>
      <c r="H322" s="350">
        <v>5392</v>
      </c>
      <c r="I322" s="344">
        <v>4973</v>
      </c>
      <c r="J322" s="344">
        <v>7</v>
      </c>
      <c r="K322" s="353">
        <v>92.33</v>
      </c>
      <c r="L322" s="353">
        <v>90.92</v>
      </c>
      <c r="M322" s="353">
        <v>7.13</v>
      </c>
      <c r="N322" s="353">
        <v>95.65</v>
      </c>
      <c r="O322" s="354">
        <v>3015</v>
      </c>
      <c r="P322" s="344">
        <v>84.68</v>
      </c>
      <c r="Q322" s="344">
        <v>74.599999999999994</v>
      </c>
      <c r="R322" s="344">
        <v>26.33</v>
      </c>
      <c r="S322" s="344">
        <v>110.13</v>
      </c>
      <c r="T322" s="344">
        <v>684</v>
      </c>
      <c r="U322" s="344">
        <v>107.35</v>
      </c>
      <c r="V322" s="344">
        <v>463</v>
      </c>
      <c r="W322" s="344">
        <v>0</v>
      </c>
      <c r="X322" s="344">
        <v>0</v>
      </c>
      <c r="Y322" s="344">
        <v>0</v>
      </c>
      <c r="Z322" s="344">
        <v>2</v>
      </c>
      <c r="AA322" s="344">
        <v>8</v>
      </c>
      <c r="AB322" s="344">
        <v>11</v>
      </c>
      <c r="AC322" s="344">
        <v>6</v>
      </c>
      <c r="AD322" s="355">
        <v>3583</v>
      </c>
      <c r="AE322" s="355">
        <v>14</v>
      </c>
      <c r="AF322" s="355">
        <v>7</v>
      </c>
      <c r="AG322" s="355">
        <v>21</v>
      </c>
    </row>
  </sheetData>
  <pageMargins left="0.7" right="0.7" top="0.75" bottom="0.75" header="0.3" footer="0.3"/>
  <pageSetup paperSize="9" orientation="portrait" r:id="rId1"/>
  <headerFooter>
    <oddFooter>&amp;C&amp;1#&amp;"Calibri"&amp;12&amp;K0078D7OFFICIAL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1A957-ECFC-4120-8FB8-6B9BD80AE845}">
  <sheetPr codeName="Sheet7">
    <tabColor rgb="FFFFFF00"/>
  </sheetPr>
  <dimension ref="A1:BD322"/>
  <sheetViews>
    <sheetView topLeftCell="A192" zoomScale="80" zoomScaleNormal="80" workbookViewId="0">
      <selection sqref="A1:XFD1048576"/>
    </sheetView>
  </sheetViews>
  <sheetFormatPr defaultColWidth="9.140625" defaultRowHeight="15" x14ac:dyDescent="0.25"/>
  <cols>
    <col min="1" max="8" width="9.140625" style="145"/>
    <col min="9" max="10" width="10.42578125" style="145" customWidth="1"/>
    <col min="11" max="11" width="10.42578125" style="145" bestFit="1" customWidth="1"/>
    <col min="12" max="33" width="9.140625" style="145"/>
    <col min="57" max="16384" width="9.140625" style="145"/>
  </cols>
  <sheetData>
    <row r="1" spans="1:33" s="144" customFormat="1" ht="12.75" x14ac:dyDescent="0.2">
      <c r="A1" s="134"/>
      <c r="B1" s="134"/>
      <c r="C1" s="135" t="s">
        <v>38</v>
      </c>
      <c r="D1" s="135" t="s">
        <v>38</v>
      </c>
      <c r="E1" s="135" t="s">
        <v>38</v>
      </c>
      <c r="F1" s="135" t="s">
        <v>38</v>
      </c>
      <c r="G1" s="135" t="s">
        <v>38</v>
      </c>
      <c r="H1" s="135" t="s">
        <v>38</v>
      </c>
      <c r="I1" s="136" t="s">
        <v>39</v>
      </c>
      <c r="J1" s="136" t="s">
        <v>39</v>
      </c>
      <c r="K1" s="137" t="s">
        <v>40</v>
      </c>
      <c r="L1" s="137" t="s">
        <v>40</v>
      </c>
      <c r="M1" s="137" t="s">
        <v>40</v>
      </c>
      <c r="N1" s="138" t="s">
        <v>40</v>
      </c>
      <c r="O1" s="137" t="s">
        <v>40</v>
      </c>
      <c r="P1" s="139" t="s">
        <v>41</v>
      </c>
      <c r="Q1" s="139" t="s">
        <v>41</v>
      </c>
      <c r="R1" s="139" t="s">
        <v>41</v>
      </c>
      <c r="S1" s="139" t="s">
        <v>41</v>
      </c>
      <c r="T1" s="139" t="s">
        <v>41</v>
      </c>
      <c r="U1" s="140" t="s">
        <v>42</v>
      </c>
      <c r="V1" s="140" t="s">
        <v>42</v>
      </c>
      <c r="W1" s="141" t="s">
        <v>43</v>
      </c>
      <c r="X1" s="141" t="s">
        <v>43</v>
      </c>
      <c r="Y1" s="142" t="s">
        <v>44</v>
      </c>
      <c r="Z1" s="142" t="s">
        <v>44</v>
      </c>
      <c r="AA1" s="142" t="s">
        <v>44</v>
      </c>
      <c r="AB1" s="142" t="s">
        <v>44</v>
      </c>
      <c r="AC1" s="142" t="s">
        <v>44</v>
      </c>
      <c r="AD1" s="143" t="s">
        <v>45</v>
      </c>
      <c r="AE1" s="143" t="s">
        <v>45</v>
      </c>
      <c r="AF1" s="143" t="s">
        <v>45</v>
      </c>
      <c r="AG1" s="143" t="s">
        <v>45</v>
      </c>
    </row>
    <row r="2" spans="1:33" x14ac:dyDescent="0.25">
      <c r="B2" s="146">
        <v>1</v>
      </c>
      <c r="C2" s="146">
        <v>2</v>
      </c>
      <c r="D2" s="146">
        <v>3</v>
      </c>
      <c r="E2" s="146">
        <v>4</v>
      </c>
      <c r="F2" s="146">
        <v>5</v>
      </c>
      <c r="G2" s="146">
        <v>6</v>
      </c>
      <c r="H2" s="146">
        <v>7</v>
      </c>
      <c r="I2" s="146">
        <v>8</v>
      </c>
      <c r="J2" s="146">
        <v>9</v>
      </c>
      <c r="K2" s="146">
        <v>10</v>
      </c>
      <c r="L2" s="146">
        <v>11</v>
      </c>
      <c r="M2" s="146">
        <v>12</v>
      </c>
      <c r="N2" s="146">
        <v>13</v>
      </c>
      <c r="O2" s="146">
        <v>14</v>
      </c>
      <c r="P2" s="146">
        <v>15</v>
      </c>
      <c r="Q2" s="146">
        <v>16</v>
      </c>
      <c r="R2" s="146">
        <v>17</v>
      </c>
      <c r="S2" s="146">
        <v>18</v>
      </c>
      <c r="T2" s="146">
        <v>19</v>
      </c>
      <c r="U2" s="146">
        <v>20</v>
      </c>
      <c r="V2" s="146">
        <v>21</v>
      </c>
      <c r="W2" s="146">
        <v>22</v>
      </c>
      <c r="X2" s="146">
        <v>23</v>
      </c>
      <c r="Y2" s="146">
        <v>24</v>
      </c>
      <c r="Z2" s="146">
        <v>25</v>
      </c>
      <c r="AA2" s="146">
        <v>26</v>
      </c>
      <c r="AB2" s="146">
        <v>27</v>
      </c>
      <c r="AC2" s="146">
        <v>28</v>
      </c>
      <c r="AD2" s="146">
        <v>29</v>
      </c>
      <c r="AE2" s="146">
        <v>30</v>
      </c>
      <c r="AF2" s="146">
        <v>31</v>
      </c>
      <c r="AG2" s="146">
        <v>32</v>
      </c>
    </row>
    <row r="3" spans="1:33" ht="90" x14ac:dyDescent="0.25">
      <c r="A3" s="145" t="s">
        <v>46</v>
      </c>
      <c r="B3" s="145" t="s">
        <v>47</v>
      </c>
      <c r="C3" s="147" t="s">
        <v>48</v>
      </c>
      <c r="D3" s="147" t="s">
        <v>49</v>
      </c>
      <c r="E3" s="147" t="s">
        <v>50</v>
      </c>
      <c r="F3" s="147" t="s">
        <v>51</v>
      </c>
      <c r="G3" s="147" t="s">
        <v>52</v>
      </c>
      <c r="H3" s="147" t="s">
        <v>53</v>
      </c>
      <c r="I3" s="148" t="s">
        <v>54</v>
      </c>
      <c r="J3" s="148" t="s">
        <v>55</v>
      </c>
      <c r="K3" s="149" t="s">
        <v>56</v>
      </c>
      <c r="L3" s="149" t="s">
        <v>57</v>
      </c>
      <c r="M3" s="149" t="s">
        <v>58</v>
      </c>
      <c r="N3" s="150" t="s">
        <v>59</v>
      </c>
      <c r="O3" s="149" t="s">
        <v>60</v>
      </c>
      <c r="P3" s="151" t="s">
        <v>61</v>
      </c>
      <c r="Q3" s="151" t="s">
        <v>62</v>
      </c>
      <c r="R3" s="151" t="s">
        <v>58</v>
      </c>
      <c r="S3" s="151" t="s">
        <v>63</v>
      </c>
      <c r="T3" s="151" t="s">
        <v>64</v>
      </c>
      <c r="U3" s="152" t="s">
        <v>65</v>
      </c>
      <c r="V3" s="152" t="s">
        <v>66</v>
      </c>
      <c r="W3" s="153" t="s">
        <v>67</v>
      </c>
      <c r="X3" s="153" t="s">
        <v>68</v>
      </c>
      <c r="Y3" s="154" t="s">
        <v>69</v>
      </c>
      <c r="Z3" s="154" t="s">
        <v>70</v>
      </c>
      <c r="AA3" s="154" t="s">
        <v>71</v>
      </c>
      <c r="AB3" s="154" t="s">
        <v>72</v>
      </c>
      <c r="AC3" s="154" t="s">
        <v>73</v>
      </c>
      <c r="AD3" s="155" t="s">
        <v>74</v>
      </c>
      <c r="AE3" s="155" t="s">
        <v>75</v>
      </c>
      <c r="AF3" s="155" t="s">
        <v>76</v>
      </c>
      <c r="AG3" s="155" t="s">
        <v>77</v>
      </c>
    </row>
    <row r="4" spans="1:33" x14ac:dyDescent="0.25">
      <c r="A4" s="344" t="s">
        <v>13</v>
      </c>
      <c r="B4" s="344" t="s">
        <v>13</v>
      </c>
      <c r="C4" s="345">
        <v>2173113</v>
      </c>
      <c r="D4" s="345">
        <v>9633</v>
      </c>
      <c r="E4" s="345">
        <v>140458</v>
      </c>
      <c r="F4" s="345">
        <v>260004</v>
      </c>
      <c r="G4" s="345">
        <v>194670</v>
      </c>
      <c r="H4" s="346">
        <v>2777878</v>
      </c>
      <c r="I4" s="345">
        <v>2583208</v>
      </c>
      <c r="J4" s="345">
        <v>7788</v>
      </c>
      <c r="K4" s="347">
        <v>94.25</v>
      </c>
      <c r="L4" s="347">
        <v>93.8</v>
      </c>
      <c r="M4" s="347">
        <v>7.07</v>
      </c>
      <c r="N4" s="347">
        <v>98.49</v>
      </c>
      <c r="O4" s="348">
        <v>1835331</v>
      </c>
      <c r="P4" s="345">
        <v>90.81</v>
      </c>
      <c r="Q4" s="345">
        <v>86.22</v>
      </c>
      <c r="R4" s="345">
        <v>43.17</v>
      </c>
      <c r="S4" s="345">
        <v>131.75</v>
      </c>
      <c r="T4" s="345">
        <v>334761</v>
      </c>
      <c r="U4" s="345">
        <v>128.62</v>
      </c>
      <c r="V4" s="345">
        <v>254218</v>
      </c>
      <c r="W4" s="345">
        <v>172.58</v>
      </c>
      <c r="X4" s="345">
        <v>14553</v>
      </c>
      <c r="Y4" s="345">
        <v>5109</v>
      </c>
      <c r="Z4" s="345">
        <v>5951</v>
      </c>
      <c r="AA4" s="345">
        <v>2792</v>
      </c>
      <c r="AB4" s="345">
        <v>12396</v>
      </c>
      <c r="AC4" s="345">
        <v>4424</v>
      </c>
      <c r="AD4" s="349">
        <v>2115391</v>
      </c>
      <c r="AE4" s="345">
        <v>16888</v>
      </c>
      <c r="AF4" s="345">
        <v>13840</v>
      </c>
      <c r="AG4" s="345">
        <v>30728</v>
      </c>
    </row>
    <row r="5" spans="1:33" x14ac:dyDescent="0.25">
      <c r="A5" s="350" t="s">
        <v>78</v>
      </c>
      <c r="B5" s="350" t="s">
        <v>78</v>
      </c>
      <c r="C5" s="346">
        <v>115392</v>
      </c>
      <c r="D5" s="346">
        <v>477</v>
      </c>
      <c r="E5" s="346">
        <v>8775</v>
      </c>
      <c r="F5" s="346">
        <v>22302</v>
      </c>
      <c r="G5" s="346">
        <v>14223</v>
      </c>
      <c r="H5" s="346">
        <v>161169</v>
      </c>
      <c r="I5" s="345">
        <v>146946</v>
      </c>
      <c r="J5" s="345">
        <v>463</v>
      </c>
      <c r="K5" s="347">
        <v>86.61</v>
      </c>
      <c r="L5" s="347">
        <v>86.02</v>
      </c>
      <c r="M5" s="347">
        <v>5.09</v>
      </c>
      <c r="N5" s="347">
        <v>89.91</v>
      </c>
      <c r="O5" s="348">
        <v>95498</v>
      </c>
      <c r="P5" s="345">
        <v>87.22</v>
      </c>
      <c r="Q5" s="345">
        <v>81.3</v>
      </c>
      <c r="R5" s="345">
        <v>41.6</v>
      </c>
      <c r="S5" s="345">
        <v>126.89</v>
      </c>
      <c r="T5" s="345">
        <v>27543</v>
      </c>
      <c r="U5" s="345">
        <v>104.89</v>
      </c>
      <c r="V5" s="345">
        <v>15517</v>
      </c>
      <c r="W5" s="345">
        <v>174.97</v>
      </c>
      <c r="X5" s="345">
        <v>702</v>
      </c>
      <c r="Y5" s="345">
        <v>78</v>
      </c>
      <c r="Z5" s="345">
        <v>642</v>
      </c>
      <c r="AA5" s="345">
        <v>151</v>
      </c>
      <c r="AB5" s="345">
        <v>1033</v>
      </c>
      <c r="AC5" s="345">
        <v>255</v>
      </c>
      <c r="AD5" s="349">
        <v>112953</v>
      </c>
      <c r="AE5" s="345">
        <v>1108</v>
      </c>
      <c r="AF5" s="345">
        <v>558</v>
      </c>
      <c r="AG5" s="345">
        <v>1666</v>
      </c>
    </row>
    <row r="6" spans="1:33" x14ac:dyDescent="0.25">
      <c r="A6" s="350" t="s">
        <v>79</v>
      </c>
      <c r="B6" s="350" t="s">
        <v>79</v>
      </c>
      <c r="C6" s="346">
        <v>220952</v>
      </c>
      <c r="D6" s="346">
        <v>1615</v>
      </c>
      <c r="E6" s="346">
        <v>11778</v>
      </c>
      <c r="F6" s="346">
        <v>27979</v>
      </c>
      <c r="G6" s="346">
        <v>21529</v>
      </c>
      <c r="H6" s="346">
        <v>283853</v>
      </c>
      <c r="I6" s="345">
        <v>262324</v>
      </c>
      <c r="J6" s="345">
        <v>1154</v>
      </c>
      <c r="K6" s="347">
        <v>98.35</v>
      </c>
      <c r="L6" s="347">
        <v>98.39</v>
      </c>
      <c r="M6" s="347">
        <v>6.27</v>
      </c>
      <c r="N6" s="347">
        <v>101.58</v>
      </c>
      <c r="O6" s="348">
        <v>184562</v>
      </c>
      <c r="P6" s="345">
        <v>92.73</v>
      </c>
      <c r="Q6" s="345">
        <v>88.38</v>
      </c>
      <c r="R6" s="345">
        <v>37.119999999999997</v>
      </c>
      <c r="S6" s="345">
        <v>128.62</v>
      </c>
      <c r="T6" s="345">
        <v>34498</v>
      </c>
      <c r="U6" s="345">
        <v>133.41999999999999</v>
      </c>
      <c r="V6" s="345">
        <v>30723</v>
      </c>
      <c r="W6" s="345">
        <v>168.59</v>
      </c>
      <c r="X6" s="345">
        <v>571</v>
      </c>
      <c r="Y6" s="345">
        <v>845</v>
      </c>
      <c r="Z6" s="345">
        <v>227</v>
      </c>
      <c r="AA6" s="345">
        <v>178</v>
      </c>
      <c r="AB6" s="345">
        <v>1654</v>
      </c>
      <c r="AC6" s="345">
        <v>334</v>
      </c>
      <c r="AD6" s="349">
        <v>219194</v>
      </c>
      <c r="AE6" s="345">
        <v>1497</v>
      </c>
      <c r="AF6" s="345">
        <v>1230</v>
      </c>
      <c r="AG6" s="345">
        <v>2727</v>
      </c>
    </row>
    <row r="7" spans="1:33" x14ac:dyDescent="0.25">
      <c r="A7" s="350" t="s">
        <v>80</v>
      </c>
      <c r="B7" s="350" t="s">
        <v>80</v>
      </c>
      <c r="C7" s="346">
        <v>357760</v>
      </c>
      <c r="D7" s="346">
        <v>4442</v>
      </c>
      <c r="E7" s="346">
        <v>26130</v>
      </c>
      <c r="F7" s="346">
        <v>27740</v>
      </c>
      <c r="G7" s="346">
        <v>48444</v>
      </c>
      <c r="H7" s="346">
        <v>464516</v>
      </c>
      <c r="I7" s="345">
        <v>416072</v>
      </c>
      <c r="J7" s="345">
        <v>1487</v>
      </c>
      <c r="K7" s="347">
        <v>120.7</v>
      </c>
      <c r="L7" s="347">
        <v>123.11</v>
      </c>
      <c r="M7" s="347">
        <v>12.8</v>
      </c>
      <c r="N7" s="347">
        <v>129.91</v>
      </c>
      <c r="O7" s="348">
        <v>293142</v>
      </c>
      <c r="P7" s="345">
        <v>109.67</v>
      </c>
      <c r="Q7" s="345">
        <v>106.99</v>
      </c>
      <c r="R7" s="345">
        <v>52.87</v>
      </c>
      <c r="S7" s="345">
        <v>157.59</v>
      </c>
      <c r="T7" s="345">
        <v>42538</v>
      </c>
      <c r="U7" s="345">
        <v>191.11</v>
      </c>
      <c r="V7" s="345">
        <v>34054</v>
      </c>
      <c r="W7" s="345">
        <v>209</v>
      </c>
      <c r="X7" s="345">
        <v>1370</v>
      </c>
      <c r="Y7" s="345">
        <v>481</v>
      </c>
      <c r="Z7" s="345">
        <v>106</v>
      </c>
      <c r="AA7" s="345">
        <v>531</v>
      </c>
      <c r="AB7" s="345">
        <v>2359</v>
      </c>
      <c r="AC7" s="345">
        <v>1641</v>
      </c>
      <c r="AD7" s="349">
        <v>336462</v>
      </c>
      <c r="AE7" s="345">
        <v>2438</v>
      </c>
      <c r="AF7" s="345">
        <v>2198</v>
      </c>
      <c r="AG7" s="345">
        <v>4636</v>
      </c>
    </row>
    <row r="8" spans="1:33" x14ac:dyDescent="0.25">
      <c r="A8" s="350" t="s">
        <v>81</v>
      </c>
      <c r="B8" s="350" t="s">
        <v>81</v>
      </c>
      <c r="C8" s="346">
        <v>158775</v>
      </c>
      <c r="D8" s="346">
        <v>204</v>
      </c>
      <c r="E8" s="346">
        <v>6234</v>
      </c>
      <c r="F8" s="346">
        <v>16470</v>
      </c>
      <c r="G8" s="346">
        <v>3510</v>
      </c>
      <c r="H8" s="346">
        <v>185193</v>
      </c>
      <c r="I8" s="345">
        <v>181683</v>
      </c>
      <c r="J8" s="345">
        <v>144</v>
      </c>
      <c r="K8" s="347">
        <v>77.17</v>
      </c>
      <c r="L8" s="347">
        <v>76.34</v>
      </c>
      <c r="M8" s="347">
        <v>6.2</v>
      </c>
      <c r="N8" s="347">
        <v>79.13</v>
      </c>
      <c r="O8" s="348">
        <v>140118</v>
      </c>
      <c r="P8" s="345">
        <v>84.97</v>
      </c>
      <c r="Q8" s="345">
        <v>75.17</v>
      </c>
      <c r="R8" s="345">
        <v>48.62</v>
      </c>
      <c r="S8" s="345">
        <v>128.44999999999999</v>
      </c>
      <c r="T8" s="345">
        <v>18999</v>
      </c>
      <c r="U8" s="345">
        <v>94.71</v>
      </c>
      <c r="V8" s="345">
        <v>15390</v>
      </c>
      <c r="W8" s="345">
        <v>155.46</v>
      </c>
      <c r="X8" s="345">
        <v>2225</v>
      </c>
      <c r="Y8" s="345">
        <v>1166</v>
      </c>
      <c r="Z8" s="345">
        <v>595</v>
      </c>
      <c r="AA8" s="345">
        <v>55</v>
      </c>
      <c r="AB8" s="345">
        <v>314</v>
      </c>
      <c r="AC8" s="345">
        <v>58</v>
      </c>
      <c r="AD8" s="349">
        <v>155740</v>
      </c>
      <c r="AE8" s="345">
        <v>2190</v>
      </c>
      <c r="AF8" s="345">
        <v>1472</v>
      </c>
      <c r="AG8" s="345">
        <v>3662</v>
      </c>
    </row>
    <row r="9" spans="1:33" x14ac:dyDescent="0.25">
      <c r="A9" s="350" t="s">
        <v>82</v>
      </c>
      <c r="B9" s="350" t="s">
        <v>82</v>
      </c>
      <c r="C9" s="346">
        <v>431184</v>
      </c>
      <c r="D9" s="346">
        <v>314</v>
      </c>
      <c r="E9" s="346">
        <v>23250</v>
      </c>
      <c r="F9" s="346">
        <v>50943</v>
      </c>
      <c r="G9" s="346">
        <v>15415</v>
      </c>
      <c r="H9" s="346">
        <v>521106</v>
      </c>
      <c r="I9" s="345">
        <v>505691</v>
      </c>
      <c r="J9" s="345">
        <v>1017</v>
      </c>
      <c r="K9" s="347">
        <v>81.47</v>
      </c>
      <c r="L9" s="347">
        <v>80.72</v>
      </c>
      <c r="M9" s="347">
        <v>5.21</v>
      </c>
      <c r="N9" s="347">
        <v>84.39</v>
      </c>
      <c r="O9" s="348">
        <v>371344</v>
      </c>
      <c r="P9" s="345">
        <v>83.77</v>
      </c>
      <c r="Q9" s="345">
        <v>76.739999999999995</v>
      </c>
      <c r="R9" s="345">
        <v>38.42</v>
      </c>
      <c r="S9" s="345">
        <v>119.99</v>
      </c>
      <c r="T9" s="345">
        <v>65122</v>
      </c>
      <c r="U9" s="345">
        <v>102.53</v>
      </c>
      <c r="V9" s="345">
        <v>48867</v>
      </c>
      <c r="W9" s="345">
        <v>150.69999999999999</v>
      </c>
      <c r="X9" s="345">
        <v>2031</v>
      </c>
      <c r="Y9" s="345">
        <v>182</v>
      </c>
      <c r="Z9" s="345">
        <v>1936</v>
      </c>
      <c r="AA9" s="345">
        <v>224</v>
      </c>
      <c r="AB9" s="345">
        <v>1082</v>
      </c>
      <c r="AC9" s="345">
        <v>293</v>
      </c>
      <c r="AD9" s="349">
        <v>421199</v>
      </c>
      <c r="AE9" s="345">
        <v>3169</v>
      </c>
      <c r="AF9" s="345">
        <v>2825</v>
      </c>
      <c r="AG9" s="345">
        <v>5994</v>
      </c>
    </row>
    <row r="10" spans="1:33" x14ac:dyDescent="0.25">
      <c r="A10" s="350" t="s">
        <v>83</v>
      </c>
      <c r="B10" s="350" t="s">
        <v>83</v>
      </c>
      <c r="C10" s="346">
        <v>299318</v>
      </c>
      <c r="D10" s="346">
        <v>1048</v>
      </c>
      <c r="E10" s="346">
        <v>15703</v>
      </c>
      <c r="F10" s="346">
        <v>39128</v>
      </c>
      <c r="G10" s="346">
        <v>45210</v>
      </c>
      <c r="H10" s="346">
        <v>400407</v>
      </c>
      <c r="I10" s="345">
        <v>355197</v>
      </c>
      <c r="J10" s="345">
        <v>1952</v>
      </c>
      <c r="K10" s="347">
        <v>106.88</v>
      </c>
      <c r="L10" s="347">
        <v>105.2</v>
      </c>
      <c r="M10" s="347">
        <v>6.41</v>
      </c>
      <c r="N10" s="347">
        <v>110.85</v>
      </c>
      <c r="O10" s="348">
        <v>245700</v>
      </c>
      <c r="P10" s="345">
        <v>96.59</v>
      </c>
      <c r="Q10" s="345">
        <v>92.09</v>
      </c>
      <c r="R10" s="345">
        <v>37.01</v>
      </c>
      <c r="S10" s="345">
        <v>131.93</v>
      </c>
      <c r="T10" s="345">
        <v>43391</v>
      </c>
      <c r="U10" s="345">
        <v>153.12</v>
      </c>
      <c r="V10" s="345">
        <v>43083</v>
      </c>
      <c r="W10" s="345">
        <v>179.24</v>
      </c>
      <c r="X10" s="345">
        <v>2257</v>
      </c>
      <c r="Y10" s="345">
        <v>1065</v>
      </c>
      <c r="Z10" s="345">
        <v>186</v>
      </c>
      <c r="AA10" s="345">
        <v>325</v>
      </c>
      <c r="AB10" s="345">
        <v>2975</v>
      </c>
      <c r="AC10" s="345">
        <v>873</v>
      </c>
      <c r="AD10" s="349">
        <v>292227</v>
      </c>
      <c r="AE10" s="345">
        <v>2125</v>
      </c>
      <c r="AF10" s="345">
        <v>1400</v>
      </c>
      <c r="AG10" s="345">
        <v>3525</v>
      </c>
    </row>
    <row r="11" spans="1:33" x14ac:dyDescent="0.25">
      <c r="A11" s="350" t="s">
        <v>84</v>
      </c>
      <c r="B11" s="350" t="s">
        <v>84</v>
      </c>
      <c r="C11" s="346">
        <v>199243</v>
      </c>
      <c r="D11" s="346">
        <v>316</v>
      </c>
      <c r="E11" s="346">
        <v>14202</v>
      </c>
      <c r="F11" s="346">
        <v>30092</v>
      </c>
      <c r="G11" s="346">
        <v>21740</v>
      </c>
      <c r="H11" s="346">
        <v>265593</v>
      </c>
      <c r="I11" s="345">
        <v>243853</v>
      </c>
      <c r="J11" s="345">
        <v>640</v>
      </c>
      <c r="K11" s="347">
        <v>91.21</v>
      </c>
      <c r="L11" s="347">
        <v>89.8</v>
      </c>
      <c r="M11" s="347">
        <v>4.92</v>
      </c>
      <c r="N11" s="347">
        <v>94.57</v>
      </c>
      <c r="O11" s="348">
        <v>164787</v>
      </c>
      <c r="P11" s="345">
        <v>85.94</v>
      </c>
      <c r="Q11" s="345">
        <v>82.1</v>
      </c>
      <c r="R11" s="345">
        <v>33.58</v>
      </c>
      <c r="S11" s="345">
        <v>118.48</v>
      </c>
      <c r="T11" s="345">
        <v>37013</v>
      </c>
      <c r="U11" s="345">
        <v>121.67</v>
      </c>
      <c r="V11" s="345">
        <v>26030</v>
      </c>
      <c r="W11" s="345">
        <v>159.99</v>
      </c>
      <c r="X11" s="345">
        <v>1694</v>
      </c>
      <c r="Y11" s="345">
        <v>776</v>
      </c>
      <c r="Z11" s="345">
        <v>271</v>
      </c>
      <c r="AA11" s="345">
        <v>382</v>
      </c>
      <c r="AB11" s="345">
        <v>1492</v>
      </c>
      <c r="AC11" s="345">
        <v>437</v>
      </c>
      <c r="AD11" s="349">
        <v>192789</v>
      </c>
      <c r="AE11" s="345">
        <v>1126</v>
      </c>
      <c r="AF11" s="345">
        <v>1405</v>
      </c>
      <c r="AG11" s="345">
        <v>2531</v>
      </c>
    </row>
    <row r="12" spans="1:33" x14ac:dyDescent="0.25">
      <c r="A12" s="350" t="s">
        <v>85</v>
      </c>
      <c r="B12" s="350" t="s">
        <v>85</v>
      </c>
      <c r="C12" s="346">
        <v>221887</v>
      </c>
      <c r="D12" s="346">
        <v>1177</v>
      </c>
      <c r="E12" s="346">
        <v>22563</v>
      </c>
      <c r="F12" s="346">
        <v>27703</v>
      </c>
      <c r="G12" s="346">
        <v>16817</v>
      </c>
      <c r="H12" s="346">
        <v>290147</v>
      </c>
      <c r="I12" s="345">
        <v>273330</v>
      </c>
      <c r="J12" s="345">
        <v>280</v>
      </c>
      <c r="K12" s="347">
        <v>87.63</v>
      </c>
      <c r="L12" s="347">
        <v>86.75</v>
      </c>
      <c r="M12" s="347">
        <v>6.2</v>
      </c>
      <c r="N12" s="347">
        <v>91.82</v>
      </c>
      <c r="O12" s="348">
        <v>194233</v>
      </c>
      <c r="P12" s="345">
        <v>86.3</v>
      </c>
      <c r="Q12" s="345">
        <v>88.38</v>
      </c>
      <c r="R12" s="345">
        <v>59.95</v>
      </c>
      <c r="S12" s="345">
        <v>144.22999999999999</v>
      </c>
      <c r="T12" s="345">
        <v>40943</v>
      </c>
      <c r="U12" s="345">
        <v>109.44</v>
      </c>
      <c r="V12" s="345">
        <v>21506</v>
      </c>
      <c r="W12" s="345">
        <v>187.88</v>
      </c>
      <c r="X12" s="345">
        <v>2869</v>
      </c>
      <c r="Y12" s="345">
        <v>516</v>
      </c>
      <c r="Z12" s="345">
        <v>1484</v>
      </c>
      <c r="AA12" s="345">
        <v>615</v>
      </c>
      <c r="AB12" s="345">
        <v>816</v>
      </c>
      <c r="AC12" s="345">
        <v>365</v>
      </c>
      <c r="AD12" s="349">
        <v>218087</v>
      </c>
      <c r="AE12" s="345">
        <v>1830</v>
      </c>
      <c r="AF12" s="345">
        <v>1178</v>
      </c>
      <c r="AG12" s="345">
        <v>3008</v>
      </c>
    </row>
    <row r="13" spans="1:33" x14ac:dyDescent="0.25">
      <c r="A13" s="350" t="s">
        <v>788</v>
      </c>
      <c r="B13" s="350" t="s">
        <v>788</v>
      </c>
      <c r="C13" s="346">
        <v>168602</v>
      </c>
      <c r="D13" s="346">
        <v>40</v>
      </c>
      <c r="E13" s="346">
        <v>11823</v>
      </c>
      <c r="F13" s="346">
        <v>17647</v>
      </c>
      <c r="G13" s="346">
        <v>7782</v>
      </c>
      <c r="H13" s="346">
        <v>205894</v>
      </c>
      <c r="I13" s="345">
        <v>198112</v>
      </c>
      <c r="J13" s="345">
        <v>651</v>
      </c>
      <c r="K13" s="347">
        <v>80.88</v>
      </c>
      <c r="L13" s="347">
        <v>79.989999999999995</v>
      </c>
      <c r="M13" s="347">
        <v>5.48</v>
      </c>
      <c r="N13" s="347">
        <v>84.06</v>
      </c>
      <c r="O13" s="348">
        <v>145947</v>
      </c>
      <c r="P13" s="345">
        <v>87.3</v>
      </c>
      <c r="Q13" s="345">
        <v>78.14</v>
      </c>
      <c r="R13" s="345">
        <v>43.27</v>
      </c>
      <c r="S13" s="345">
        <v>129.47</v>
      </c>
      <c r="T13" s="345">
        <v>24714</v>
      </c>
      <c r="U13" s="345">
        <v>98.6</v>
      </c>
      <c r="V13" s="345">
        <v>19048</v>
      </c>
      <c r="W13" s="345">
        <v>167.34</v>
      </c>
      <c r="X13" s="345">
        <v>834</v>
      </c>
      <c r="Y13" s="345">
        <v>0</v>
      </c>
      <c r="Z13" s="345">
        <v>504</v>
      </c>
      <c r="AA13" s="345">
        <v>331</v>
      </c>
      <c r="AB13" s="345">
        <v>671</v>
      </c>
      <c r="AC13" s="345">
        <v>168</v>
      </c>
      <c r="AD13" s="349">
        <v>166740</v>
      </c>
      <c r="AE13" s="345">
        <v>1405</v>
      </c>
      <c r="AF13" s="345">
        <v>1574</v>
      </c>
      <c r="AG13" s="345">
        <v>2979</v>
      </c>
    </row>
    <row r="14" spans="1:33" x14ac:dyDescent="0.25">
      <c r="A14" s="344" t="s">
        <v>86</v>
      </c>
      <c r="B14" s="350" t="s">
        <v>87</v>
      </c>
      <c r="C14" s="346">
        <v>876</v>
      </c>
      <c r="D14" s="346">
        <v>0</v>
      </c>
      <c r="E14" s="346">
        <v>76</v>
      </c>
      <c r="F14" s="346">
        <v>149</v>
      </c>
      <c r="G14" s="346">
        <v>189</v>
      </c>
      <c r="H14" s="346">
        <v>1290</v>
      </c>
      <c r="I14" s="345">
        <v>1101</v>
      </c>
      <c r="J14" s="345">
        <v>13</v>
      </c>
      <c r="K14" s="347">
        <v>110.93</v>
      </c>
      <c r="L14" s="347">
        <v>107.67</v>
      </c>
      <c r="M14" s="347">
        <v>5.56</v>
      </c>
      <c r="N14" s="347">
        <v>115.36</v>
      </c>
      <c r="O14" s="348">
        <v>730</v>
      </c>
      <c r="P14" s="345">
        <v>83.84</v>
      </c>
      <c r="Q14" s="345">
        <v>81.83</v>
      </c>
      <c r="R14" s="345">
        <v>35.9</v>
      </c>
      <c r="S14" s="345">
        <v>119.54</v>
      </c>
      <c r="T14" s="345">
        <v>179</v>
      </c>
      <c r="U14" s="345">
        <v>155.26</v>
      </c>
      <c r="V14" s="345">
        <v>118</v>
      </c>
      <c r="W14" s="345">
        <v>145.5</v>
      </c>
      <c r="X14" s="345">
        <v>23</v>
      </c>
      <c r="Y14" s="345">
        <v>0</v>
      </c>
      <c r="Z14" s="345">
        <v>1</v>
      </c>
      <c r="AA14" s="345">
        <v>0</v>
      </c>
      <c r="AB14" s="345">
        <v>9</v>
      </c>
      <c r="AC14" s="345">
        <v>3</v>
      </c>
      <c r="AD14" s="349">
        <v>855</v>
      </c>
      <c r="AE14" s="349">
        <v>0</v>
      </c>
      <c r="AF14" s="349">
        <v>25</v>
      </c>
      <c r="AG14" s="349">
        <v>25</v>
      </c>
    </row>
    <row r="15" spans="1:33" x14ac:dyDescent="0.25">
      <c r="A15" s="344" t="s">
        <v>88</v>
      </c>
      <c r="B15" s="350" t="s">
        <v>89</v>
      </c>
      <c r="C15" s="346">
        <v>8306</v>
      </c>
      <c r="D15" s="346">
        <v>4</v>
      </c>
      <c r="E15" s="346">
        <v>146</v>
      </c>
      <c r="F15" s="346">
        <v>404</v>
      </c>
      <c r="G15" s="346">
        <v>121</v>
      </c>
      <c r="H15" s="346">
        <v>8981</v>
      </c>
      <c r="I15" s="345">
        <v>8860</v>
      </c>
      <c r="J15" s="345">
        <v>2</v>
      </c>
      <c r="K15" s="347">
        <v>84.53</v>
      </c>
      <c r="L15" s="347">
        <v>81.349999999999994</v>
      </c>
      <c r="M15" s="347">
        <v>2.4</v>
      </c>
      <c r="N15" s="347">
        <v>86.52</v>
      </c>
      <c r="O15" s="348">
        <v>7286</v>
      </c>
      <c r="P15" s="345">
        <v>81.02</v>
      </c>
      <c r="Q15" s="345">
        <v>73.099999999999994</v>
      </c>
      <c r="R15" s="345">
        <v>41.63</v>
      </c>
      <c r="S15" s="345">
        <v>119.73</v>
      </c>
      <c r="T15" s="345">
        <v>470</v>
      </c>
      <c r="U15" s="345">
        <v>103.45</v>
      </c>
      <c r="V15" s="345">
        <v>466</v>
      </c>
      <c r="W15" s="345">
        <v>128.37</v>
      </c>
      <c r="X15" s="345">
        <v>49</v>
      </c>
      <c r="Y15" s="345">
        <v>0</v>
      </c>
      <c r="Z15" s="345">
        <v>2</v>
      </c>
      <c r="AA15" s="345">
        <v>1</v>
      </c>
      <c r="AB15" s="345">
        <v>4</v>
      </c>
      <c r="AC15" s="345">
        <v>0</v>
      </c>
      <c r="AD15" s="349">
        <v>7616</v>
      </c>
      <c r="AE15" s="349">
        <v>93</v>
      </c>
      <c r="AF15" s="349">
        <v>64</v>
      </c>
      <c r="AG15" s="349">
        <v>157</v>
      </c>
    </row>
    <row r="16" spans="1:33" x14ac:dyDescent="0.25">
      <c r="A16" s="344" t="s">
        <v>90</v>
      </c>
      <c r="B16" s="350" t="s">
        <v>91</v>
      </c>
      <c r="C16" s="346">
        <v>4675</v>
      </c>
      <c r="D16" s="346">
        <v>0</v>
      </c>
      <c r="E16" s="346">
        <v>167</v>
      </c>
      <c r="F16" s="346">
        <v>2434</v>
      </c>
      <c r="G16" s="346">
        <v>215</v>
      </c>
      <c r="H16" s="346">
        <v>7491</v>
      </c>
      <c r="I16" s="345">
        <v>7276</v>
      </c>
      <c r="J16" s="345">
        <v>1</v>
      </c>
      <c r="K16" s="347">
        <v>87.76</v>
      </c>
      <c r="L16" s="347">
        <v>87.35</v>
      </c>
      <c r="M16" s="347">
        <v>2.41</v>
      </c>
      <c r="N16" s="347">
        <v>89.96</v>
      </c>
      <c r="O16" s="348">
        <v>4292</v>
      </c>
      <c r="P16" s="345">
        <v>82.34</v>
      </c>
      <c r="Q16" s="345">
        <v>84.81</v>
      </c>
      <c r="R16" s="345">
        <v>9.3800000000000008</v>
      </c>
      <c r="S16" s="345">
        <v>91.66</v>
      </c>
      <c r="T16" s="345">
        <v>2548</v>
      </c>
      <c r="U16" s="345">
        <v>100.48</v>
      </c>
      <c r="V16" s="345">
        <v>375</v>
      </c>
      <c r="W16" s="345">
        <v>0</v>
      </c>
      <c r="X16" s="345">
        <v>0</v>
      </c>
      <c r="Y16" s="345">
        <v>0</v>
      </c>
      <c r="Z16" s="345">
        <v>40</v>
      </c>
      <c r="AA16" s="345">
        <v>5</v>
      </c>
      <c r="AB16" s="345">
        <v>0</v>
      </c>
      <c r="AC16" s="345">
        <v>4</v>
      </c>
      <c r="AD16" s="349">
        <v>4648</v>
      </c>
      <c r="AE16" s="349">
        <v>39</v>
      </c>
      <c r="AF16" s="349">
        <v>1</v>
      </c>
      <c r="AG16" s="349">
        <v>40</v>
      </c>
    </row>
    <row r="17" spans="1:33" x14ac:dyDescent="0.25">
      <c r="A17" s="344" t="s">
        <v>92</v>
      </c>
      <c r="B17" s="350" t="s">
        <v>93</v>
      </c>
      <c r="C17" s="346">
        <v>2979</v>
      </c>
      <c r="D17" s="346">
        <v>1</v>
      </c>
      <c r="E17" s="346">
        <v>231</v>
      </c>
      <c r="F17" s="346">
        <v>336</v>
      </c>
      <c r="G17" s="346">
        <v>628</v>
      </c>
      <c r="H17" s="346">
        <v>4175</v>
      </c>
      <c r="I17" s="345">
        <v>3547</v>
      </c>
      <c r="J17" s="345">
        <v>4</v>
      </c>
      <c r="K17" s="347">
        <v>107.39</v>
      </c>
      <c r="L17" s="347">
        <v>105.09</v>
      </c>
      <c r="M17" s="347">
        <v>5.52</v>
      </c>
      <c r="N17" s="347">
        <v>111.89</v>
      </c>
      <c r="O17" s="348">
        <v>2191</v>
      </c>
      <c r="P17" s="345">
        <v>92.61</v>
      </c>
      <c r="Q17" s="345">
        <v>87.13</v>
      </c>
      <c r="R17" s="345">
        <v>50.96</v>
      </c>
      <c r="S17" s="345">
        <v>142.41999999999999</v>
      </c>
      <c r="T17" s="345">
        <v>399</v>
      </c>
      <c r="U17" s="345">
        <v>151.24</v>
      </c>
      <c r="V17" s="345">
        <v>727</v>
      </c>
      <c r="W17" s="345">
        <v>0</v>
      </c>
      <c r="X17" s="345">
        <v>0</v>
      </c>
      <c r="Y17" s="345">
        <v>160</v>
      </c>
      <c r="Z17" s="345">
        <v>0</v>
      </c>
      <c r="AA17" s="345">
        <v>9</v>
      </c>
      <c r="AB17" s="345">
        <v>33</v>
      </c>
      <c r="AC17" s="345">
        <v>6</v>
      </c>
      <c r="AD17" s="349">
        <v>2977</v>
      </c>
      <c r="AE17" s="349">
        <v>12</v>
      </c>
      <c r="AF17" s="349">
        <v>8</v>
      </c>
      <c r="AG17" s="349">
        <v>20</v>
      </c>
    </row>
    <row r="18" spans="1:33" x14ac:dyDescent="0.25">
      <c r="A18" s="344" t="s">
        <v>94</v>
      </c>
      <c r="B18" s="350" t="s">
        <v>95</v>
      </c>
      <c r="C18" s="346">
        <v>1619</v>
      </c>
      <c r="D18" s="346">
        <v>0</v>
      </c>
      <c r="E18" s="346">
        <v>178</v>
      </c>
      <c r="F18" s="346">
        <v>284</v>
      </c>
      <c r="G18" s="346">
        <v>168</v>
      </c>
      <c r="H18" s="346">
        <v>2249</v>
      </c>
      <c r="I18" s="345">
        <v>2081</v>
      </c>
      <c r="J18" s="345">
        <v>0</v>
      </c>
      <c r="K18" s="347">
        <v>85.14</v>
      </c>
      <c r="L18" s="347">
        <v>83.14</v>
      </c>
      <c r="M18" s="347">
        <v>5.29</v>
      </c>
      <c r="N18" s="347">
        <v>87.73</v>
      </c>
      <c r="O18" s="348">
        <v>1346</v>
      </c>
      <c r="P18" s="345">
        <v>94.8</v>
      </c>
      <c r="Q18" s="345">
        <v>86.35</v>
      </c>
      <c r="R18" s="345">
        <v>52.96</v>
      </c>
      <c r="S18" s="345">
        <v>146.62</v>
      </c>
      <c r="T18" s="345">
        <v>461</v>
      </c>
      <c r="U18" s="345">
        <v>98.01</v>
      </c>
      <c r="V18" s="345">
        <v>201</v>
      </c>
      <c r="W18" s="345">
        <v>0</v>
      </c>
      <c r="X18" s="345">
        <v>0</v>
      </c>
      <c r="Y18" s="345">
        <v>0</v>
      </c>
      <c r="Z18" s="345">
        <v>9</v>
      </c>
      <c r="AA18" s="345">
        <v>0</v>
      </c>
      <c r="AB18" s="345">
        <v>5</v>
      </c>
      <c r="AC18" s="345">
        <v>3</v>
      </c>
      <c r="AD18" s="349">
        <v>1619</v>
      </c>
      <c r="AE18" s="349">
        <v>13</v>
      </c>
      <c r="AF18" s="349">
        <v>4</v>
      </c>
      <c r="AG18" s="349">
        <v>17</v>
      </c>
    </row>
    <row r="19" spans="1:33" x14ac:dyDescent="0.25">
      <c r="A19" s="344" t="s">
        <v>96</v>
      </c>
      <c r="B19" s="350" t="s">
        <v>97</v>
      </c>
      <c r="C19" s="346">
        <v>2343</v>
      </c>
      <c r="D19" s="346">
        <v>0</v>
      </c>
      <c r="E19" s="346">
        <v>119</v>
      </c>
      <c r="F19" s="346">
        <v>184</v>
      </c>
      <c r="G19" s="346">
        <v>778</v>
      </c>
      <c r="H19" s="346">
        <v>3424</v>
      </c>
      <c r="I19" s="345">
        <v>2646</v>
      </c>
      <c r="J19" s="345">
        <v>6</v>
      </c>
      <c r="K19" s="347">
        <v>99.03</v>
      </c>
      <c r="L19" s="347">
        <v>97.01</v>
      </c>
      <c r="M19" s="347">
        <v>6.99</v>
      </c>
      <c r="N19" s="347">
        <v>104.8</v>
      </c>
      <c r="O19" s="348">
        <v>1766</v>
      </c>
      <c r="P19" s="345">
        <v>110.97</v>
      </c>
      <c r="Q19" s="345">
        <v>81.16</v>
      </c>
      <c r="R19" s="345">
        <v>46</v>
      </c>
      <c r="S19" s="345">
        <v>152.4</v>
      </c>
      <c r="T19" s="345">
        <v>252</v>
      </c>
      <c r="U19" s="345">
        <v>137.86000000000001</v>
      </c>
      <c r="V19" s="345">
        <v>507</v>
      </c>
      <c r="W19" s="345">
        <v>193.25</v>
      </c>
      <c r="X19" s="345">
        <v>51</v>
      </c>
      <c r="Y19" s="345">
        <v>73</v>
      </c>
      <c r="Z19" s="345">
        <v>0</v>
      </c>
      <c r="AA19" s="345">
        <v>0</v>
      </c>
      <c r="AB19" s="345">
        <v>40</v>
      </c>
      <c r="AC19" s="345">
        <v>11</v>
      </c>
      <c r="AD19" s="349">
        <v>2303</v>
      </c>
      <c r="AE19" s="349">
        <v>17</v>
      </c>
      <c r="AF19" s="349">
        <v>4</v>
      </c>
      <c r="AG19" s="349">
        <v>21</v>
      </c>
    </row>
    <row r="20" spans="1:33" x14ac:dyDescent="0.25">
      <c r="A20" s="344" t="s">
        <v>98</v>
      </c>
      <c r="B20" s="350" t="s">
        <v>99</v>
      </c>
      <c r="C20" s="346">
        <v>1783</v>
      </c>
      <c r="D20" s="346">
        <v>0</v>
      </c>
      <c r="E20" s="346">
        <v>122</v>
      </c>
      <c r="F20" s="346">
        <v>92</v>
      </c>
      <c r="G20" s="346">
        <v>219</v>
      </c>
      <c r="H20" s="346">
        <v>2216</v>
      </c>
      <c r="I20" s="345">
        <v>1997</v>
      </c>
      <c r="J20" s="345">
        <v>3</v>
      </c>
      <c r="K20" s="347">
        <v>92.08</v>
      </c>
      <c r="L20" s="347">
        <v>92.08</v>
      </c>
      <c r="M20" s="347">
        <v>4.45</v>
      </c>
      <c r="N20" s="347">
        <v>94.56</v>
      </c>
      <c r="O20" s="348">
        <v>1267</v>
      </c>
      <c r="P20" s="345">
        <v>108.55</v>
      </c>
      <c r="Q20" s="345">
        <v>86.75</v>
      </c>
      <c r="R20" s="345">
        <v>60.04</v>
      </c>
      <c r="S20" s="345">
        <v>165.79</v>
      </c>
      <c r="T20" s="345">
        <v>193</v>
      </c>
      <c r="U20" s="345">
        <v>116.38</v>
      </c>
      <c r="V20" s="345">
        <v>485</v>
      </c>
      <c r="W20" s="345">
        <v>106.64</v>
      </c>
      <c r="X20" s="345">
        <v>2</v>
      </c>
      <c r="Y20" s="345">
        <v>14</v>
      </c>
      <c r="Z20" s="345">
        <v>0</v>
      </c>
      <c r="AA20" s="345">
        <v>1</v>
      </c>
      <c r="AB20" s="345">
        <v>24</v>
      </c>
      <c r="AC20" s="345">
        <v>1</v>
      </c>
      <c r="AD20" s="349">
        <v>1783</v>
      </c>
      <c r="AE20" s="349">
        <v>11</v>
      </c>
      <c r="AF20" s="349">
        <v>3</v>
      </c>
      <c r="AG20" s="349">
        <v>14</v>
      </c>
    </row>
    <row r="21" spans="1:33" x14ac:dyDescent="0.25">
      <c r="A21" s="344" t="s">
        <v>100</v>
      </c>
      <c r="B21" s="350" t="s">
        <v>101</v>
      </c>
      <c r="C21" s="346">
        <v>4410</v>
      </c>
      <c r="D21" s="346">
        <v>0</v>
      </c>
      <c r="E21" s="346">
        <v>361</v>
      </c>
      <c r="F21" s="346">
        <v>455</v>
      </c>
      <c r="G21" s="346">
        <v>1021</v>
      </c>
      <c r="H21" s="346">
        <v>6247</v>
      </c>
      <c r="I21" s="345">
        <v>5226</v>
      </c>
      <c r="J21" s="345">
        <v>20</v>
      </c>
      <c r="K21" s="347">
        <v>121.89</v>
      </c>
      <c r="L21" s="347">
        <v>112.37</v>
      </c>
      <c r="M21" s="347">
        <v>7.69</v>
      </c>
      <c r="N21" s="347">
        <v>125.95</v>
      </c>
      <c r="O21" s="348">
        <v>2946</v>
      </c>
      <c r="P21" s="345">
        <v>102.3</v>
      </c>
      <c r="Q21" s="345">
        <v>102.74</v>
      </c>
      <c r="R21" s="345">
        <v>54.14</v>
      </c>
      <c r="S21" s="345">
        <v>155.38999999999999</v>
      </c>
      <c r="T21" s="345">
        <v>668</v>
      </c>
      <c r="U21" s="345">
        <v>166.23</v>
      </c>
      <c r="V21" s="345">
        <v>786</v>
      </c>
      <c r="W21" s="345">
        <v>0</v>
      </c>
      <c r="X21" s="345">
        <v>0</v>
      </c>
      <c r="Y21" s="345">
        <v>0</v>
      </c>
      <c r="Z21" s="345">
        <v>1</v>
      </c>
      <c r="AA21" s="345">
        <v>1</v>
      </c>
      <c r="AB21" s="345">
        <v>134</v>
      </c>
      <c r="AC21" s="345">
        <v>23</v>
      </c>
      <c r="AD21" s="349">
        <v>4397</v>
      </c>
      <c r="AE21" s="349">
        <v>38</v>
      </c>
      <c r="AF21" s="349">
        <v>20</v>
      </c>
      <c r="AG21" s="349">
        <v>58</v>
      </c>
    </row>
    <row r="22" spans="1:33" x14ac:dyDescent="0.25">
      <c r="A22" s="344" t="s">
        <v>102</v>
      </c>
      <c r="B22" s="350" t="s">
        <v>103</v>
      </c>
      <c r="C22" s="346">
        <v>7417</v>
      </c>
      <c r="D22" s="346">
        <v>17</v>
      </c>
      <c r="E22" s="346">
        <v>556</v>
      </c>
      <c r="F22" s="346">
        <v>1150</v>
      </c>
      <c r="G22" s="346">
        <v>1477</v>
      </c>
      <c r="H22" s="346">
        <v>10617</v>
      </c>
      <c r="I22" s="345">
        <v>9140</v>
      </c>
      <c r="J22" s="345">
        <v>10</v>
      </c>
      <c r="K22" s="347">
        <v>125.98</v>
      </c>
      <c r="L22" s="347">
        <v>126.28</v>
      </c>
      <c r="M22" s="347">
        <v>15.42</v>
      </c>
      <c r="N22" s="347">
        <v>138.71</v>
      </c>
      <c r="O22" s="348">
        <v>5818</v>
      </c>
      <c r="P22" s="345">
        <v>113.5</v>
      </c>
      <c r="Q22" s="345">
        <v>110.33</v>
      </c>
      <c r="R22" s="345">
        <v>53.09</v>
      </c>
      <c r="S22" s="345">
        <v>162.37</v>
      </c>
      <c r="T22" s="345">
        <v>892</v>
      </c>
      <c r="U22" s="345">
        <v>211.91</v>
      </c>
      <c r="V22" s="345">
        <v>1209</v>
      </c>
      <c r="W22" s="345">
        <v>224.02</v>
      </c>
      <c r="X22" s="345">
        <v>37</v>
      </c>
      <c r="Y22" s="345">
        <v>0</v>
      </c>
      <c r="Z22" s="345">
        <v>1</v>
      </c>
      <c r="AA22" s="345">
        <v>1</v>
      </c>
      <c r="AB22" s="345">
        <v>54</v>
      </c>
      <c r="AC22" s="345">
        <v>38</v>
      </c>
      <c r="AD22" s="349">
        <v>7040</v>
      </c>
      <c r="AE22" s="349">
        <v>31</v>
      </c>
      <c r="AF22" s="349">
        <v>100</v>
      </c>
      <c r="AG22" s="349">
        <v>131</v>
      </c>
    </row>
    <row r="23" spans="1:33" x14ac:dyDescent="0.25">
      <c r="A23" s="344" t="s">
        <v>104</v>
      </c>
      <c r="B23" s="350" t="s">
        <v>105</v>
      </c>
      <c r="C23" s="346">
        <v>3017</v>
      </c>
      <c r="D23" s="346">
        <v>0</v>
      </c>
      <c r="E23" s="346">
        <v>359</v>
      </c>
      <c r="F23" s="346">
        <v>672</v>
      </c>
      <c r="G23" s="346">
        <v>289</v>
      </c>
      <c r="H23" s="346">
        <v>4337</v>
      </c>
      <c r="I23" s="345">
        <v>4048</v>
      </c>
      <c r="J23" s="345">
        <v>0</v>
      </c>
      <c r="K23" s="347">
        <v>84.62</v>
      </c>
      <c r="L23" s="347">
        <v>81.48</v>
      </c>
      <c r="M23" s="347">
        <v>4.99</v>
      </c>
      <c r="N23" s="347">
        <v>86.93</v>
      </c>
      <c r="O23" s="348">
        <v>1892</v>
      </c>
      <c r="P23" s="345">
        <v>91.46</v>
      </c>
      <c r="Q23" s="345">
        <v>82.76</v>
      </c>
      <c r="R23" s="345">
        <v>35.71</v>
      </c>
      <c r="S23" s="345">
        <v>124</v>
      </c>
      <c r="T23" s="345">
        <v>1001</v>
      </c>
      <c r="U23" s="345">
        <v>93.31</v>
      </c>
      <c r="V23" s="345">
        <v>1031</v>
      </c>
      <c r="W23" s="345">
        <v>0</v>
      </c>
      <c r="X23" s="345">
        <v>0</v>
      </c>
      <c r="Y23" s="345">
        <v>0</v>
      </c>
      <c r="Z23" s="345">
        <v>7</v>
      </c>
      <c r="AA23" s="345">
        <v>8</v>
      </c>
      <c r="AB23" s="345">
        <v>5</v>
      </c>
      <c r="AC23" s="345">
        <v>6</v>
      </c>
      <c r="AD23" s="349">
        <v>3012</v>
      </c>
      <c r="AE23" s="349">
        <v>28</v>
      </c>
      <c r="AF23" s="349">
        <v>16</v>
      </c>
      <c r="AG23" s="349">
        <v>44</v>
      </c>
    </row>
    <row r="24" spans="1:33" x14ac:dyDescent="0.25">
      <c r="A24" s="344" t="s">
        <v>106</v>
      </c>
      <c r="B24" s="350" t="s">
        <v>107</v>
      </c>
      <c r="C24" s="346">
        <v>517</v>
      </c>
      <c r="D24" s="346">
        <v>0</v>
      </c>
      <c r="E24" s="346">
        <v>244</v>
      </c>
      <c r="F24" s="346">
        <v>196</v>
      </c>
      <c r="G24" s="346">
        <v>11</v>
      </c>
      <c r="H24" s="346">
        <v>968</v>
      </c>
      <c r="I24" s="345">
        <v>957</v>
      </c>
      <c r="J24" s="345">
        <v>2</v>
      </c>
      <c r="K24" s="347">
        <v>78.69</v>
      </c>
      <c r="L24" s="347">
        <v>80.989999999999995</v>
      </c>
      <c r="M24" s="347">
        <v>6.2</v>
      </c>
      <c r="N24" s="347">
        <v>82.46</v>
      </c>
      <c r="O24" s="348">
        <v>475</v>
      </c>
      <c r="P24" s="345">
        <v>94.51</v>
      </c>
      <c r="Q24" s="345">
        <v>92.25</v>
      </c>
      <c r="R24" s="345">
        <v>80.52</v>
      </c>
      <c r="S24" s="345">
        <v>173.41</v>
      </c>
      <c r="T24" s="345">
        <v>349</v>
      </c>
      <c r="U24" s="345">
        <v>106.94</v>
      </c>
      <c r="V24" s="345">
        <v>27</v>
      </c>
      <c r="W24" s="345">
        <v>0</v>
      </c>
      <c r="X24" s="345">
        <v>0</v>
      </c>
      <c r="Y24" s="345">
        <v>0</v>
      </c>
      <c r="Z24" s="345">
        <v>1</v>
      </c>
      <c r="AA24" s="345">
        <v>1</v>
      </c>
      <c r="AB24" s="345">
        <v>0</v>
      </c>
      <c r="AC24" s="345">
        <v>1</v>
      </c>
      <c r="AD24" s="349">
        <v>517</v>
      </c>
      <c r="AE24" s="349">
        <v>4</v>
      </c>
      <c r="AF24" s="349">
        <v>1</v>
      </c>
      <c r="AG24" s="349">
        <v>5</v>
      </c>
    </row>
    <row r="25" spans="1:33" x14ac:dyDescent="0.25">
      <c r="A25" s="344" t="s">
        <v>108</v>
      </c>
      <c r="B25" s="350" t="s">
        <v>109</v>
      </c>
      <c r="C25" s="346">
        <v>5312</v>
      </c>
      <c r="D25" s="346">
        <v>0</v>
      </c>
      <c r="E25" s="346">
        <v>234</v>
      </c>
      <c r="F25" s="346">
        <v>355</v>
      </c>
      <c r="G25" s="346">
        <v>645</v>
      </c>
      <c r="H25" s="346">
        <v>6546</v>
      </c>
      <c r="I25" s="345">
        <v>5901</v>
      </c>
      <c r="J25" s="345">
        <v>1</v>
      </c>
      <c r="K25" s="347">
        <v>110.52</v>
      </c>
      <c r="L25" s="347">
        <v>108.16</v>
      </c>
      <c r="M25" s="347">
        <v>5.38</v>
      </c>
      <c r="N25" s="347">
        <v>113.36</v>
      </c>
      <c r="O25" s="348">
        <v>5062</v>
      </c>
      <c r="P25" s="345">
        <v>96.94</v>
      </c>
      <c r="Q25" s="345">
        <v>92.51</v>
      </c>
      <c r="R25" s="345">
        <v>40.21</v>
      </c>
      <c r="S25" s="345">
        <v>136.28</v>
      </c>
      <c r="T25" s="345">
        <v>510</v>
      </c>
      <c r="U25" s="345">
        <v>129.18</v>
      </c>
      <c r="V25" s="345">
        <v>186</v>
      </c>
      <c r="W25" s="345">
        <v>0</v>
      </c>
      <c r="X25" s="345">
        <v>0</v>
      </c>
      <c r="Y25" s="345">
        <v>2</v>
      </c>
      <c r="Z25" s="345">
        <v>0</v>
      </c>
      <c r="AA25" s="345">
        <v>0</v>
      </c>
      <c r="AB25" s="345">
        <v>25</v>
      </c>
      <c r="AC25" s="345">
        <v>11</v>
      </c>
      <c r="AD25" s="349">
        <v>5312</v>
      </c>
      <c r="AE25" s="349">
        <v>25</v>
      </c>
      <c r="AF25" s="349">
        <v>13</v>
      </c>
      <c r="AG25" s="349">
        <v>38</v>
      </c>
    </row>
    <row r="26" spans="1:33" x14ac:dyDescent="0.25">
      <c r="A26" s="344" t="s">
        <v>110</v>
      </c>
      <c r="B26" s="350" t="s">
        <v>111</v>
      </c>
      <c r="C26" s="346">
        <v>12716</v>
      </c>
      <c r="D26" s="346">
        <v>315</v>
      </c>
      <c r="E26" s="346">
        <v>389</v>
      </c>
      <c r="F26" s="346">
        <v>878</v>
      </c>
      <c r="G26" s="346">
        <v>1269</v>
      </c>
      <c r="H26" s="346">
        <v>15567</v>
      </c>
      <c r="I26" s="345">
        <v>14298</v>
      </c>
      <c r="J26" s="345">
        <v>13</v>
      </c>
      <c r="K26" s="347">
        <v>111.12</v>
      </c>
      <c r="L26" s="347">
        <v>107.9</v>
      </c>
      <c r="M26" s="347">
        <v>5.19</v>
      </c>
      <c r="N26" s="347">
        <v>113.18</v>
      </c>
      <c r="O26" s="348">
        <v>11275</v>
      </c>
      <c r="P26" s="345">
        <v>96.05</v>
      </c>
      <c r="Q26" s="345">
        <v>94.71</v>
      </c>
      <c r="R26" s="345">
        <v>33.32</v>
      </c>
      <c r="S26" s="345">
        <v>128.19</v>
      </c>
      <c r="T26" s="345">
        <v>1100</v>
      </c>
      <c r="U26" s="345">
        <v>149.47</v>
      </c>
      <c r="V26" s="345">
        <v>1156</v>
      </c>
      <c r="W26" s="345">
        <v>148.66999999999999</v>
      </c>
      <c r="X26" s="345">
        <v>2</v>
      </c>
      <c r="Y26" s="345">
        <v>0</v>
      </c>
      <c r="Z26" s="345">
        <v>9</v>
      </c>
      <c r="AA26" s="345">
        <v>3</v>
      </c>
      <c r="AB26" s="345">
        <v>116</v>
      </c>
      <c r="AC26" s="345">
        <v>21</v>
      </c>
      <c r="AD26" s="349">
        <v>12677</v>
      </c>
      <c r="AE26" s="349">
        <v>168</v>
      </c>
      <c r="AF26" s="349">
        <v>35</v>
      </c>
      <c r="AG26" s="349">
        <v>203</v>
      </c>
    </row>
    <row r="27" spans="1:33" x14ac:dyDescent="0.25">
      <c r="A27" s="344" t="s">
        <v>112</v>
      </c>
      <c r="B27" s="350" t="s">
        <v>113</v>
      </c>
      <c r="C27" s="346">
        <v>1061</v>
      </c>
      <c r="D27" s="346">
        <v>0</v>
      </c>
      <c r="E27" s="346">
        <v>261</v>
      </c>
      <c r="F27" s="346">
        <v>141</v>
      </c>
      <c r="G27" s="346">
        <v>106</v>
      </c>
      <c r="H27" s="346">
        <v>1569</v>
      </c>
      <c r="I27" s="345">
        <v>1463</v>
      </c>
      <c r="J27" s="345">
        <v>2</v>
      </c>
      <c r="K27" s="347">
        <v>85.79</v>
      </c>
      <c r="L27" s="347">
        <v>84.01</v>
      </c>
      <c r="M27" s="347">
        <v>3.37</v>
      </c>
      <c r="N27" s="347">
        <v>87.9</v>
      </c>
      <c r="O27" s="348">
        <v>879</v>
      </c>
      <c r="P27" s="345">
        <v>121.62</v>
      </c>
      <c r="Q27" s="345">
        <v>72.06</v>
      </c>
      <c r="R27" s="345">
        <v>65.37</v>
      </c>
      <c r="S27" s="345">
        <v>184.61</v>
      </c>
      <c r="T27" s="345">
        <v>356</v>
      </c>
      <c r="U27" s="345">
        <v>99.74</v>
      </c>
      <c r="V27" s="345">
        <v>163</v>
      </c>
      <c r="W27" s="345">
        <v>169.55</v>
      </c>
      <c r="X27" s="345">
        <v>4</v>
      </c>
      <c r="Y27" s="345">
        <v>0</v>
      </c>
      <c r="Z27" s="345">
        <v>4</v>
      </c>
      <c r="AA27" s="345">
        <v>4</v>
      </c>
      <c r="AB27" s="345">
        <v>17</v>
      </c>
      <c r="AC27" s="345">
        <v>3</v>
      </c>
      <c r="AD27" s="349">
        <v>1058</v>
      </c>
      <c r="AE27" s="349">
        <v>15</v>
      </c>
      <c r="AF27" s="349">
        <v>3</v>
      </c>
      <c r="AG27" s="349">
        <v>18</v>
      </c>
    </row>
    <row r="28" spans="1:33" x14ac:dyDescent="0.25">
      <c r="A28" s="344" t="s">
        <v>114</v>
      </c>
      <c r="B28" s="350" t="s">
        <v>115</v>
      </c>
      <c r="C28" s="346">
        <v>9292</v>
      </c>
      <c r="D28" s="346">
        <v>0</v>
      </c>
      <c r="E28" s="346">
        <v>387</v>
      </c>
      <c r="F28" s="346">
        <v>2107</v>
      </c>
      <c r="G28" s="346">
        <v>683</v>
      </c>
      <c r="H28" s="346">
        <v>12469</v>
      </c>
      <c r="I28" s="345">
        <v>11786</v>
      </c>
      <c r="J28" s="345">
        <v>9</v>
      </c>
      <c r="K28" s="347">
        <v>98.51</v>
      </c>
      <c r="L28" s="347">
        <v>98.75</v>
      </c>
      <c r="M28" s="347">
        <v>5.57</v>
      </c>
      <c r="N28" s="347">
        <v>103.37</v>
      </c>
      <c r="O28" s="348">
        <v>8455</v>
      </c>
      <c r="P28" s="345">
        <v>92.17</v>
      </c>
      <c r="Q28" s="345">
        <v>92.42</v>
      </c>
      <c r="R28" s="345">
        <v>18.3</v>
      </c>
      <c r="S28" s="345">
        <v>110.4</v>
      </c>
      <c r="T28" s="345">
        <v>2189</v>
      </c>
      <c r="U28" s="345">
        <v>134.31</v>
      </c>
      <c r="V28" s="345">
        <v>727</v>
      </c>
      <c r="W28" s="345">
        <v>117.69</v>
      </c>
      <c r="X28" s="345">
        <v>79</v>
      </c>
      <c r="Y28" s="345">
        <v>0</v>
      </c>
      <c r="Z28" s="345">
        <v>10</v>
      </c>
      <c r="AA28" s="345">
        <v>5</v>
      </c>
      <c r="AB28" s="345">
        <v>95</v>
      </c>
      <c r="AC28" s="345">
        <v>12</v>
      </c>
      <c r="AD28" s="349">
        <v>9206</v>
      </c>
      <c r="AE28" s="349">
        <v>33</v>
      </c>
      <c r="AF28" s="349">
        <v>118</v>
      </c>
      <c r="AG28" s="349">
        <v>151</v>
      </c>
    </row>
    <row r="29" spans="1:33" x14ac:dyDescent="0.25">
      <c r="A29" s="344" t="s">
        <v>116</v>
      </c>
      <c r="B29" s="350" t="s">
        <v>117</v>
      </c>
      <c r="C29" s="346">
        <v>10837</v>
      </c>
      <c r="D29" s="346">
        <v>0</v>
      </c>
      <c r="E29" s="346">
        <v>364</v>
      </c>
      <c r="F29" s="346">
        <v>1114</v>
      </c>
      <c r="G29" s="346">
        <v>1310</v>
      </c>
      <c r="H29" s="346">
        <v>13625</v>
      </c>
      <c r="I29" s="345">
        <v>12315</v>
      </c>
      <c r="J29" s="345">
        <v>3</v>
      </c>
      <c r="K29" s="347">
        <v>97.06</v>
      </c>
      <c r="L29" s="347">
        <v>96.59</v>
      </c>
      <c r="M29" s="347">
        <v>8.08</v>
      </c>
      <c r="N29" s="347">
        <v>102.91</v>
      </c>
      <c r="O29" s="348">
        <v>9278</v>
      </c>
      <c r="P29" s="345">
        <v>99.51</v>
      </c>
      <c r="Q29" s="345">
        <v>92.23</v>
      </c>
      <c r="R29" s="345">
        <v>43.15</v>
      </c>
      <c r="S29" s="345">
        <v>141.47</v>
      </c>
      <c r="T29" s="345">
        <v>1230</v>
      </c>
      <c r="U29" s="345">
        <v>131.46</v>
      </c>
      <c r="V29" s="345">
        <v>1333</v>
      </c>
      <c r="W29" s="345">
        <v>108.39</v>
      </c>
      <c r="X29" s="345">
        <v>5</v>
      </c>
      <c r="Y29" s="345">
        <v>0</v>
      </c>
      <c r="Z29" s="345">
        <v>8</v>
      </c>
      <c r="AA29" s="345">
        <v>2</v>
      </c>
      <c r="AB29" s="345">
        <v>85</v>
      </c>
      <c r="AC29" s="345">
        <v>17</v>
      </c>
      <c r="AD29" s="349">
        <v>10754</v>
      </c>
      <c r="AE29" s="349">
        <v>57</v>
      </c>
      <c r="AF29" s="349">
        <v>40</v>
      </c>
      <c r="AG29" s="349">
        <v>97</v>
      </c>
    </row>
    <row r="30" spans="1:33" x14ac:dyDescent="0.25">
      <c r="A30" s="344" t="s">
        <v>118</v>
      </c>
      <c r="B30" s="350" t="s">
        <v>119</v>
      </c>
      <c r="C30" s="346">
        <v>12105</v>
      </c>
      <c r="D30" s="346">
        <v>50</v>
      </c>
      <c r="E30" s="346">
        <v>149</v>
      </c>
      <c r="F30" s="346">
        <v>1330</v>
      </c>
      <c r="G30" s="346">
        <v>1123</v>
      </c>
      <c r="H30" s="346">
        <v>14757</v>
      </c>
      <c r="I30" s="345">
        <v>13634</v>
      </c>
      <c r="J30" s="345">
        <v>4</v>
      </c>
      <c r="K30" s="347">
        <v>108.73</v>
      </c>
      <c r="L30" s="347">
        <v>107.52</v>
      </c>
      <c r="M30" s="347">
        <v>11.23</v>
      </c>
      <c r="N30" s="347">
        <v>118.96</v>
      </c>
      <c r="O30" s="348">
        <v>9639</v>
      </c>
      <c r="P30" s="345">
        <v>96.03</v>
      </c>
      <c r="Q30" s="345">
        <v>94.99</v>
      </c>
      <c r="R30" s="345">
        <v>31.82</v>
      </c>
      <c r="S30" s="345">
        <v>127.31</v>
      </c>
      <c r="T30" s="345">
        <v>1310</v>
      </c>
      <c r="U30" s="345">
        <v>159.22999999999999</v>
      </c>
      <c r="V30" s="345">
        <v>1475</v>
      </c>
      <c r="W30" s="345">
        <v>0</v>
      </c>
      <c r="X30" s="345">
        <v>0</v>
      </c>
      <c r="Y30" s="345">
        <v>6</v>
      </c>
      <c r="Z30" s="345">
        <v>6</v>
      </c>
      <c r="AA30" s="345">
        <v>90</v>
      </c>
      <c r="AB30" s="345">
        <v>57</v>
      </c>
      <c r="AC30" s="345">
        <v>46</v>
      </c>
      <c r="AD30" s="349">
        <v>11205</v>
      </c>
      <c r="AE30" s="349">
        <v>82</v>
      </c>
      <c r="AF30" s="349">
        <v>43</v>
      </c>
      <c r="AG30" s="349">
        <v>125</v>
      </c>
    </row>
    <row r="31" spans="1:33" x14ac:dyDescent="0.25">
      <c r="A31" s="344" t="s">
        <v>120</v>
      </c>
      <c r="B31" s="350" t="s">
        <v>121</v>
      </c>
      <c r="C31" s="346">
        <v>33855</v>
      </c>
      <c r="D31" s="346">
        <v>1007</v>
      </c>
      <c r="E31" s="346">
        <v>12668</v>
      </c>
      <c r="F31" s="346">
        <v>4429</v>
      </c>
      <c r="G31" s="346">
        <v>3137</v>
      </c>
      <c r="H31" s="346">
        <v>55096</v>
      </c>
      <c r="I31" s="345">
        <v>51959</v>
      </c>
      <c r="J31" s="345">
        <v>7</v>
      </c>
      <c r="K31" s="347">
        <v>91.47</v>
      </c>
      <c r="L31" s="347">
        <v>90.1</v>
      </c>
      <c r="M31" s="347">
        <v>8.08</v>
      </c>
      <c r="N31" s="347">
        <v>97.68</v>
      </c>
      <c r="O31" s="348">
        <v>30192</v>
      </c>
      <c r="P31" s="345">
        <v>82.21</v>
      </c>
      <c r="Q31" s="345">
        <v>97.64</v>
      </c>
      <c r="R31" s="345">
        <v>99.73</v>
      </c>
      <c r="S31" s="345">
        <v>180.19</v>
      </c>
      <c r="T31" s="345">
        <v>13245</v>
      </c>
      <c r="U31" s="345">
        <v>115.19</v>
      </c>
      <c r="V31" s="345">
        <v>1699</v>
      </c>
      <c r="W31" s="345">
        <v>177.32</v>
      </c>
      <c r="X31" s="345">
        <v>128</v>
      </c>
      <c r="Y31" s="345">
        <v>237</v>
      </c>
      <c r="Z31" s="345">
        <v>354</v>
      </c>
      <c r="AA31" s="345">
        <v>205</v>
      </c>
      <c r="AB31" s="345">
        <v>44</v>
      </c>
      <c r="AC31" s="345">
        <v>83</v>
      </c>
      <c r="AD31" s="349">
        <v>32352</v>
      </c>
      <c r="AE31" s="349">
        <v>223</v>
      </c>
      <c r="AF31" s="349">
        <v>62</v>
      </c>
      <c r="AG31" s="349">
        <v>285</v>
      </c>
    </row>
    <row r="32" spans="1:33" x14ac:dyDescent="0.25">
      <c r="A32" s="344" t="s">
        <v>122</v>
      </c>
      <c r="B32" s="350" t="s">
        <v>123</v>
      </c>
      <c r="C32" s="346">
        <v>2214</v>
      </c>
      <c r="D32" s="346">
        <v>0</v>
      </c>
      <c r="E32" s="346">
        <v>112</v>
      </c>
      <c r="F32" s="346">
        <v>1325</v>
      </c>
      <c r="G32" s="346">
        <v>419</v>
      </c>
      <c r="H32" s="346">
        <v>4070</v>
      </c>
      <c r="I32" s="345">
        <v>3651</v>
      </c>
      <c r="J32" s="345">
        <v>0</v>
      </c>
      <c r="K32" s="347">
        <v>86.19</v>
      </c>
      <c r="L32" s="347">
        <v>85.81</v>
      </c>
      <c r="M32" s="347">
        <v>4.47</v>
      </c>
      <c r="N32" s="347">
        <v>88.81</v>
      </c>
      <c r="O32" s="348">
        <v>1605</v>
      </c>
      <c r="P32" s="345">
        <v>76.040000000000006</v>
      </c>
      <c r="Q32" s="345">
        <v>73.989999999999995</v>
      </c>
      <c r="R32" s="345">
        <v>20.41</v>
      </c>
      <c r="S32" s="345">
        <v>96.37</v>
      </c>
      <c r="T32" s="345">
        <v>1431</v>
      </c>
      <c r="U32" s="345">
        <v>108.34</v>
      </c>
      <c r="V32" s="345">
        <v>513</v>
      </c>
      <c r="W32" s="345">
        <v>133.24</v>
      </c>
      <c r="X32" s="345">
        <v>1</v>
      </c>
      <c r="Y32" s="345">
        <v>0</v>
      </c>
      <c r="Z32" s="345">
        <v>9</v>
      </c>
      <c r="AA32" s="345">
        <v>5</v>
      </c>
      <c r="AB32" s="345">
        <v>47</v>
      </c>
      <c r="AC32" s="345">
        <v>9</v>
      </c>
      <c r="AD32" s="349">
        <v>2214</v>
      </c>
      <c r="AE32" s="349">
        <v>41</v>
      </c>
      <c r="AF32" s="349">
        <v>5</v>
      </c>
      <c r="AG32" s="349">
        <v>46</v>
      </c>
    </row>
    <row r="33" spans="1:33" x14ac:dyDescent="0.25">
      <c r="A33" s="344" t="s">
        <v>124</v>
      </c>
      <c r="B33" s="350" t="s">
        <v>125</v>
      </c>
      <c r="C33" s="346">
        <v>10197</v>
      </c>
      <c r="D33" s="346">
        <v>0</v>
      </c>
      <c r="E33" s="346">
        <v>526</v>
      </c>
      <c r="F33" s="346">
        <v>853</v>
      </c>
      <c r="G33" s="346">
        <v>205</v>
      </c>
      <c r="H33" s="346">
        <v>11781</v>
      </c>
      <c r="I33" s="345">
        <v>11576</v>
      </c>
      <c r="J33" s="345">
        <v>0</v>
      </c>
      <c r="K33" s="347">
        <v>77.12</v>
      </c>
      <c r="L33" s="347">
        <v>73.67</v>
      </c>
      <c r="M33" s="347">
        <v>2.3199999999999998</v>
      </c>
      <c r="N33" s="347">
        <v>79.19</v>
      </c>
      <c r="O33" s="348">
        <v>8706</v>
      </c>
      <c r="P33" s="345">
        <v>88.58</v>
      </c>
      <c r="Q33" s="345">
        <v>73.760000000000005</v>
      </c>
      <c r="R33" s="345">
        <v>63.5</v>
      </c>
      <c r="S33" s="345">
        <v>148.46</v>
      </c>
      <c r="T33" s="345">
        <v>1070</v>
      </c>
      <c r="U33" s="345">
        <v>93.89</v>
      </c>
      <c r="V33" s="345">
        <v>1407</v>
      </c>
      <c r="W33" s="345">
        <v>151.96</v>
      </c>
      <c r="X33" s="345">
        <v>212</v>
      </c>
      <c r="Y33" s="345">
        <v>21</v>
      </c>
      <c r="Z33" s="345">
        <v>48</v>
      </c>
      <c r="AA33" s="345">
        <v>5</v>
      </c>
      <c r="AB33" s="345">
        <v>3</v>
      </c>
      <c r="AC33" s="345">
        <v>4</v>
      </c>
      <c r="AD33" s="349">
        <v>10188</v>
      </c>
      <c r="AE33" s="349">
        <v>67</v>
      </c>
      <c r="AF33" s="349">
        <v>60</v>
      </c>
      <c r="AG33" s="349">
        <v>127</v>
      </c>
    </row>
    <row r="34" spans="1:33" x14ac:dyDescent="0.25">
      <c r="A34" s="344" t="s">
        <v>126</v>
      </c>
      <c r="B34" s="350" t="s">
        <v>127</v>
      </c>
      <c r="C34" s="346">
        <v>1697</v>
      </c>
      <c r="D34" s="346">
        <v>0</v>
      </c>
      <c r="E34" s="346">
        <v>443</v>
      </c>
      <c r="F34" s="346">
        <v>200</v>
      </c>
      <c r="G34" s="346">
        <v>150</v>
      </c>
      <c r="H34" s="346">
        <v>2490</v>
      </c>
      <c r="I34" s="345">
        <v>2340</v>
      </c>
      <c r="J34" s="345">
        <v>0</v>
      </c>
      <c r="K34" s="347">
        <v>84.9</v>
      </c>
      <c r="L34" s="347">
        <v>82.29</v>
      </c>
      <c r="M34" s="347">
        <v>4.28</v>
      </c>
      <c r="N34" s="347">
        <v>88.25</v>
      </c>
      <c r="O34" s="348">
        <v>1184</v>
      </c>
      <c r="P34" s="345">
        <v>113.67</v>
      </c>
      <c r="Q34" s="345">
        <v>90.77</v>
      </c>
      <c r="R34" s="345">
        <v>68.290000000000006</v>
      </c>
      <c r="S34" s="345">
        <v>176.26</v>
      </c>
      <c r="T34" s="345">
        <v>599</v>
      </c>
      <c r="U34" s="345">
        <v>104.11</v>
      </c>
      <c r="V34" s="345">
        <v>401</v>
      </c>
      <c r="W34" s="345">
        <v>0</v>
      </c>
      <c r="X34" s="345">
        <v>0</v>
      </c>
      <c r="Y34" s="345">
        <v>4</v>
      </c>
      <c r="Z34" s="345">
        <v>2</v>
      </c>
      <c r="AA34" s="345">
        <v>12</v>
      </c>
      <c r="AB34" s="345">
        <v>0</v>
      </c>
      <c r="AC34" s="345">
        <v>2</v>
      </c>
      <c r="AD34" s="349">
        <v>1640</v>
      </c>
      <c r="AE34" s="349">
        <v>10</v>
      </c>
      <c r="AF34" s="349">
        <v>19</v>
      </c>
      <c r="AG34" s="349">
        <v>29</v>
      </c>
    </row>
    <row r="35" spans="1:33" x14ac:dyDescent="0.25">
      <c r="A35" s="344" t="s">
        <v>128</v>
      </c>
      <c r="B35" s="350" t="s">
        <v>129</v>
      </c>
      <c r="C35" s="346">
        <v>801</v>
      </c>
      <c r="D35" s="346">
        <v>0</v>
      </c>
      <c r="E35" s="346">
        <v>101</v>
      </c>
      <c r="F35" s="346">
        <v>261</v>
      </c>
      <c r="G35" s="346">
        <v>43</v>
      </c>
      <c r="H35" s="346">
        <v>1206</v>
      </c>
      <c r="I35" s="345">
        <v>1163</v>
      </c>
      <c r="J35" s="345">
        <v>0</v>
      </c>
      <c r="K35" s="347">
        <v>88.13</v>
      </c>
      <c r="L35" s="347">
        <v>86</v>
      </c>
      <c r="M35" s="347">
        <v>3.72</v>
      </c>
      <c r="N35" s="347">
        <v>90.35</v>
      </c>
      <c r="O35" s="348">
        <v>645</v>
      </c>
      <c r="P35" s="345">
        <v>100.49</v>
      </c>
      <c r="Q35" s="345">
        <v>88.04</v>
      </c>
      <c r="R35" s="345">
        <v>34.369999999999997</v>
      </c>
      <c r="S35" s="345">
        <v>132.46</v>
      </c>
      <c r="T35" s="345">
        <v>345</v>
      </c>
      <c r="U35" s="345">
        <v>90.53</v>
      </c>
      <c r="V35" s="345">
        <v>115</v>
      </c>
      <c r="W35" s="345">
        <v>0</v>
      </c>
      <c r="X35" s="345">
        <v>0</v>
      </c>
      <c r="Y35" s="345">
        <v>0</v>
      </c>
      <c r="Z35" s="345">
        <v>3</v>
      </c>
      <c r="AA35" s="345">
        <v>1</v>
      </c>
      <c r="AB35" s="345">
        <v>12</v>
      </c>
      <c r="AC35" s="345">
        <v>0</v>
      </c>
      <c r="AD35" s="349">
        <v>756</v>
      </c>
      <c r="AE35" s="349">
        <v>16</v>
      </c>
      <c r="AF35" s="349">
        <v>0</v>
      </c>
      <c r="AG35" s="349">
        <v>16</v>
      </c>
    </row>
    <row r="36" spans="1:33" x14ac:dyDescent="0.25">
      <c r="A36" s="344" t="s">
        <v>130</v>
      </c>
      <c r="B36" s="350" t="s">
        <v>131</v>
      </c>
      <c r="C36" s="346">
        <v>20803</v>
      </c>
      <c r="D36" s="346">
        <v>1</v>
      </c>
      <c r="E36" s="346">
        <v>823</v>
      </c>
      <c r="F36" s="346">
        <v>3827</v>
      </c>
      <c r="G36" s="346">
        <v>339</v>
      </c>
      <c r="H36" s="346">
        <v>25793</v>
      </c>
      <c r="I36" s="345">
        <v>25454</v>
      </c>
      <c r="J36" s="345">
        <v>33</v>
      </c>
      <c r="K36" s="347">
        <v>76.319999999999993</v>
      </c>
      <c r="L36" s="347">
        <v>78.099999999999994</v>
      </c>
      <c r="M36" s="347">
        <v>3.87</v>
      </c>
      <c r="N36" s="347">
        <v>79.819999999999993</v>
      </c>
      <c r="O36" s="348">
        <v>17252</v>
      </c>
      <c r="P36" s="345">
        <v>75.709999999999994</v>
      </c>
      <c r="Q36" s="345">
        <v>73.06</v>
      </c>
      <c r="R36" s="345">
        <v>35.299999999999997</v>
      </c>
      <c r="S36" s="345">
        <v>110.61</v>
      </c>
      <c r="T36" s="345">
        <v>4573</v>
      </c>
      <c r="U36" s="345">
        <v>94.58</v>
      </c>
      <c r="V36" s="345">
        <v>3264</v>
      </c>
      <c r="W36" s="345">
        <v>87.84</v>
      </c>
      <c r="X36" s="345">
        <v>2</v>
      </c>
      <c r="Y36" s="345">
        <v>8</v>
      </c>
      <c r="Z36" s="345">
        <v>151</v>
      </c>
      <c r="AA36" s="345">
        <v>0</v>
      </c>
      <c r="AB36" s="345">
        <v>18</v>
      </c>
      <c r="AC36" s="345">
        <v>8</v>
      </c>
      <c r="AD36" s="349">
        <v>20768</v>
      </c>
      <c r="AE36" s="349">
        <v>120</v>
      </c>
      <c r="AF36" s="349">
        <v>209</v>
      </c>
      <c r="AG36" s="349">
        <v>329</v>
      </c>
    </row>
    <row r="37" spans="1:33" x14ac:dyDescent="0.25">
      <c r="A37" s="344" t="s">
        <v>132</v>
      </c>
      <c r="B37" s="350" t="s">
        <v>133</v>
      </c>
      <c r="C37" s="346">
        <v>4637</v>
      </c>
      <c r="D37" s="346">
        <v>3</v>
      </c>
      <c r="E37" s="346">
        <v>153</v>
      </c>
      <c r="F37" s="346">
        <v>897</v>
      </c>
      <c r="G37" s="346">
        <v>307</v>
      </c>
      <c r="H37" s="346">
        <v>5997</v>
      </c>
      <c r="I37" s="345">
        <v>5690</v>
      </c>
      <c r="J37" s="345">
        <v>10</v>
      </c>
      <c r="K37" s="347">
        <v>78.75</v>
      </c>
      <c r="L37" s="347">
        <v>76.040000000000006</v>
      </c>
      <c r="M37" s="347">
        <v>2.12</v>
      </c>
      <c r="N37" s="347">
        <v>80.84</v>
      </c>
      <c r="O37" s="348">
        <v>4045</v>
      </c>
      <c r="P37" s="345">
        <v>76.16</v>
      </c>
      <c r="Q37" s="345">
        <v>75.53</v>
      </c>
      <c r="R37" s="345">
        <v>21.85</v>
      </c>
      <c r="S37" s="345">
        <v>98.02</v>
      </c>
      <c r="T37" s="345">
        <v>1000</v>
      </c>
      <c r="U37" s="345">
        <v>104.57</v>
      </c>
      <c r="V37" s="345">
        <v>442</v>
      </c>
      <c r="W37" s="345">
        <v>304.64</v>
      </c>
      <c r="X37" s="345">
        <v>6</v>
      </c>
      <c r="Y37" s="345">
        <v>0</v>
      </c>
      <c r="Z37" s="345">
        <v>18</v>
      </c>
      <c r="AA37" s="345">
        <v>0</v>
      </c>
      <c r="AB37" s="345">
        <v>29</v>
      </c>
      <c r="AC37" s="345">
        <v>3</v>
      </c>
      <c r="AD37" s="349">
        <v>4601</v>
      </c>
      <c r="AE37" s="349">
        <v>26</v>
      </c>
      <c r="AF37" s="349">
        <v>25</v>
      </c>
      <c r="AG37" s="349">
        <v>51</v>
      </c>
    </row>
    <row r="38" spans="1:33" x14ac:dyDescent="0.25">
      <c r="A38" s="344" t="s">
        <v>134</v>
      </c>
      <c r="B38" s="350" t="s">
        <v>135</v>
      </c>
      <c r="C38" s="345">
        <v>6852</v>
      </c>
      <c r="D38" s="345">
        <v>20</v>
      </c>
      <c r="E38" s="345">
        <v>1173</v>
      </c>
      <c r="F38" s="345">
        <v>1180</v>
      </c>
      <c r="G38" s="345">
        <v>922</v>
      </c>
      <c r="H38" s="345">
        <v>10147</v>
      </c>
      <c r="I38" s="345">
        <v>9225</v>
      </c>
      <c r="J38" s="345">
        <v>12</v>
      </c>
      <c r="K38" s="345">
        <v>102.42</v>
      </c>
      <c r="L38" s="345">
        <v>100.76</v>
      </c>
      <c r="M38" s="345">
        <v>5.45</v>
      </c>
      <c r="N38" s="345">
        <v>106.33</v>
      </c>
      <c r="O38" s="348">
        <v>5823</v>
      </c>
      <c r="P38" s="345">
        <v>94.71</v>
      </c>
      <c r="Q38" s="345">
        <v>82.74</v>
      </c>
      <c r="R38" s="345">
        <v>47.39</v>
      </c>
      <c r="S38" s="345">
        <v>141</v>
      </c>
      <c r="T38" s="345">
        <v>1678</v>
      </c>
      <c r="U38" s="345">
        <v>141.85</v>
      </c>
      <c r="V38" s="345">
        <v>580</v>
      </c>
      <c r="W38" s="345">
        <v>348.9</v>
      </c>
      <c r="X38" s="345">
        <v>50</v>
      </c>
      <c r="Y38" s="345">
        <v>0</v>
      </c>
      <c r="Z38" s="345">
        <v>2</v>
      </c>
      <c r="AA38" s="345">
        <v>5</v>
      </c>
      <c r="AB38" s="345">
        <v>1</v>
      </c>
      <c r="AC38" s="345">
        <v>33</v>
      </c>
      <c r="AD38" s="345">
        <v>6415</v>
      </c>
      <c r="AE38" s="345">
        <v>44</v>
      </c>
      <c r="AF38" s="345">
        <v>19</v>
      </c>
      <c r="AG38" s="345">
        <v>63</v>
      </c>
    </row>
    <row r="39" spans="1:33" x14ac:dyDescent="0.25">
      <c r="A39" s="344" t="s">
        <v>136</v>
      </c>
      <c r="B39" s="350" t="s">
        <v>137</v>
      </c>
      <c r="C39" s="346">
        <v>7348</v>
      </c>
      <c r="D39" s="346">
        <v>0</v>
      </c>
      <c r="E39" s="346">
        <v>266</v>
      </c>
      <c r="F39" s="346">
        <v>548</v>
      </c>
      <c r="G39" s="346">
        <v>724</v>
      </c>
      <c r="H39" s="346">
        <v>8886</v>
      </c>
      <c r="I39" s="345">
        <v>8162</v>
      </c>
      <c r="J39" s="345">
        <v>10</v>
      </c>
      <c r="K39" s="347">
        <v>107.5</v>
      </c>
      <c r="L39" s="347">
        <v>107.2</v>
      </c>
      <c r="M39" s="347">
        <v>8.11</v>
      </c>
      <c r="N39" s="347">
        <v>110.53</v>
      </c>
      <c r="O39" s="348">
        <v>6707</v>
      </c>
      <c r="P39" s="345">
        <v>97.76</v>
      </c>
      <c r="Q39" s="345">
        <v>95.98</v>
      </c>
      <c r="R39" s="345">
        <v>37.03</v>
      </c>
      <c r="S39" s="345">
        <v>133.02000000000001</v>
      </c>
      <c r="T39" s="345">
        <v>777</v>
      </c>
      <c r="U39" s="345">
        <v>159.99</v>
      </c>
      <c r="V39" s="345">
        <v>585</v>
      </c>
      <c r="W39" s="345">
        <v>0</v>
      </c>
      <c r="X39" s="345">
        <v>0</v>
      </c>
      <c r="Y39" s="345">
        <v>14</v>
      </c>
      <c r="Z39" s="345">
        <v>10</v>
      </c>
      <c r="AA39" s="345">
        <v>2</v>
      </c>
      <c r="AB39" s="345">
        <v>37</v>
      </c>
      <c r="AC39" s="345">
        <v>20</v>
      </c>
      <c r="AD39" s="349">
        <v>7340</v>
      </c>
      <c r="AE39" s="349">
        <v>52</v>
      </c>
      <c r="AF39" s="349">
        <v>185</v>
      </c>
      <c r="AG39" s="349">
        <v>237</v>
      </c>
    </row>
    <row r="40" spans="1:33" x14ac:dyDescent="0.25">
      <c r="A40" s="344" t="s">
        <v>138</v>
      </c>
      <c r="B40" s="350" t="s">
        <v>139</v>
      </c>
      <c r="C40" s="346">
        <v>27518</v>
      </c>
      <c r="D40" s="346">
        <v>0</v>
      </c>
      <c r="E40" s="346">
        <v>1565</v>
      </c>
      <c r="F40" s="346">
        <v>2789</v>
      </c>
      <c r="G40" s="346">
        <v>689</v>
      </c>
      <c r="H40" s="346">
        <v>32561</v>
      </c>
      <c r="I40" s="345">
        <v>31872</v>
      </c>
      <c r="J40" s="345">
        <v>69</v>
      </c>
      <c r="K40" s="347">
        <v>77.61</v>
      </c>
      <c r="L40" s="347">
        <v>77.430000000000007</v>
      </c>
      <c r="M40" s="347">
        <v>5.5</v>
      </c>
      <c r="N40" s="347">
        <v>82.55</v>
      </c>
      <c r="O40" s="348">
        <v>24183</v>
      </c>
      <c r="P40" s="345">
        <v>82.28</v>
      </c>
      <c r="Q40" s="345">
        <v>79.02</v>
      </c>
      <c r="R40" s="345">
        <v>40.51</v>
      </c>
      <c r="S40" s="345">
        <v>121.96</v>
      </c>
      <c r="T40" s="345">
        <v>3576</v>
      </c>
      <c r="U40" s="345">
        <v>97.52</v>
      </c>
      <c r="V40" s="345">
        <v>3268</v>
      </c>
      <c r="W40" s="345">
        <v>153.96</v>
      </c>
      <c r="X40" s="345">
        <v>83</v>
      </c>
      <c r="Y40" s="345">
        <v>0</v>
      </c>
      <c r="Z40" s="345">
        <v>102</v>
      </c>
      <c r="AA40" s="345">
        <v>29</v>
      </c>
      <c r="AB40" s="345">
        <v>13</v>
      </c>
      <c r="AC40" s="345">
        <v>14</v>
      </c>
      <c r="AD40" s="349">
        <v>27500</v>
      </c>
      <c r="AE40" s="349">
        <v>265</v>
      </c>
      <c r="AF40" s="349">
        <v>542</v>
      </c>
      <c r="AG40" s="349">
        <v>807</v>
      </c>
    </row>
    <row r="41" spans="1:33" x14ac:dyDescent="0.25">
      <c r="A41" s="344" t="s">
        <v>140</v>
      </c>
      <c r="B41" s="350" t="s">
        <v>141</v>
      </c>
      <c r="C41" s="346">
        <v>9744</v>
      </c>
      <c r="D41" s="346">
        <v>1</v>
      </c>
      <c r="E41" s="346">
        <v>305</v>
      </c>
      <c r="F41" s="346">
        <v>701</v>
      </c>
      <c r="G41" s="346">
        <v>340</v>
      </c>
      <c r="H41" s="346">
        <v>11091</v>
      </c>
      <c r="I41" s="345">
        <v>10751</v>
      </c>
      <c r="J41" s="345">
        <v>1</v>
      </c>
      <c r="K41" s="347">
        <v>94.91</v>
      </c>
      <c r="L41" s="347">
        <v>95.02</v>
      </c>
      <c r="M41" s="347">
        <v>3.86</v>
      </c>
      <c r="N41" s="347">
        <v>96.08</v>
      </c>
      <c r="O41" s="348">
        <v>8744</v>
      </c>
      <c r="P41" s="345">
        <v>87.97</v>
      </c>
      <c r="Q41" s="345">
        <v>85.3</v>
      </c>
      <c r="R41" s="345">
        <v>43.08</v>
      </c>
      <c r="S41" s="345">
        <v>129.82</v>
      </c>
      <c r="T41" s="345">
        <v>842</v>
      </c>
      <c r="U41" s="345">
        <v>136.01</v>
      </c>
      <c r="V41" s="345">
        <v>906</v>
      </c>
      <c r="W41" s="345">
        <v>140.61000000000001</v>
      </c>
      <c r="X41" s="345">
        <v>25</v>
      </c>
      <c r="Y41" s="345">
        <v>64</v>
      </c>
      <c r="Z41" s="345">
        <v>14</v>
      </c>
      <c r="AA41" s="345">
        <v>0</v>
      </c>
      <c r="AB41" s="345">
        <v>34</v>
      </c>
      <c r="AC41" s="345">
        <v>3</v>
      </c>
      <c r="AD41" s="349">
        <v>9732</v>
      </c>
      <c r="AE41" s="349">
        <v>28</v>
      </c>
      <c r="AF41" s="349">
        <v>35</v>
      </c>
      <c r="AG41" s="349">
        <v>63</v>
      </c>
    </row>
    <row r="42" spans="1:33" x14ac:dyDescent="0.25">
      <c r="A42" s="344" t="s">
        <v>142</v>
      </c>
      <c r="B42" s="350" t="s">
        <v>143</v>
      </c>
      <c r="C42" s="346">
        <v>7433</v>
      </c>
      <c r="D42" s="346">
        <v>0</v>
      </c>
      <c r="E42" s="346">
        <v>191</v>
      </c>
      <c r="F42" s="346">
        <v>973</v>
      </c>
      <c r="G42" s="346">
        <v>289</v>
      </c>
      <c r="H42" s="346">
        <v>8886</v>
      </c>
      <c r="I42" s="345">
        <v>8597</v>
      </c>
      <c r="J42" s="345">
        <v>13</v>
      </c>
      <c r="K42" s="347">
        <v>87.51</v>
      </c>
      <c r="L42" s="347">
        <v>87.54</v>
      </c>
      <c r="M42" s="347">
        <v>3.29</v>
      </c>
      <c r="N42" s="347">
        <v>88.43</v>
      </c>
      <c r="O42" s="348">
        <v>6755</v>
      </c>
      <c r="P42" s="345">
        <v>80.17</v>
      </c>
      <c r="Q42" s="345">
        <v>77.78</v>
      </c>
      <c r="R42" s="345">
        <v>21.65</v>
      </c>
      <c r="S42" s="345">
        <v>101.09</v>
      </c>
      <c r="T42" s="345">
        <v>1124</v>
      </c>
      <c r="U42" s="345">
        <v>111.34</v>
      </c>
      <c r="V42" s="345">
        <v>661</v>
      </c>
      <c r="W42" s="345">
        <v>0</v>
      </c>
      <c r="X42" s="345">
        <v>0</v>
      </c>
      <c r="Y42" s="345">
        <v>27</v>
      </c>
      <c r="Z42" s="345">
        <v>3</v>
      </c>
      <c r="AA42" s="345">
        <v>6</v>
      </c>
      <c r="AB42" s="345">
        <v>22</v>
      </c>
      <c r="AC42" s="345">
        <v>4</v>
      </c>
      <c r="AD42" s="349">
        <v>7433</v>
      </c>
      <c r="AE42" s="349">
        <v>42</v>
      </c>
      <c r="AF42" s="349">
        <v>41</v>
      </c>
      <c r="AG42" s="349">
        <v>83</v>
      </c>
    </row>
    <row r="43" spans="1:33" x14ac:dyDescent="0.25">
      <c r="A43" s="344" t="s">
        <v>144</v>
      </c>
      <c r="B43" s="350" t="s">
        <v>145</v>
      </c>
      <c r="C43" s="346">
        <v>15957</v>
      </c>
      <c r="D43" s="346">
        <v>106</v>
      </c>
      <c r="E43" s="346">
        <v>1055</v>
      </c>
      <c r="F43" s="346">
        <v>1073</v>
      </c>
      <c r="G43" s="346">
        <v>2112</v>
      </c>
      <c r="H43" s="346">
        <v>20303</v>
      </c>
      <c r="I43" s="345">
        <v>18191</v>
      </c>
      <c r="J43" s="345">
        <v>20</v>
      </c>
      <c r="K43" s="347">
        <v>130.62</v>
      </c>
      <c r="L43" s="347">
        <v>127.83</v>
      </c>
      <c r="M43" s="347">
        <v>11.12</v>
      </c>
      <c r="N43" s="347">
        <v>138.36000000000001</v>
      </c>
      <c r="O43" s="348">
        <v>11959</v>
      </c>
      <c r="P43" s="345">
        <v>115.34</v>
      </c>
      <c r="Q43" s="345">
        <v>99.65</v>
      </c>
      <c r="R43" s="345">
        <v>49.04</v>
      </c>
      <c r="S43" s="345">
        <v>152.79</v>
      </c>
      <c r="T43" s="345">
        <v>1786</v>
      </c>
      <c r="U43" s="345">
        <v>206.19</v>
      </c>
      <c r="V43" s="345">
        <v>1579</v>
      </c>
      <c r="W43" s="345">
        <v>200.84</v>
      </c>
      <c r="X43" s="345">
        <v>139</v>
      </c>
      <c r="Y43" s="345">
        <v>0</v>
      </c>
      <c r="Z43" s="345">
        <v>5</v>
      </c>
      <c r="AA43" s="345">
        <v>16</v>
      </c>
      <c r="AB43" s="345">
        <v>158</v>
      </c>
      <c r="AC43" s="345">
        <v>73</v>
      </c>
      <c r="AD43" s="349">
        <v>14499</v>
      </c>
      <c r="AE43" s="349">
        <v>84</v>
      </c>
      <c r="AF43" s="349">
        <v>64</v>
      </c>
      <c r="AG43" s="349">
        <v>148</v>
      </c>
    </row>
    <row r="44" spans="1:33" x14ac:dyDescent="0.25">
      <c r="A44" s="344" t="s">
        <v>146</v>
      </c>
      <c r="B44" s="350" t="s">
        <v>147</v>
      </c>
      <c r="C44" s="346">
        <v>762</v>
      </c>
      <c r="D44" s="346">
        <v>7</v>
      </c>
      <c r="E44" s="346">
        <v>74</v>
      </c>
      <c r="F44" s="346">
        <v>163</v>
      </c>
      <c r="G44" s="346">
        <v>187</v>
      </c>
      <c r="H44" s="346">
        <v>1193</v>
      </c>
      <c r="I44" s="345">
        <v>1006</v>
      </c>
      <c r="J44" s="345">
        <v>0</v>
      </c>
      <c r="K44" s="347">
        <v>116</v>
      </c>
      <c r="L44" s="347">
        <v>114.26</v>
      </c>
      <c r="M44" s="347">
        <v>7.8</v>
      </c>
      <c r="N44" s="347">
        <v>123.23</v>
      </c>
      <c r="O44" s="348">
        <v>510</v>
      </c>
      <c r="P44" s="345">
        <v>98.13</v>
      </c>
      <c r="Q44" s="345">
        <v>96.55</v>
      </c>
      <c r="R44" s="345">
        <v>41.31</v>
      </c>
      <c r="S44" s="345">
        <v>139.27000000000001</v>
      </c>
      <c r="T44" s="345">
        <v>237</v>
      </c>
      <c r="U44" s="345">
        <v>141.51</v>
      </c>
      <c r="V44" s="345">
        <v>109</v>
      </c>
      <c r="W44" s="345">
        <v>0</v>
      </c>
      <c r="X44" s="345">
        <v>0</v>
      </c>
      <c r="Y44" s="345">
        <v>0</v>
      </c>
      <c r="Z44" s="345">
        <v>0</v>
      </c>
      <c r="AA44" s="345">
        <v>0</v>
      </c>
      <c r="AB44" s="345">
        <v>5</v>
      </c>
      <c r="AC44" s="345">
        <v>3</v>
      </c>
      <c r="AD44" s="349">
        <v>622</v>
      </c>
      <c r="AE44" s="349">
        <v>4</v>
      </c>
      <c r="AF44" s="349">
        <v>0</v>
      </c>
      <c r="AG44" s="349">
        <v>4</v>
      </c>
    </row>
    <row r="45" spans="1:33" x14ac:dyDescent="0.25">
      <c r="A45" s="344" t="s">
        <v>148</v>
      </c>
      <c r="B45" s="350" t="s">
        <v>149</v>
      </c>
      <c r="C45" s="346">
        <v>4568</v>
      </c>
      <c r="D45" s="346">
        <v>15</v>
      </c>
      <c r="E45" s="346">
        <v>1022</v>
      </c>
      <c r="F45" s="346">
        <v>1048</v>
      </c>
      <c r="G45" s="346">
        <v>853</v>
      </c>
      <c r="H45" s="346">
        <v>7506</v>
      </c>
      <c r="I45" s="345">
        <v>6653</v>
      </c>
      <c r="J45" s="345">
        <v>32</v>
      </c>
      <c r="K45" s="347">
        <v>94.37</v>
      </c>
      <c r="L45" s="347">
        <v>92.03</v>
      </c>
      <c r="M45" s="347">
        <v>10.14</v>
      </c>
      <c r="N45" s="347">
        <v>102.61</v>
      </c>
      <c r="O45" s="348">
        <v>3808</v>
      </c>
      <c r="P45" s="345">
        <v>90.56</v>
      </c>
      <c r="Q45" s="345">
        <v>83.87</v>
      </c>
      <c r="R45" s="345">
        <v>63.16</v>
      </c>
      <c r="S45" s="345">
        <v>152.25</v>
      </c>
      <c r="T45" s="345">
        <v>1202</v>
      </c>
      <c r="U45" s="345">
        <v>159.22999999999999</v>
      </c>
      <c r="V45" s="345">
        <v>447</v>
      </c>
      <c r="W45" s="345">
        <v>147.36000000000001</v>
      </c>
      <c r="X45" s="345">
        <v>20</v>
      </c>
      <c r="Y45" s="345">
        <v>0</v>
      </c>
      <c r="Z45" s="345">
        <v>0</v>
      </c>
      <c r="AA45" s="345">
        <v>8</v>
      </c>
      <c r="AB45" s="345">
        <v>18</v>
      </c>
      <c r="AC45" s="345">
        <v>15</v>
      </c>
      <c r="AD45" s="349">
        <v>4296</v>
      </c>
      <c r="AE45" s="349">
        <v>22</v>
      </c>
      <c r="AF45" s="349">
        <v>19</v>
      </c>
      <c r="AG45" s="349">
        <v>41</v>
      </c>
    </row>
    <row r="46" spans="1:33" x14ac:dyDescent="0.25">
      <c r="A46" s="344" t="s">
        <v>150</v>
      </c>
      <c r="B46" s="350" t="s">
        <v>151</v>
      </c>
      <c r="C46" s="346">
        <v>8728</v>
      </c>
      <c r="D46" s="346">
        <v>45</v>
      </c>
      <c r="E46" s="346">
        <v>2681</v>
      </c>
      <c r="F46" s="346">
        <v>1079</v>
      </c>
      <c r="G46" s="346">
        <v>1309</v>
      </c>
      <c r="H46" s="346">
        <v>13842</v>
      </c>
      <c r="I46" s="345">
        <v>12533</v>
      </c>
      <c r="J46" s="345">
        <v>0</v>
      </c>
      <c r="K46" s="347">
        <v>95.79</v>
      </c>
      <c r="L46" s="347">
        <v>94.36</v>
      </c>
      <c r="M46" s="347">
        <v>9.75</v>
      </c>
      <c r="N46" s="347">
        <v>102.86</v>
      </c>
      <c r="O46" s="348">
        <v>7043</v>
      </c>
      <c r="P46" s="345">
        <v>90.1</v>
      </c>
      <c r="Q46" s="345">
        <v>87.75</v>
      </c>
      <c r="R46" s="345">
        <v>39.57</v>
      </c>
      <c r="S46" s="345">
        <v>128.91</v>
      </c>
      <c r="T46" s="345">
        <v>3052</v>
      </c>
      <c r="U46" s="345">
        <v>131.57</v>
      </c>
      <c r="V46" s="345">
        <v>1100</v>
      </c>
      <c r="W46" s="345">
        <v>154.37</v>
      </c>
      <c r="X46" s="345">
        <v>68</v>
      </c>
      <c r="Y46" s="345">
        <v>1</v>
      </c>
      <c r="Z46" s="345">
        <v>1</v>
      </c>
      <c r="AA46" s="345">
        <v>13</v>
      </c>
      <c r="AB46" s="345">
        <v>39</v>
      </c>
      <c r="AC46" s="345">
        <v>21</v>
      </c>
      <c r="AD46" s="349">
        <v>8364</v>
      </c>
      <c r="AE46" s="349">
        <v>38</v>
      </c>
      <c r="AF46" s="349">
        <v>35</v>
      </c>
      <c r="AG46" s="349">
        <v>73</v>
      </c>
    </row>
    <row r="47" spans="1:33" x14ac:dyDescent="0.25">
      <c r="A47" s="344" t="s">
        <v>152</v>
      </c>
      <c r="B47" s="350" t="s">
        <v>153</v>
      </c>
      <c r="C47" s="346">
        <v>4888</v>
      </c>
      <c r="D47" s="346">
        <v>5</v>
      </c>
      <c r="E47" s="346">
        <v>151</v>
      </c>
      <c r="F47" s="346">
        <v>559</v>
      </c>
      <c r="G47" s="346">
        <v>386</v>
      </c>
      <c r="H47" s="346">
        <v>5989</v>
      </c>
      <c r="I47" s="345">
        <v>5603</v>
      </c>
      <c r="J47" s="345">
        <v>0</v>
      </c>
      <c r="K47" s="347">
        <v>91</v>
      </c>
      <c r="L47" s="347">
        <v>87.83</v>
      </c>
      <c r="M47" s="347">
        <v>2.41</v>
      </c>
      <c r="N47" s="347">
        <v>92.62</v>
      </c>
      <c r="O47" s="348">
        <v>3699</v>
      </c>
      <c r="P47" s="345">
        <v>90.7</v>
      </c>
      <c r="Q47" s="345">
        <v>83.11</v>
      </c>
      <c r="R47" s="345">
        <v>31.29</v>
      </c>
      <c r="S47" s="345">
        <v>121.9</v>
      </c>
      <c r="T47" s="345">
        <v>706</v>
      </c>
      <c r="U47" s="345">
        <v>109.2</v>
      </c>
      <c r="V47" s="345">
        <v>1054</v>
      </c>
      <c r="W47" s="345">
        <v>0</v>
      </c>
      <c r="X47" s="345">
        <v>0</v>
      </c>
      <c r="Y47" s="345">
        <v>13</v>
      </c>
      <c r="Z47" s="345">
        <v>1</v>
      </c>
      <c r="AA47" s="345">
        <v>8</v>
      </c>
      <c r="AB47" s="345">
        <v>21</v>
      </c>
      <c r="AC47" s="345">
        <v>7</v>
      </c>
      <c r="AD47" s="349">
        <v>4888</v>
      </c>
      <c r="AE47" s="349">
        <v>16</v>
      </c>
      <c r="AF47" s="349">
        <v>30</v>
      </c>
      <c r="AG47" s="349">
        <v>46</v>
      </c>
    </row>
    <row r="48" spans="1:33" x14ac:dyDescent="0.25">
      <c r="A48" s="344" t="s">
        <v>154</v>
      </c>
      <c r="B48" s="350" t="s">
        <v>155</v>
      </c>
      <c r="C48" s="346">
        <v>16261</v>
      </c>
      <c r="D48" s="346">
        <v>108</v>
      </c>
      <c r="E48" s="346">
        <v>600</v>
      </c>
      <c r="F48" s="346">
        <v>2004</v>
      </c>
      <c r="G48" s="346">
        <v>1063</v>
      </c>
      <c r="H48" s="346">
        <v>20036</v>
      </c>
      <c r="I48" s="345">
        <v>18973</v>
      </c>
      <c r="J48" s="345">
        <v>15</v>
      </c>
      <c r="K48" s="347">
        <v>113.49</v>
      </c>
      <c r="L48" s="347">
        <v>109.08</v>
      </c>
      <c r="M48" s="347">
        <v>11.43</v>
      </c>
      <c r="N48" s="347">
        <v>120.13</v>
      </c>
      <c r="O48" s="348">
        <v>13363</v>
      </c>
      <c r="P48" s="345">
        <v>108.12</v>
      </c>
      <c r="Q48" s="345">
        <v>103.62</v>
      </c>
      <c r="R48" s="345">
        <v>49.69</v>
      </c>
      <c r="S48" s="345">
        <v>156.01</v>
      </c>
      <c r="T48" s="345">
        <v>2070</v>
      </c>
      <c r="U48" s="345">
        <v>171.72</v>
      </c>
      <c r="V48" s="345">
        <v>1800</v>
      </c>
      <c r="W48" s="345">
        <v>0</v>
      </c>
      <c r="X48" s="345">
        <v>0</v>
      </c>
      <c r="Y48" s="345">
        <v>139</v>
      </c>
      <c r="Z48" s="345">
        <v>3</v>
      </c>
      <c r="AA48" s="345">
        <v>18</v>
      </c>
      <c r="AB48" s="345">
        <v>83</v>
      </c>
      <c r="AC48" s="345">
        <v>34</v>
      </c>
      <c r="AD48" s="349">
        <v>15421</v>
      </c>
      <c r="AE48" s="349">
        <v>196</v>
      </c>
      <c r="AF48" s="349">
        <v>82</v>
      </c>
      <c r="AG48" s="349">
        <v>278</v>
      </c>
    </row>
    <row r="49" spans="1:33" x14ac:dyDescent="0.25">
      <c r="A49" s="344" t="s">
        <v>156</v>
      </c>
      <c r="B49" s="350" t="s">
        <v>157</v>
      </c>
      <c r="C49" s="346">
        <v>3456</v>
      </c>
      <c r="D49" s="346">
        <v>0</v>
      </c>
      <c r="E49" s="346">
        <v>80</v>
      </c>
      <c r="F49" s="346">
        <v>998</v>
      </c>
      <c r="G49" s="346">
        <v>449</v>
      </c>
      <c r="H49" s="346">
        <v>4983</v>
      </c>
      <c r="I49" s="345">
        <v>4534</v>
      </c>
      <c r="J49" s="345">
        <v>0</v>
      </c>
      <c r="K49" s="347">
        <v>90.53</v>
      </c>
      <c r="L49" s="347">
        <v>90.06</v>
      </c>
      <c r="M49" s="347">
        <v>4.5999999999999996</v>
      </c>
      <c r="N49" s="347">
        <v>93.32</v>
      </c>
      <c r="O49" s="348">
        <v>3079</v>
      </c>
      <c r="P49" s="345">
        <v>82.86</v>
      </c>
      <c r="Q49" s="345">
        <v>83.82</v>
      </c>
      <c r="R49" s="345">
        <v>26.16</v>
      </c>
      <c r="S49" s="345">
        <v>108.99</v>
      </c>
      <c r="T49" s="345">
        <v>1036</v>
      </c>
      <c r="U49" s="345">
        <v>113.7</v>
      </c>
      <c r="V49" s="345">
        <v>336</v>
      </c>
      <c r="W49" s="345">
        <v>0</v>
      </c>
      <c r="X49" s="345">
        <v>0</v>
      </c>
      <c r="Y49" s="345">
        <v>0</v>
      </c>
      <c r="Z49" s="345">
        <v>12</v>
      </c>
      <c r="AA49" s="345">
        <v>1</v>
      </c>
      <c r="AB49" s="345">
        <v>34</v>
      </c>
      <c r="AC49" s="345">
        <v>7</v>
      </c>
      <c r="AD49" s="349">
        <v>3456</v>
      </c>
      <c r="AE49" s="349">
        <v>26</v>
      </c>
      <c r="AF49" s="349">
        <v>17</v>
      </c>
      <c r="AG49" s="349">
        <v>43</v>
      </c>
    </row>
    <row r="50" spans="1:33" x14ac:dyDescent="0.25">
      <c r="A50" s="344" t="s">
        <v>158</v>
      </c>
      <c r="B50" s="350" t="s">
        <v>159</v>
      </c>
      <c r="C50" s="346">
        <v>4741</v>
      </c>
      <c r="D50" s="346">
        <v>0</v>
      </c>
      <c r="E50" s="346">
        <v>119</v>
      </c>
      <c r="F50" s="346">
        <v>379</v>
      </c>
      <c r="G50" s="346">
        <v>382</v>
      </c>
      <c r="H50" s="346">
        <v>5621</v>
      </c>
      <c r="I50" s="345">
        <v>5239</v>
      </c>
      <c r="J50" s="345">
        <v>0</v>
      </c>
      <c r="K50" s="347">
        <v>112.04</v>
      </c>
      <c r="L50" s="347">
        <v>109.75</v>
      </c>
      <c r="M50" s="347">
        <v>7.08</v>
      </c>
      <c r="N50" s="347">
        <v>116.29</v>
      </c>
      <c r="O50" s="348">
        <v>3913</v>
      </c>
      <c r="P50" s="345">
        <v>99.23</v>
      </c>
      <c r="Q50" s="345">
        <v>94.17</v>
      </c>
      <c r="R50" s="345">
        <v>35.76</v>
      </c>
      <c r="S50" s="345">
        <v>134.63</v>
      </c>
      <c r="T50" s="345">
        <v>498</v>
      </c>
      <c r="U50" s="345">
        <v>166.33</v>
      </c>
      <c r="V50" s="345">
        <v>811</v>
      </c>
      <c r="W50" s="345">
        <v>0</v>
      </c>
      <c r="X50" s="345">
        <v>0</v>
      </c>
      <c r="Y50" s="345">
        <v>0</v>
      </c>
      <c r="Z50" s="345">
        <v>8</v>
      </c>
      <c r="AA50" s="345">
        <v>0</v>
      </c>
      <c r="AB50" s="345">
        <v>13</v>
      </c>
      <c r="AC50" s="345">
        <v>1</v>
      </c>
      <c r="AD50" s="349">
        <v>4741</v>
      </c>
      <c r="AE50" s="349">
        <v>21</v>
      </c>
      <c r="AF50" s="349">
        <v>4</v>
      </c>
      <c r="AG50" s="349">
        <v>25</v>
      </c>
    </row>
    <row r="51" spans="1:33" x14ac:dyDescent="0.25">
      <c r="A51" s="344" t="s">
        <v>160</v>
      </c>
      <c r="B51" s="350" t="s">
        <v>161</v>
      </c>
      <c r="C51" s="346">
        <v>1086</v>
      </c>
      <c r="D51" s="346">
        <v>0</v>
      </c>
      <c r="E51" s="346">
        <v>119</v>
      </c>
      <c r="F51" s="346">
        <v>108</v>
      </c>
      <c r="G51" s="346">
        <v>89</v>
      </c>
      <c r="H51" s="346">
        <v>1402</v>
      </c>
      <c r="I51" s="345">
        <v>1313</v>
      </c>
      <c r="J51" s="345">
        <v>0</v>
      </c>
      <c r="K51" s="347">
        <v>79.19</v>
      </c>
      <c r="L51" s="347">
        <v>77.91</v>
      </c>
      <c r="M51" s="347">
        <v>7.3</v>
      </c>
      <c r="N51" s="347">
        <v>85.28</v>
      </c>
      <c r="O51" s="348">
        <v>910</v>
      </c>
      <c r="P51" s="345">
        <v>95.81</v>
      </c>
      <c r="Q51" s="345">
        <v>74.19</v>
      </c>
      <c r="R51" s="345">
        <v>63.1</v>
      </c>
      <c r="S51" s="345">
        <v>158.6</v>
      </c>
      <c r="T51" s="345">
        <v>200</v>
      </c>
      <c r="U51" s="345">
        <v>94.88</v>
      </c>
      <c r="V51" s="345">
        <v>159</v>
      </c>
      <c r="W51" s="345">
        <v>196.35</v>
      </c>
      <c r="X51" s="345">
        <v>27</v>
      </c>
      <c r="Y51" s="345">
        <v>0</v>
      </c>
      <c r="Z51" s="345">
        <v>4</v>
      </c>
      <c r="AA51" s="345">
        <v>0</v>
      </c>
      <c r="AB51" s="345">
        <v>0</v>
      </c>
      <c r="AC51" s="345">
        <v>7</v>
      </c>
      <c r="AD51" s="349">
        <v>1086</v>
      </c>
      <c r="AE51" s="349">
        <v>9</v>
      </c>
      <c r="AF51" s="349">
        <v>2</v>
      </c>
      <c r="AG51" s="349">
        <v>11</v>
      </c>
    </row>
    <row r="52" spans="1:33" x14ac:dyDescent="0.25">
      <c r="A52" s="351" t="s">
        <v>775</v>
      </c>
      <c r="B52" s="351" t="s">
        <v>770</v>
      </c>
      <c r="C52" s="345">
        <v>24982</v>
      </c>
      <c r="D52" s="345">
        <v>0</v>
      </c>
      <c r="E52" s="345">
        <v>967</v>
      </c>
      <c r="F52" s="345">
        <v>3331</v>
      </c>
      <c r="G52" s="345">
        <v>2427</v>
      </c>
      <c r="H52" s="345">
        <v>31707</v>
      </c>
      <c r="I52" s="345">
        <v>29280</v>
      </c>
      <c r="J52" s="345">
        <v>56</v>
      </c>
      <c r="K52" s="352">
        <v>109.13</v>
      </c>
      <c r="L52" s="352">
        <v>108.93</v>
      </c>
      <c r="M52" s="352">
        <v>5.25</v>
      </c>
      <c r="N52" s="352">
        <v>112.49</v>
      </c>
      <c r="O52" s="345">
        <v>21093</v>
      </c>
      <c r="P52" s="352">
        <v>101.78</v>
      </c>
      <c r="Q52" s="352">
        <v>97.39</v>
      </c>
      <c r="R52" s="352">
        <v>29.63</v>
      </c>
      <c r="S52" s="352">
        <v>129.08000000000001</v>
      </c>
      <c r="T52" s="345">
        <v>3882</v>
      </c>
      <c r="U52" s="352">
        <v>159.97</v>
      </c>
      <c r="V52" s="345">
        <v>3466</v>
      </c>
      <c r="W52" s="352">
        <v>152.22999999999999</v>
      </c>
      <c r="X52" s="345">
        <v>48</v>
      </c>
      <c r="Y52" s="345">
        <v>44</v>
      </c>
      <c r="Z52" s="345">
        <v>37</v>
      </c>
      <c r="AA52" s="345">
        <v>18</v>
      </c>
      <c r="AB52" s="345">
        <v>196</v>
      </c>
      <c r="AC52" s="345">
        <v>45</v>
      </c>
      <c r="AD52" s="345">
        <v>24638</v>
      </c>
      <c r="AE52" s="345">
        <v>111</v>
      </c>
      <c r="AF52" s="345">
        <v>170</v>
      </c>
      <c r="AG52" s="345">
        <v>281</v>
      </c>
    </row>
    <row r="53" spans="1:33" x14ac:dyDescent="0.25">
      <c r="A53" s="344" t="s">
        <v>162</v>
      </c>
      <c r="B53" s="350" t="s">
        <v>163</v>
      </c>
      <c r="C53" s="346">
        <v>4444</v>
      </c>
      <c r="D53" s="346">
        <v>0</v>
      </c>
      <c r="E53" s="346">
        <v>358</v>
      </c>
      <c r="F53" s="346">
        <v>1431</v>
      </c>
      <c r="G53" s="346">
        <v>22</v>
      </c>
      <c r="H53" s="346">
        <v>6255</v>
      </c>
      <c r="I53" s="345">
        <v>6233</v>
      </c>
      <c r="J53" s="345">
        <v>8</v>
      </c>
      <c r="K53" s="347">
        <v>79.36</v>
      </c>
      <c r="L53" s="347">
        <v>76.569999999999993</v>
      </c>
      <c r="M53" s="347">
        <v>2.61</v>
      </c>
      <c r="N53" s="347">
        <v>81.739999999999995</v>
      </c>
      <c r="O53" s="348">
        <v>3859</v>
      </c>
      <c r="P53" s="345">
        <v>81.19</v>
      </c>
      <c r="Q53" s="345">
        <v>70.03</v>
      </c>
      <c r="R53" s="345">
        <v>32.99</v>
      </c>
      <c r="S53" s="345">
        <v>113.51</v>
      </c>
      <c r="T53" s="345">
        <v>1621</v>
      </c>
      <c r="U53" s="345">
        <v>95.47</v>
      </c>
      <c r="V53" s="345">
        <v>568</v>
      </c>
      <c r="W53" s="345">
        <v>269.86</v>
      </c>
      <c r="X53" s="345">
        <v>84</v>
      </c>
      <c r="Y53" s="345">
        <v>0</v>
      </c>
      <c r="Z53" s="345">
        <v>19</v>
      </c>
      <c r="AA53" s="345">
        <v>0</v>
      </c>
      <c r="AB53" s="345">
        <v>7</v>
      </c>
      <c r="AC53" s="345">
        <v>0</v>
      </c>
      <c r="AD53" s="349">
        <v>4433</v>
      </c>
      <c r="AE53" s="349">
        <v>41</v>
      </c>
      <c r="AF53" s="349">
        <v>8</v>
      </c>
      <c r="AG53" s="349">
        <v>49</v>
      </c>
    </row>
    <row r="54" spans="1:33" x14ac:dyDescent="0.25">
      <c r="A54" s="344" t="s">
        <v>164</v>
      </c>
      <c r="B54" s="350" t="s">
        <v>165</v>
      </c>
      <c r="C54" s="346">
        <v>3870</v>
      </c>
      <c r="D54" s="346">
        <v>0</v>
      </c>
      <c r="E54" s="346">
        <v>510</v>
      </c>
      <c r="F54" s="346">
        <v>530</v>
      </c>
      <c r="G54" s="346">
        <v>130</v>
      </c>
      <c r="H54" s="346">
        <v>5040</v>
      </c>
      <c r="I54" s="345">
        <v>4910</v>
      </c>
      <c r="J54" s="345">
        <v>1</v>
      </c>
      <c r="K54" s="347">
        <v>80.84</v>
      </c>
      <c r="L54" s="347">
        <v>81.2</v>
      </c>
      <c r="M54" s="347">
        <v>6.34</v>
      </c>
      <c r="N54" s="347">
        <v>84.79</v>
      </c>
      <c r="O54" s="348">
        <v>3110</v>
      </c>
      <c r="P54" s="345">
        <v>89.96</v>
      </c>
      <c r="Q54" s="345">
        <v>82.29</v>
      </c>
      <c r="R54" s="345">
        <v>46.72</v>
      </c>
      <c r="S54" s="345">
        <v>130.57</v>
      </c>
      <c r="T54" s="345">
        <v>758</v>
      </c>
      <c r="U54" s="345">
        <v>102.63</v>
      </c>
      <c r="V54" s="345">
        <v>503</v>
      </c>
      <c r="W54" s="345">
        <v>125.69</v>
      </c>
      <c r="X54" s="345">
        <v>16</v>
      </c>
      <c r="Y54" s="345">
        <v>8</v>
      </c>
      <c r="Z54" s="345">
        <v>8</v>
      </c>
      <c r="AA54" s="345">
        <v>3</v>
      </c>
      <c r="AB54" s="345">
        <v>1</v>
      </c>
      <c r="AC54" s="345">
        <v>5</v>
      </c>
      <c r="AD54" s="349">
        <v>3496</v>
      </c>
      <c r="AE54" s="349">
        <v>25</v>
      </c>
      <c r="AF54" s="349">
        <v>26</v>
      </c>
      <c r="AG54" s="349">
        <v>51</v>
      </c>
    </row>
    <row r="55" spans="1:33" x14ac:dyDescent="0.25">
      <c r="A55" s="344" t="s">
        <v>166</v>
      </c>
      <c r="B55" s="350" t="s">
        <v>167</v>
      </c>
      <c r="C55" s="346">
        <v>12633</v>
      </c>
      <c r="D55" s="346">
        <v>0</v>
      </c>
      <c r="E55" s="346">
        <v>341</v>
      </c>
      <c r="F55" s="346">
        <v>934</v>
      </c>
      <c r="G55" s="346">
        <v>223</v>
      </c>
      <c r="H55" s="346">
        <v>14131</v>
      </c>
      <c r="I55" s="345">
        <v>13908</v>
      </c>
      <c r="J55" s="345">
        <v>11</v>
      </c>
      <c r="K55" s="347">
        <v>76.75</v>
      </c>
      <c r="L55" s="347">
        <v>75.36</v>
      </c>
      <c r="M55" s="347">
        <v>7.3</v>
      </c>
      <c r="N55" s="347">
        <v>83.74</v>
      </c>
      <c r="O55" s="348">
        <v>11860</v>
      </c>
      <c r="P55" s="345">
        <v>88.29</v>
      </c>
      <c r="Q55" s="345">
        <v>76.02</v>
      </c>
      <c r="R55" s="345">
        <v>38.119999999999997</v>
      </c>
      <c r="S55" s="345">
        <v>125.52</v>
      </c>
      <c r="T55" s="345">
        <v>1122</v>
      </c>
      <c r="U55" s="345">
        <v>97.29</v>
      </c>
      <c r="V55" s="345">
        <v>694</v>
      </c>
      <c r="W55" s="345">
        <v>94.9</v>
      </c>
      <c r="X55" s="345">
        <v>10</v>
      </c>
      <c r="Y55" s="345">
        <v>0</v>
      </c>
      <c r="Z55" s="345">
        <v>43</v>
      </c>
      <c r="AA55" s="345">
        <v>136</v>
      </c>
      <c r="AB55" s="345">
        <v>3</v>
      </c>
      <c r="AC55" s="345">
        <v>9</v>
      </c>
      <c r="AD55" s="349">
        <v>12611</v>
      </c>
      <c r="AE55" s="349">
        <v>111</v>
      </c>
      <c r="AF55" s="349">
        <v>155</v>
      </c>
      <c r="AG55" s="349">
        <v>266</v>
      </c>
    </row>
    <row r="56" spans="1:33" x14ac:dyDescent="0.25">
      <c r="A56" s="344" t="s">
        <v>168</v>
      </c>
      <c r="B56" s="350" t="s">
        <v>169</v>
      </c>
      <c r="C56" s="346">
        <v>3768</v>
      </c>
      <c r="D56" s="346">
        <v>595</v>
      </c>
      <c r="E56" s="346">
        <v>453</v>
      </c>
      <c r="F56" s="346">
        <v>494</v>
      </c>
      <c r="G56" s="346">
        <v>748</v>
      </c>
      <c r="H56" s="346">
        <v>6058</v>
      </c>
      <c r="I56" s="345">
        <v>5310</v>
      </c>
      <c r="J56" s="345">
        <v>0</v>
      </c>
      <c r="K56" s="347">
        <v>107.22</v>
      </c>
      <c r="L56" s="347">
        <v>106.58</v>
      </c>
      <c r="M56" s="347">
        <v>8.1199999999999992</v>
      </c>
      <c r="N56" s="347">
        <v>112.61</v>
      </c>
      <c r="O56" s="348">
        <v>2535</v>
      </c>
      <c r="P56" s="345">
        <v>94.96</v>
      </c>
      <c r="Q56" s="345">
        <v>94.1</v>
      </c>
      <c r="R56" s="345">
        <v>66.48</v>
      </c>
      <c r="S56" s="345">
        <v>161.05000000000001</v>
      </c>
      <c r="T56" s="345">
        <v>853</v>
      </c>
      <c r="U56" s="345">
        <v>149.03</v>
      </c>
      <c r="V56" s="345">
        <v>931</v>
      </c>
      <c r="W56" s="345">
        <v>164.04</v>
      </c>
      <c r="X56" s="345">
        <v>2</v>
      </c>
      <c r="Y56" s="345">
        <v>0</v>
      </c>
      <c r="Z56" s="345">
        <v>0</v>
      </c>
      <c r="AA56" s="345">
        <v>2</v>
      </c>
      <c r="AB56" s="345">
        <v>21</v>
      </c>
      <c r="AC56" s="345">
        <v>25</v>
      </c>
      <c r="AD56" s="349">
        <v>3672</v>
      </c>
      <c r="AE56" s="349">
        <v>58</v>
      </c>
      <c r="AF56" s="349">
        <v>8</v>
      </c>
      <c r="AG56" s="349">
        <v>66</v>
      </c>
    </row>
    <row r="57" spans="1:33" x14ac:dyDescent="0.25">
      <c r="A57" s="344" t="s">
        <v>170</v>
      </c>
      <c r="B57" s="350" t="s">
        <v>171</v>
      </c>
      <c r="C57" s="346">
        <v>9128</v>
      </c>
      <c r="D57" s="346">
        <v>687</v>
      </c>
      <c r="E57" s="346">
        <v>945</v>
      </c>
      <c r="F57" s="346">
        <v>929</v>
      </c>
      <c r="G57" s="346">
        <v>534</v>
      </c>
      <c r="H57" s="346">
        <v>12223</v>
      </c>
      <c r="I57" s="345">
        <v>11689</v>
      </c>
      <c r="J57" s="345">
        <v>22</v>
      </c>
      <c r="K57" s="347">
        <v>129.71</v>
      </c>
      <c r="L57" s="347">
        <v>135.24</v>
      </c>
      <c r="M57" s="347">
        <v>18.27</v>
      </c>
      <c r="N57" s="347">
        <v>146.01</v>
      </c>
      <c r="O57" s="348">
        <v>6728</v>
      </c>
      <c r="P57" s="345">
        <v>108.07</v>
      </c>
      <c r="Q57" s="345">
        <v>108.27</v>
      </c>
      <c r="R57" s="345">
        <v>73.87</v>
      </c>
      <c r="S57" s="345">
        <v>179.96</v>
      </c>
      <c r="T57" s="345">
        <v>1749</v>
      </c>
      <c r="U57" s="345">
        <v>218.93</v>
      </c>
      <c r="V57" s="345">
        <v>471</v>
      </c>
      <c r="W57" s="345">
        <v>0</v>
      </c>
      <c r="X57" s="345">
        <v>0</v>
      </c>
      <c r="Y57" s="345">
        <v>38</v>
      </c>
      <c r="Z57" s="345">
        <v>0</v>
      </c>
      <c r="AA57" s="345">
        <v>7</v>
      </c>
      <c r="AB57" s="345">
        <v>13</v>
      </c>
      <c r="AC57" s="345">
        <v>8</v>
      </c>
      <c r="AD57" s="349">
        <v>7747</v>
      </c>
      <c r="AE57" s="349">
        <v>177</v>
      </c>
      <c r="AF57" s="349">
        <v>109</v>
      </c>
      <c r="AG57" s="349">
        <v>286</v>
      </c>
    </row>
    <row r="58" spans="1:33" x14ac:dyDescent="0.25">
      <c r="A58" s="344" t="s">
        <v>172</v>
      </c>
      <c r="B58" s="350" t="s">
        <v>173</v>
      </c>
      <c r="C58" s="346">
        <v>1652</v>
      </c>
      <c r="D58" s="346">
        <v>13</v>
      </c>
      <c r="E58" s="346">
        <v>232</v>
      </c>
      <c r="F58" s="346">
        <v>271</v>
      </c>
      <c r="G58" s="346">
        <v>258</v>
      </c>
      <c r="H58" s="346">
        <v>2426</v>
      </c>
      <c r="I58" s="345">
        <v>2168</v>
      </c>
      <c r="J58" s="345">
        <v>0</v>
      </c>
      <c r="K58" s="347">
        <v>89.71</v>
      </c>
      <c r="L58" s="347">
        <v>87.72</v>
      </c>
      <c r="M58" s="347">
        <v>5.2</v>
      </c>
      <c r="N58" s="347">
        <v>92.92</v>
      </c>
      <c r="O58" s="348">
        <v>1301</v>
      </c>
      <c r="P58" s="345">
        <v>88.9</v>
      </c>
      <c r="Q58" s="345">
        <v>84.92</v>
      </c>
      <c r="R58" s="345">
        <v>63.15</v>
      </c>
      <c r="S58" s="345">
        <v>152.05000000000001</v>
      </c>
      <c r="T58" s="345">
        <v>361</v>
      </c>
      <c r="U58" s="345">
        <v>111.66</v>
      </c>
      <c r="V58" s="345">
        <v>325</v>
      </c>
      <c r="W58" s="345">
        <v>210.28</v>
      </c>
      <c r="X58" s="345">
        <v>63</v>
      </c>
      <c r="Y58" s="345">
        <v>0</v>
      </c>
      <c r="Z58" s="345">
        <v>5</v>
      </c>
      <c r="AA58" s="345">
        <v>0</v>
      </c>
      <c r="AB58" s="345">
        <v>0</v>
      </c>
      <c r="AC58" s="345">
        <v>10</v>
      </c>
      <c r="AD58" s="349">
        <v>1641</v>
      </c>
      <c r="AE58" s="349">
        <v>9</v>
      </c>
      <c r="AF58" s="349">
        <v>36</v>
      </c>
      <c r="AG58" s="349">
        <v>45</v>
      </c>
    </row>
    <row r="59" spans="1:33" x14ac:dyDescent="0.25">
      <c r="A59" s="344" t="s">
        <v>174</v>
      </c>
      <c r="B59" s="350" t="s">
        <v>175</v>
      </c>
      <c r="C59" s="346">
        <v>2025</v>
      </c>
      <c r="D59" s="346">
        <v>0</v>
      </c>
      <c r="E59" s="346">
        <v>174</v>
      </c>
      <c r="F59" s="346">
        <v>380</v>
      </c>
      <c r="G59" s="346">
        <v>511</v>
      </c>
      <c r="H59" s="346">
        <v>3090</v>
      </c>
      <c r="I59" s="345">
        <v>2579</v>
      </c>
      <c r="J59" s="345">
        <v>0</v>
      </c>
      <c r="K59" s="347">
        <v>101.76</v>
      </c>
      <c r="L59" s="347">
        <v>100.44</v>
      </c>
      <c r="M59" s="347">
        <v>7.22</v>
      </c>
      <c r="N59" s="347">
        <v>107.75</v>
      </c>
      <c r="O59" s="348">
        <v>1379</v>
      </c>
      <c r="P59" s="345">
        <v>87.11</v>
      </c>
      <c r="Q59" s="345">
        <v>82.47</v>
      </c>
      <c r="R59" s="345">
        <v>50.67</v>
      </c>
      <c r="S59" s="345">
        <v>137.49</v>
      </c>
      <c r="T59" s="345">
        <v>532</v>
      </c>
      <c r="U59" s="345">
        <v>147.30000000000001</v>
      </c>
      <c r="V59" s="345">
        <v>362</v>
      </c>
      <c r="W59" s="345">
        <v>117.07</v>
      </c>
      <c r="X59" s="345">
        <v>6</v>
      </c>
      <c r="Y59" s="345">
        <v>21</v>
      </c>
      <c r="Z59" s="345">
        <v>0</v>
      </c>
      <c r="AA59" s="345">
        <v>0</v>
      </c>
      <c r="AB59" s="345">
        <v>55</v>
      </c>
      <c r="AC59" s="345">
        <v>6</v>
      </c>
      <c r="AD59" s="349">
        <v>1839</v>
      </c>
      <c r="AE59" s="349">
        <v>8</v>
      </c>
      <c r="AF59" s="349">
        <v>9</v>
      </c>
      <c r="AG59" s="349">
        <v>17</v>
      </c>
    </row>
    <row r="60" spans="1:33" x14ac:dyDescent="0.25">
      <c r="A60" s="344" t="s">
        <v>176</v>
      </c>
      <c r="B60" s="350" t="s">
        <v>177</v>
      </c>
      <c r="C60" s="346">
        <v>7093</v>
      </c>
      <c r="D60" s="346">
        <v>11</v>
      </c>
      <c r="E60" s="346">
        <v>278</v>
      </c>
      <c r="F60" s="346">
        <v>337</v>
      </c>
      <c r="G60" s="346">
        <v>264</v>
      </c>
      <c r="H60" s="346">
        <v>7983</v>
      </c>
      <c r="I60" s="345">
        <v>7719</v>
      </c>
      <c r="J60" s="345">
        <v>0</v>
      </c>
      <c r="K60" s="347">
        <v>80.34</v>
      </c>
      <c r="L60" s="347">
        <v>77.09</v>
      </c>
      <c r="M60" s="347">
        <v>3.57</v>
      </c>
      <c r="N60" s="347">
        <v>83.01</v>
      </c>
      <c r="O60" s="348">
        <v>5712</v>
      </c>
      <c r="P60" s="345">
        <v>94.49</v>
      </c>
      <c r="Q60" s="345">
        <v>81.86</v>
      </c>
      <c r="R60" s="345">
        <v>55.78</v>
      </c>
      <c r="S60" s="345">
        <v>148.55000000000001</v>
      </c>
      <c r="T60" s="345">
        <v>551</v>
      </c>
      <c r="U60" s="345">
        <v>88.97</v>
      </c>
      <c r="V60" s="345">
        <v>1372</v>
      </c>
      <c r="W60" s="345">
        <v>0</v>
      </c>
      <c r="X60" s="345">
        <v>0</v>
      </c>
      <c r="Y60" s="345">
        <v>0</v>
      </c>
      <c r="Z60" s="345">
        <v>27</v>
      </c>
      <c r="AA60" s="345">
        <v>0</v>
      </c>
      <c r="AB60" s="345">
        <v>7</v>
      </c>
      <c r="AC60" s="345">
        <v>1</v>
      </c>
      <c r="AD60" s="349">
        <v>7077</v>
      </c>
      <c r="AE60" s="349">
        <v>254</v>
      </c>
      <c r="AF60" s="349">
        <v>34</v>
      </c>
      <c r="AG60" s="349">
        <v>288</v>
      </c>
    </row>
    <row r="61" spans="1:33" x14ac:dyDescent="0.25">
      <c r="A61" s="344" t="s">
        <v>178</v>
      </c>
      <c r="B61" s="350" t="s">
        <v>179</v>
      </c>
      <c r="C61" s="346">
        <v>458</v>
      </c>
      <c r="D61" s="346">
        <v>0</v>
      </c>
      <c r="E61" s="346">
        <v>71</v>
      </c>
      <c r="F61" s="346">
        <v>73</v>
      </c>
      <c r="G61" s="346">
        <v>92</v>
      </c>
      <c r="H61" s="346">
        <v>694</v>
      </c>
      <c r="I61" s="345">
        <v>602</v>
      </c>
      <c r="J61" s="345">
        <v>0</v>
      </c>
      <c r="K61" s="347">
        <v>106.7</v>
      </c>
      <c r="L61" s="347">
        <v>105.15</v>
      </c>
      <c r="M61" s="347">
        <v>8.15</v>
      </c>
      <c r="N61" s="347">
        <v>111.43</v>
      </c>
      <c r="O61" s="348">
        <v>371</v>
      </c>
      <c r="P61" s="345">
        <v>90.85</v>
      </c>
      <c r="Q61" s="345">
        <v>84.09</v>
      </c>
      <c r="R61" s="345">
        <v>64.36</v>
      </c>
      <c r="S61" s="345">
        <v>154.16999999999999</v>
      </c>
      <c r="T61" s="345">
        <v>123</v>
      </c>
      <c r="U61" s="345">
        <v>146.38999999999999</v>
      </c>
      <c r="V61" s="345">
        <v>77</v>
      </c>
      <c r="W61" s="345">
        <v>0</v>
      </c>
      <c r="X61" s="345">
        <v>0</v>
      </c>
      <c r="Y61" s="345">
        <v>0</v>
      </c>
      <c r="Z61" s="345">
        <v>1</v>
      </c>
      <c r="AA61" s="345">
        <v>1</v>
      </c>
      <c r="AB61" s="345">
        <v>1</v>
      </c>
      <c r="AC61" s="345">
        <v>2</v>
      </c>
      <c r="AD61" s="349">
        <v>458</v>
      </c>
      <c r="AE61" s="349">
        <v>2</v>
      </c>
      <c r="AF61" s="349">
        <v>0</v>
      </c>
      <c r="AG61" s="349">
        <v>2</v>
      </c>
    </row>
    <row r="62" spans="1:33" x14ac:dyDescent="0.25">
      <c r="A62" s="344" t="s">
        <v>180</v>
      </c>
      <c r="B62" s="350" t="s">
        <v>181</v>
      </c>
      <c r="C62" s="346">
        <v>10020</v>
      </c>
      <c r="D62" s="346">
        <v>0</v>
      </c>
      <c r="E62" s="346">
        <v>325</v>
      </c>
      <c r="F62" s="346">
        <v>810</v>
      </c>
      <c r="G62" s="346">
        <v>1935</v>
      </c>
      <c r="H62" s="346">
        <v>13090</v>
      </c>
      <c r="I62" s="345">
        <v>11155</v>
      </c>
      <c r="J62" s="345">
        <v>4</v>
      </c>
      <c r="K62" s="347">
        <v>100.27</v>
      </c>
      <c r="L62" s="347">
        <v>101.34</v>
      </c>
      <c r="M62" s="347">
        <v>5.21</v>
      </c>
      <c r="N62" s="347">
        <v>101.81</v>
      </c>
      <c r="O62" s="348">
        <v>8359</v>
      </c>
      <c r="P62" s="345">
        <v>93.33</v>
      </c>
      <c r="Q62" s="345">
        <v>87.07</v>
      </c>
      <c r="R62" s="345">
        <v>36.54</v>
      </c>
      <c r="S62" s="345">
        <v>127.1</v>
      </c>
      <c r="T62" s="345">
        <v>1039</v>
      </c>
      <c r="U62" s="345">
        <v>141.75</v>
      </c>
      <c r="V62" s="345">
        <v>1425</v>
      </c>
      <c r="W62" s="345">
        <v>122.21</v>
      </c>
      <c r="X62" s="345">
        <v>50</v>
      </c>
      <c r="Y62" s="345">
        <v>0</v>
      </c>
      <c r="Z62" s="345">
        <v>7</v>
      </c>
      <c r="AA62" s="345">
        <v>1</v>
      </c>
      <c r="AB62" s="345">
        <v>227</v>
      </c>
      <c r="AC62" s="345">
        <v>14</v>
      </c>
      <c r="AD62" s="349">
        <v>9943</v>
      </c>
      <c r="AE62" s="349">
        <v>36</v>
      </c>
      <c r="AF62" s="349">
        <v>44</v>
      </c>
      <c r="AG62" s="349">
        <v>80</v>
      </c>
    </row>
    <row r="63" spans="1:33" x14ac:dyDescent="0.25">
      <c r="A63" s="344" t="s">
        <v>182</v>
      </c>
      <c r="B63" s="350" t="s">
        <v>183</v>
      </c>
      <c r="C63" s="346">
        <v>3086</v>
      </c>
      <c r="D63" s="346">
        <v>0</v>
      </c>
      <c r="E63" s="346">
        <v>337</v>
      </c>
      <c r="F63" s="346">
        <v>264</v>
      </c>
      <c r="G63" s="346">
        <v>690</v>
      </c>
      <c r="H63" s="346">
        <v>4377</v>
      </c>
      <c r="I63" s="345">
        <v>3687</v>
      </c>
      <c r="J63" s="345">
        <v>0</v>
      </c>
      <c r="K63" s="347">
        <v>90.32</v>
      </c>
      <c r="L63" s="347">
        <v>88.79</v>
      </c>
      <c r="M63" s="347">
        <v>6.49</v>
      </c>
      <c r="N63" s="347">
        <v>95.42</v>
      </c>
      <c r="O63" s="348">
        <v>2218</v>
      </c>
      <c r="P63" s="345">
        <v>96.33</v>
      </c>
      <c r="Q63" s="345">
        <v>82.68</v>
      </c>
      <c r="R63" s="345">
        <v>61.82</v>
      </c>
      <c r="S63" s="345">
        <v>156.49</v>
      </c>
      <c r="T63" s="345">
        <v>521</v>
      </c>
      <c r="U63" s="345">
        <v>107.63</v>
      </c>
      <c r="V63" s="345">
        <v>788</v>
      </c>
      <c r="W63" s="345">
        <v>0</v>
      </c>
      <c r="X63" s="345">
        <v>0</v>
      </c>
      <c r="Y63" s="345">
        <v>0</v>
      </c>
      <c r="Z63" s="345">
        <v>8</v>
      </c>
      <c r="AA63" s="345">
        <v>1</v>
      </c>
      <c r="AB63" s="345">
        <v>68</v>
      </c>
      <c r="AC63" s="345">
        <v>17</v>
      </c>
      <c r="AD63" s="349">
        <v>3086</v>
      </c>
      <c r="AE63" s="349">
        <v>24</v>
      </c>
      <c r="AF63" s="349">
        <v>3</v>
      </c>
      <c r="AG63" s="349">
        <v>27</v>
      </c>
    </row>
    <row r="64" spans="1:33" x14ac:dyDescent="0.25">
      <c r="A64" s="344" t="s">
        <v>184</v>
      </c>
      <c r="B64" s="350" t="s">
        <v>185</v>
      </c>
      <c r="C64" s="346">
        <v>9639</v>
      </c>
      <c r="D64" s="346">
        <v>250</v>
      </c>
      <c r="E64" s="346">
        <v>345</v>
      </c>
      <c r="F64" s="346">
        <v>287</v>
      </c>
      <c r="G64" s="346">
        <v>694</v>
      </c>
      <c r="H64" s="346">
        <v>11215</v>
      </c>
      <c r="I64" s="345">
        <v>10521</v>
      </c>
      <c r="J64" s="345">
        <v>4</v>
      </c>
      <c r="K64" s="347">
        <v>99.94</v>
      </c>
      <c r="L64" s="347">
        <v>99.29</v>
      </c>
      <c r="M64" s="347">
        <v>10.85</v>
      </c>
      <c r="N64" s="347">
        <v>105.21</v>
      </c>
      <c r="O64" s="348">
        <v>8610</v>
      </c>
      <c r="P64" s="345">
        <v>95.59</v>
      </c>
      <c r="Q64" s="345">
        <v>94.6</v>
      </c>
      <c r="R64" s="345">
        <v>33.44</v>
      </c>
      <c r="S64" s="345">
        <v>127.96</v>
      </c>
      <c r="T64" s="345">
        <v>535</v>
      </c>
      <c r="U64" s="345">
        <v>139.57</v>
      </c>
      <c r="V64" s="345">
        <v>887</v>
      </c>
      <c r="W64" s="345">
        <v>0</v>
      </c>
      <c r="X64" s="345">
        <v>0</v>
      </c>
      <c r="Y64" s="345">
        <v>0</v>
      </c>
      <c r="Z64" s="345">
        <v>7</v>
      </c>
      <c r="AA64" s="345">
        <v>12</v>
      </c>
      <c r="AB64" s="345">
        <v>73</v>
      </c>
      <c r="AC64" s="345">
        <v>8</v>
      </c>
      <c r="AD64" s="349">
        <v>9634</v>
      </c>
      <c r="AE64" s="349">
        <v>115</v>
      </c>
      <c r="AF64" s="349">
        <v>71</v>
      </c>
      <c r="AG64" s="349">
        <v>186</v>
      </c>
    </row>
    <row r="65" spans="1:33" x14ac:dyDescent="0.25">
      <c r="A65" s="344" t="s">
        <v>186</v>
      </c>
      <c r="B65" s="350" t="s">
        <v>187</v>
      </c>
      <c r="C65" s="346">
        <v>1879</v>
      </c>
      <c r="D65" s="346">
        <v>0</v>
      </c>
      <c r="E65" s="346">
        <v>390</v>
      </c>
      <c r="F65" s="346">
        <v>214</v>
      </c>
      <c r="G65" s="346">
        <v>390</v>
      </c>
      <c r="H65" s="346">
        <v>2873</v>
      </c>
      <c r="I65" s="345">
        <v>2483</v>
      </c>
      <c r="J65" s="345">
        <v>0</v>
      </c>
      <c r="K65" s="347">
        <v>93.98</v>
      </c>
      <c r="L65" s="347">
        <v>90.35</v>
      </c>
      <c r="M65" s="347">
        <v>5.62</v>
      </c>
      <c r="N65" s="347">
        <v>98.7</v>
      </c>
      <c r="O65" s="348">
        <v>1457</v>
      </c>
      <c r="P65" s="345">
        <v>84.03</v>
      </c>
      <c r="Q65" s="345">
        <v>81.709999999999994</v>
      </c>
      <c r="R65" s="345">
        <v>55.08</v>
      </c>
      <c r="S65" s="345">
        <v>132.44</v>
      </c>
      <c r="T65" s="345">
        <v>462</v>
      </c>
      <c r="U65" s="345">
        <v>131.38</v>
      </c>
      <c r="V65" s="345">
        <v>335</v>
      </c>
      <c r="W65" s="345">
        <v>235.09</v>
      </c>
      <c r="X65" s="345">
        <v>110</v>
      </c>
      <c r="Y65" s="345">
        <v>0</v>
      </c>
      <c r="Z65" s="345">
        <v>2</v>
      </c>
      <c r="AA65" s="345">
        <v>4</v>
      </c>
      <c r="AB65" s="345">
        <v>19</v>
      </c>
      <c r="AC65" s="345">
        <v>6</v>
      </c>
      <c r="AD65" s="349">
        <v>1722</v>
      </c>
      <c r="AE65" s="349">
        <v>9</v>
      </c>
      <c r="AF65" s="349">
        <v>48</v>
      </c>
      <c r="AG65" s="349">
        <v>57</v>
      </c>
    </row>
    <row r="66" spans="1:33" x14ac:dyDescent="0.25">
      <c r="A66" s="344" t="s">
        <v>188</v>
      </c>
      <c r="B66" s="350" t="s">
        <v>189</v>
      </c>
      <c r="C66" s="346">
        <v>6859</v>
      </c>
      <c r="D66" s="346">
        <v>10</v>
      </c>
      <c r="E66" s="346">
        <v>227</v>
      </c>
      <c r="F66" s="346">
        <v>1500</v>
      </c>
      <c r="G66" s="346">
        <v>935</v>
      </c>
      <c r="H66" s="346">
        <v>9531</v>
      </c>
      <c r="I66" s="345">
        <v>8596</v>
      </c>
      <c r="J66" s="345">
        <v>9</v>
      </c>
      <c r="K66" s="347">
        <v>107.4</v>
      </c>
      <c r="L66" s="347">
        <v>102.74</v>
      </c>
      <c r="M66" s="347">
        <v>6.11</v>
      </c>
      <c r="N66" s="347">
        <v>109.4</v>
      </c>
      <c r="O66" s="348">
        <v>5084</v>
      </c>
      <c r="P66" s="345">
        <v>94.14</v>
      </c>
      <c r="Q66" s="345">
        <v>95.28</v>
      </c>
      <c r="R66" s="345">
        <v>22.88</v>
      </c>
      <c r="S66" s="345">
        <v>116.12</v>
      </c>
      <c r="T66" s="345">
        <v>1536</v>
      </c>
      <c r="U66" s="345">
        <v>157.27000000000001</v>
      </c>
      <c r="V66" s="345">
        <v>1716</v>
      </c>
      <c r="W66" s="345">
        <v>192.93</v>
      </c>
      <c r="X66" s="345">
        <v>156</v>
      </c>
      <c r="Y66" s="345">
        <v>0</v>
      </c>
      <c r="Z66" s="345">
        <v>13</v>
      </c>
      <c r="AA66" s="345">
        <v>4</v>
      </c>
      <c r="AB66" s="345">
        <v>112</v>
      </c>
      <c r="AC66" s="345">
        <v>28</v>
      </c>
      <c r="AD66" s="349">
        <v>6762</v>
      </c>
      <c r="AE66" s="349">
        <v>40</v>
      </c>
      <c r="AF66" s="349">
        <v>38</v>
      </c>
      <c r="AG66" s="349">
        <v>78</v>
      </c>
    </row>
    <row r="67" spans="1:33" x14ac:dyDescent="0.25">
      <c r="A67" s="344" t="s">
        <v>190</v>
      </c>
      <c r="B67" s="350" t="s">
        <v>191</v>
      </c>
      <c r="C67" s="346">
        <v>17478</v>
      </c>
      <c r="D67" s="346">
        <v>0</v>
      </c>
      <c r="E67" s="346">
        <v>893</v>
      </c>
      <c r="F67" s="346">
        <v>2751</v>
      </c>
      <c r="G67" s="346">
        <v>1325</v>
      </c>
      <c r="H67" s="346">
        <v>22447</v>
      </c>
      <c r="I67" s="345">
        <v>21122</v>
      </c>
      <c r="J67" s="345">
        <v>106</v>
      </c>
      <c r="K67" s="347">
        <v>87.86</v>
      </c>
      <c r="L67" s="347">
        <v>86.98</v>
      </c>
      <c r="M67" s="347">
        <v>5.95</v>
      </c>
      <c r="N67" s="347">
        <v>90.48</v>
      </c>
      <c r="O67" s="348">
        <v>13519</v>
      </c>
      <c r="P67" s="345">
        <v>86.91</v>
      </c>
      <c r="Q67" s="345">
        <v>79.959999999999994</v>
      </c>
      <c r="R67" s="345">
        <v>30.7</v>
      </c>
      <c r="S67" s="345">
        <v>109.4</v>
      </c>
      <c r="T67" s="345">
        <v>3237</v>
      </c>
      <c r="U67" s="345">
        <v>108.76</v>
      </c>
      <c r="V67" s="345">
        <v>3856</v>
      </c>
      <c r="W67" s="345">
        <v>103.85</v>
      </c>
      <c r="X67" s="345">
        <v>163</v>
      </c>
      <c r="Y67" s="345">
        <v>0</v>
      </c>
      <c r="Z67" s="345">
        <v>29</v>
      </c>
      <c r="AA67" s="345">
        <v>1</v>
      </c>
      <c r="AB67" s="345">
        <v>191</v>
      </c>
      <c r="AC67" s="345">
        <v>28</v>
      </c>
      <c r="AD67" s="349">
        <v>17419</v>
      </c>
      <c r="AE67" s="349">
        <v>177</v>
      </c>
      <c r="AF67" s="349">
        <v>126</v>
      </c>
      <c r="AG67" s="349">
        <v>303</v>
      </c>
    </row>
    <row r="68" spans="1:33" x14ac:dyDescent="0.25">
      <c r="A68" s="344" t="s">
        <v>192</v>
      </c>
      <c r="B68" s="350" t="s">
        <v>193</v>
      </c>
      <c r="C68" s="346">
        <v>14612</v>
      </c>
      <c r="D68" s="346">
        <v>9</v>
      </c>
      <c r="E68" s="346">
        <v>832</v>
      </c>
      <c r="F68" s="346">
        <v>3039</v>
      </c>
      <c r="G68" s="346">
        <v>1718</v>
      </c>
      <c r="H68" s="346">
        <v>20210</v>
      </c>
      <c r="I68" s="345">
        <v>18492</v>
      </c>
      <c r="J68" s="345">
        <v>13</v>
      </c>
      <c r="K68" s="347">
        <v>91.89</v>
      </c>
      <c r="L68" s="347">
        <v>92.34</v>
      </c>
      <c r="M68" s="347">
        <v>4.37</v>
      </c>
      <c r="N68" s="347">
        <v>93.57</v>
      </c>
      <c r="O68" s="348">
        <v>12088</v>
      </c>
      <c r="P68" s="345">
        <v>88.96</v>
      </c>
      <c r="Q68" s="345">
        <v>86.91</v>
      </c>
      <c r="R68" s="345">
        <v>33.08</v>
      </c>
      <c r="S68" s="345">
        <v>113.13</v>
      </c>
      <c r="T68" s="345">
        <v>3046</v>
      </c>
      <c r="U68" s="345">
        <v>110.65</v>
      </c>
      <c r="V68" s="345">
        <v>2235</v>
      </c>
      <c r="W68" s="345">
        <v>154.74</v>
      </c>
      <c r="X68" s="345">
        <v>437</v>
      </c>
      <c r="Y68" s="345">
        <v>0</v>
      </c>
      <c r="Z68" s="345">
        <v>48</v>
      </c>
      <c r="AA68" s="345">
        <v>2</v>
      </c>
      <c r="AB68" s="345">
        <v>83</v>
      </c>
      <c r="AC68" s="345">
        <v>25</v>
      </c>
      <c r="AD68" s="349">
        <v>14468</v>
      </c>
      <c r="AE68" s="349">
        <v>116</v>
      </c>
      <c r="AF68" s="349">
        <v>34</v>
      </c>
      <c r="AG68" s="349">
        <v>150</v>
      </c>
    </row>
    <row r="69" spans="1:33" x14ac:dyDescent="0.25">
      <c r="A69" s="344" t="s">
        <v>194</v>
      </c>
      <c r="B69" s="350" t="s">
        <v>195</v>
      </c>
      <c r="C69" s="346">
        <v>842</v>
      </c>
      <c r="D69" s="346">
        <v>0</v>
      </c>
      <c r="E69" s="346">
        <v>161</v>
      </c>
      <c r="F69" s="346">
        <v>497</v>
      </c>
      <c r="G69" s="346">
        <v>104</v>
      </c>
      <c r="H69" s="346">
        <v>1604</v>
      </c>
      <c r="I69" s="345">
        <v>1500</v>
      </c>
      <c r="J69" s="345">
        <v>3</v>
      </c>
      <c r="K69" s="347">
        <v>85.89</v>
      </c>
      <c r="L69" s="347">
        <v>83.69</v>
      </c>
      <c r="M69" s="347">
        <v>5.88</v>
      </c>
      <c r="N69" s="347">
        <v>88.53</v>
      </c>
      <c r="O69" s="348">
        <v>652</v>
      </c>
      <c r="P69" s="345">
        <v>88.73</v>
      </c>
      <c r="Q69" s="345">
        <v>81.66</v>
      </c>
      <c r="R69" s="345">
        <v>22.09</v>
      </c>
      <c r="S69" s="345">
        <v>110.24</v>
      </c>
      <c r="T69" s="345">
        <v>576</v>
      </c>
      <c r="U69" s="345">
        <v>97.96</v>
      </c>
      <c r="V69" s="345">
        <v>86</v>
      </c>
      <c r="W69" s="345">
        <v>263.75</v>
      </c>
      <c r="X69" s="345">
        <v>25</v>
      </c>
      <c r="Y69" s="345">
        <v>0</v>
      </c>
      <c r="Z69" s="345">
        <v>1</v>
      </c>
      <c r="AA69" s="345">
        <v>2</v>
      </c>
      <c r="AB69" s="345">
        <v>14</v>
      </c>
      <c r="AC69" s="345">
        <v>1</v>
      </c>
      <c r="AD69" s="349">
        <v>737</v>
      </c>
      <c r="AE69" s="349">
        <v>14</v>
      </c>
      <c r="AF69" s="349">
        <v>2</v>
      </c>
      <c r="AG69" s="349">
        <v>16</v>
      </c>
    </row>
    <row r="70" spans="1:33" x14ac:dyDescent="0.25">
      <c r="A70" s="344" t="s">
        <v>196</v>
      </c>
      <c r="B70" s="350" t="s">
        <v>197</v>
      </c>
      <c r="C70" s="346">
        <v>7356</v>
      </c>
      <c r="D70" s="346">
        <v>0</v>
      </c>
      <c r="E70" s="346">
        <v>163</v>
      </c>
      <c r="F70" s="346">
        <v>737</v>
      </c>
      <c r="G70" s="346">
        <v>711</v>
      </c>
      <c r="H70" s="346">
        <v>8967</v>
      </c>
      <c r="I70" s="345">
        <v>8256</v>
      </c>
      <c r="J70" s="345">
        <v>0</v>
      </c>
      <c r="K70" s="347">
        <v>102.66</v>
      </c>
      <c r="L70" s="347">
        <v>104.08</v>
      </c>
      <c r="M70" s="347">
        <v>6.9</v>
      </c>
      <c r="N70" s="347">
        <v>105.83</v>
      </c>
      <c r="O70" s="348">
        <v>6285</v>
      </c>
      <c r="P70" s="345">
        <v>94.1</v>
      </c>
      <c r="Q70" s="345">
        <v>95.9</v>
      </c>
      <c r="R70" s="345">
        <v>30.16</v>
      </c>
      <c r="S70" s="345">
        <v>122.84</v>
      </c>
      <c r="T70" s="345">
        <v>677</v>
      </c>
      <c r="U70" s="345">
        <v>156.47999999999999</v>
      </c>
      <c r="V70" s="345">
        <v>1014</v>
      </c>
      <c r="W70" s="345">
        <v>141.1</v>
      </c>
      <c r="X70" s="345">
        <v>4</v>
      </c>
      <c r="Y70" s="345">
        <v>1</v>
      </c>
      <c r="Z70" s="345">
        <v>3</v>
      </c>
      <c r="AA70" s="345">
        <v>2</v>
      </c>
      <c r="AB70" s="345">
        <v>41</v>
      </c>
      <c r="AC70" s="345">
        <v>10</v>
      </c>
      <c r="AD70" s="349">
        <v>7335</v>
      </c>
      <c r="AE70" s="349">
        <v>55</v>
      </c>
      <c r="AF70" s="349">
        <v>11</v>
      </c>
      <c r="AG70" s="349">
        <v>66</v>
      </c>
    </row>
    <row r="71" spans="1:33" x14ac:dyDescent="0.25">
      <c r="A71" s="344" t="s">
        <v>198</v>
      </c>
      <c r="B71" s="350" t="s">
        <v>199</v>
      </c>
      <c r="C71" s="346">
        <v>6130</v>
      </c>
      <c r="D71" s="346">
        <v>19</v>
      </c>
      <c r="E71" s="346">
        <v>383</v>
      </c>
      <c r="F71" s="346">
        <v>525</v>
      </c>
      <c r="G71" s="346">
        <v>241</v>
      </c>
      <c r="H71" s="346">
        <v>7298</v>
      </c>
      <c r="I71" s="345">
        <v>7057</v>
      </c>
      <c r="J71" s="345">
        <v>5</v>
      </c>
      <c r="K71" s="347">
        <v>79.5</v>
      </c>
      <c r="L71" s="347">
        <v>77.239999999999995</v>
      </c>
      <c r="M71" s="347">
        <v>6.35</v>
      </c>
      <c r="N71" s="347">
        <v>84.16</v>
      </c>
      <c r="O71" s="348">
        <v>5214</v>
      </c>
      <c r="P71" s="345">
        <v>85.35</v>
      </c>
      <c r="Q71" s="345">
        <v>71</v>
      </c>
      <c r="R71" s="345">
        <v>27.55</v>
      </c>
      <c r="S71" s="345">
        <v>110.95</v>
      </c>
      <c r="T71" s="345">
        <v>750</v>
      </c>
      <c r="U71" s="345">
        <v>100.89</v>
      </c>
      <c r="V71" s="345">
        <v>863</v>
      </c>
      <c r="W71" s="345">
        <v>0</v>
      </c>
      <c r="X71" s="345">
        <v>0</v>
      </c>
      <c r="Y71" s="345">
        <v>0</v>
      </c>
      <c r="Z71" s="345">
        <v>11</v>
      </c>
      <c r="AA71" s="345">
        <v>7</v>
      </c>
      <c r="AB71" s="345">
        <v>17</v>
      </c>
      <c r="AC71" s="345">
        <v>1</v>
      </c>
      <c r="AD71" s="349">
        <v>6038</v>
      </c>
      <c r="AE71" s="349">
        <v>34</v>
      </c>
      <c r="AF71" s="349">
        <v>35</v>
      </c>
      <c r="AG71" s="349">
        <v>69</v>
      </c>
    </row>
    <row r="72" spans="1:33" x14ac:dyDescent="0.25">
      <c r="A72" s="344" t="s">
        <v>200</v>
      </c>
      <c r="B72" s="350" t="s">
        <v>201</v>
      </c>
      <c r="C72" s="346">
        <v>194</v>
      </c>
      <c r="D72" s="346">
        <v>0</v>
      </c>
      <c r="E72" s="346">
        <v>17</v>
      </c>
      <c r="F72" s="346">
        <v>31</v>
      </c>
      <c r="G72" s="346">
        <v>0</v>
      </c>
      <c r="H72" s="346">
        <v>242</v>
      </c>
      <c r="I72" s="345">
        <v>242</v>
      </c>
      <c r="J72" s="345">
        <v>0</v>
      </c>
      <c r="K72" s="347">
        <v>126.18</v>
      </c>
      <c r="L72" s="347">
        <v>127.54</v>
      </c>
      <c r="M72" s="347">
        <v>11.13</v>
      </c>
      <c r="N72" s="347">
        <v>137.31</v>
      </c>
      <c r="O72" s="348">
        <v>160</v>
      </c>
      <c r="P72" s="345">
        <v>113.71</v>
      </c>
      <c r="Q72" s="345">
        <v>119.05</v>
      </c>
      <c r="R72" s="345">
        <v>110.98</v>
      </c>
      <c r="S72" s="345">
        <v>224.69</v>
      </c>
      <c r="T72" s="345">
        <v>36</v>
      </c>
      <c r="U72" s="345">
        <v>208.95</v>
      </c>
      <c r="V72" s="345">
        <v>34</v>
      </c>
      <c r="W72" s="345">
        <v>0</v>
      </c>
      <c r="X72" s="345">
        <v>0</v>
      </c>
      <c r="Y72" s="345">
        <v>0</v>
      </c>
      <c r="Z72" s="345">
        <v>0</v>
      </c>
      <c r="AA72" s="345">
        <v>0</v>
      </c>
      <c r="AB72" s="345">
        <v>0</v>
      </c>
      <c r="AC72" s="345">
        <v>0</v>
      </c>
      <c r="AD72" s="349">
        <v>194</v>
      </c>
      <c r="AE72" s="349">
        <v>0</v>
      </c>
      <c r="AF72" s="349">
        <v>0</v>
      </c>
      <c r="AG72" s="349">
        <v>0</v>
      </c>
    </row>
    <row r="73" spans="1:33" x14ac:dyDescent="0.25">
      <c r="A73" s="344" t="s">
        <v>202</v>
      </c>
      <c r="B73" s="350" t="s">
        <v>203</v>
      </c>
      <c r="C73" s="346">
        <v>4296</v>
      </c>
      <c r="D73" s="346">
        <v>135</v>
      </c>
      <c r="E73" s="346">
        <v>628</v>
      </c>
      <c r="F73" s="346">
        <v>356</v>
      </c>
      <c r="G73" s="346">
        <v>355</v>
      </c>
      <c r="H73" s="346">
        <v>5770</v>
      </c>
      <c r="I73" s="345">
        <v>5415</v>
      </c>
      <c r="J73" s="345">
        <v>3</v>
      </c>
      <c r="K73" s="347">
        <v>101.8</v>
      </c>
      <c r="L73" s="347">
        <v>100.61</v>
      </c>
      <c r="M73" s="347">
        <v>6.49</v>
      </c>
      <c r="N73" s="347">
        <v>106.99</v>
      </c>
      <c r="O73" s="348">
        <v>2809</v>
      </c>
      <c r="P73" s="345">
        <v>98.2</v>
      </c>
      <c r="Q73" s="345">
        <v>86.69</v>
      </c>
      <c r="R73" s="345">
        <v>35.03</v>
      </c>
      <c r="S73" s="345">
        <v>129.97</v>
      </c>
      <c r="T73" s="345">
        <v>656</v>
      </c>
      <c r="U73" s="345">
        <v>131.21</v>
      </c>
      <c r="V73" s="345">
        <v>1089</v>
      </c>
      <c r="W73" s="345">
        <v>137.41</v>
      </c>
      <c r="X73" s="345">
        <v>34</v>
      </c>
      <c r="Y73" s="345">
        <v>0</v>
      </c>
      <c r="Z73" s="345">
        <v>1</v>
      </c>
      <c r="AA73" s="345">
        <v>12</v>
      </c>
      <c r="AB73" s="345">
        <v>37</v>
      </c>
      <c r="AC73" s="345">
        <v>6</v>
      </c>
      <c r="AD73" s="349">
        <v>4235</v>
      </c>
      <c r="AE73" s="349">
        <v>51</v>
      </c>
      <c r="AF73" s="349">
        <v>49</v>
      </c>
      <c r="AG73" s="349">
        <v>100</v>
      </c>
    </row>
    <row r="74" spans="1:33" x14ac:dyDescent="0.25">
      <c r="A74" s="344" t="s">
        <v>204</v>
      </c>
      <c r="B74" s="350" t="s">
        <v>205</v>
      </c>
      <c r="C74" s="346">
        <v>5592</v>
      </c>
      <c r="D74" s="346">
        <v>0</v>
      </c>
      <c r="E74" s="346">
        <v>75</v>
      </c>
      <c r="F74" s="346">
        <v>318</v>
      </c>
      <c r="G74" s="346">
        <v>8</v>
      </c>
      <c r="H74" s="346">
        <v>5993</v>
      </c>
      <c r="I74" s="345">
        <v>5985</v>
      </c>
      <c r="J74" s="345">
        <v>2</v>
      </c>
      <c r="K74" s="347">
        <v>84.74</v>
      </c>
      <c r="L74" s="347">
        <v>81.36</v>
      </c>
      <c r="M74" s="347">
        <v>1.23</v>
      </c>
      <c r="N74" s="347">
        <v>85.87</v>
      </c>
      <c r="O74" s="348">
        <v>5265</v>
      </c>
      <c r="P74" s="345">
        <v>78.349999999999994</v>
      </c>
      <c r="Q74" s="345">
        <v>74.209999999999994</v>
      </c>
      <c r="R74" s="345">
        <v>46.31</v>
      </c>
      <c r="S74" s="345">
        <v>124.03</v>
      </c>
      <c r="T74" s="345">
        <v>367</v>
      </c>
      <c r="U74" s="345">
        <v>90.52</v>
      </c>
      <c r="V74" s="345">
        <v>304</v>
      </c>
      <c r="W74" s="345">
        <v>0</v>
      </c>
      <c r="X74" s="345">
        <v>0</v>
      </c>
      <c r="Y74" s="345">
        <v>0</v>
      </c>
      <c r="Z74" s="345">
        <v>8</v>
      </c>
      <c r="AA74" s="345">
        <v>16</v>
      </c>
      <c r="AB74" s="345">
        <v>0</v>
      </c>
      <c r="AC74" s="345">
        <v>0</v>
      </c>
      <c r="AD74" s="349">
        <v>5569</v>
      </c>
      <c r="AE74" s="349">
        <v>55</v>
      </c>
      <c r="AF74" s="349">
        <v>179</v>
      </c>
      <c r="AG74" s="349">
        <v>234</v>
      </c>
    </row>
    <row r="75" spans="1:33" x14ac:dyDescent="0.25">
      <c r="A75" s="344" t="s">
        <v>206</v>
      </c>
      <c r="B75" s="350" t="s">
        <v>207</v>
      </c>
      <c r="C75" s="346">
        <v>18827</v>
      </c>
      <c r="D75" s="346">
        <v>0</v>
      </c>
      <c r="E75" s="346">
        <v>954</v>
      </c>
      <c r="F75" s="346">
        <v>2344</v>
      </c>
      <c r="G75" s="346">
        <v>2446</v>
      </c>
      <c r="H75" s="346">
        <v>24571</v>
      </c>
      <c r="I75" s="345">
        <v>22125</v>
      </c>
      <c r="J75" s="345">
        <v>47</v>
      </c>
      <c r="K75" s="347">
        <v>82.22</v>
      </c>
      <c r="L75" s="347">
        <v>77.83</v>
      </c>
      <c r="M75" s="347">
        <v>3.61</v>
      </c>
      <c r="N75" s="347">
        <v>85.27</v>
      </c>
      <c r="O75" s="348">
        <v>13998</v>
      </c>
      <c r="P75" s="345">
        <v>81.64</v>
      </c>
      <c r="Q75" s="345">
        <v>70.8</v>
      </c>
      <c r="R75" s="345">
        <v>42.8</v>
      </c>
      <c r="S75" s="345">
        <v>122.29</v>
      </c>
      <c r="T75" s="345">
        <v>3012</v>
      </c>
      <c r="U75" s="345">
        <v>117.78</v>
      </c>
      <c r="V75" s="345">
        <v>3359</v>
      </c>
      <c r="W75" s="345">
        <v>138.30000000000001</v>
      </c>
      <c r="X75" s="345">
        <v>59</v>
      </c>
      <c r="Y75" s="345">
        <v>0</v>
      </c>
      <c r="Z75" s="345">
        <v>8</v>
      </c>
      <c r="AA75" s="345">
        <v>76</v>
      </c>
      <c r="AB75" s="345">
        <v>165</v>
      </c>
      <c r="AC75" s="345">
        <v>42</v>
      </c>
      <c r="AD75" s="349">
        <v>18382</v>
      </c>
      <c r="AE75" s="349">
        <v>128</v>
      </c>
      <c r="AF75" s="349">
        <v>58</v>
      </c>
      <c r="AG75" s="349">
        <v>186</v>
      </c>
    </row>
    <row r="76" spans="1:33" x14ac:dyDescent="0.25">
      <c r="A76" s="344" t="s">
        <v>208</v>
      </c>
      <c r="B76" s="350" t="s">
        <v>209</v>
      </c>
      <c r="C76" s="346">
        <v>5519</v>
      </c>
      <c r="D76" s="346">
        <v>1</v>
      </c>
      <c r="E76" s="346">
        <v>54</v>
      </c>
      <c r="F76" s="346">
        <v>552</v>
      </c>
      <c r="G76" s="346">
        <v>773</v>
      </c>
      <c r="H76" s="346">
        <v>6899</v>
      </c>
      <c r="I76" s="345">
        <v>6126</v>
      </c>
      <c r="J76" s="345">
        <v>0</v>
      </c>
      <c r="K76" s="347">
        <v>102.22</v>
      </c>
      <c r="L76" s="347">
        <v>97.81</v>
      </c>
      <c r="M76" s="347">
        <v>4.2</v>
      </c>
      <c r="N76" s="347">
        <v>103.87</v>
      </c>
      <c r="O76" s="348">
        <v>4400</v>
      </c>
      <c r="P76" s="345">
        <v>94.97</v>
      </c>
      <c r="Q76" s="345">
        <v>87.22</v>
      </c>
      <c r="R76" s="345">
        <v>24.29</v>
      </c>
      <c r="S76" s="345">
        <v>118.15</v>
      </c>
      <c r="T76" s="345">
        <v>546</v>
      </c>
      <c r="U76" s="345">
        <v>134.25</v>
      </c>
      <c r="V76" s="345">
        <v>905</v>
      </c>
      <c r="W76" s="345">
        <v>176.34</v>
      </c>
      <c r="X76" s="345">
        <v>53</v>
      </c>
      <c r="Y76" s="345">
        <v>0</v>
      </c>
      <c r="Z76" s="345">
        <v>5</v>
      </c>
      <c r="AA76" s="345">
        <v>2</v>
      </c>
      <c r="AB76" s="345">
        <v>48</v>
      </c>
      <c r="AC76" s="345">
        <v>10</v>
      </c>
      <c r="AD76" s="349">
        <v>5297</v>
      </c>
      <c r="AE76" s="349">
        <v>49</v>
      </c>
      <c r="AF76" s="349">
        <v>89</v>
      </c>
      <c r="AG76" s="349">
        <v>138</v>
      </c>
    </row>
    <row r="77" spans="1:33" x14ac:dyDescent="0.25">
      <c r="A77" s="344" t="s">
        <v>210</v>
      </c>
      <c r="B77" s="350" t="s">
        <v>211</v>
      </c>
      <c r="C77" s="346">
        <v>45702</v>
      </c>
      <c r="D77" s="346">
        <v>18</v>
      </c>
      <c r="E77" s="346">
        <v>947</v>
      </c>
      <c r="F77" s="346">
        <v>1438</v>
      </c>
      <c r="G77" s="346">
        <v>327</v>
      </c>
      <c r="H77" s="346">
        <v>48432</v>
      </c>
      <c r="I77" s="345">
        <v>48105</v>
      </c>
      <c r="J77" s="345">
        <v>11</v>
      </c>
      <c r="K77" s="347">
        <v>71.459999999999994</v>
      </c>
      <c r="L77" s="347">
        <v>71.709999999999994</v>
      </c>
      <c r="M77" s="347">
        <v>4.45</v>
      </c>
      <c r="N77" s="347">
        <v>72.05</v>
      </c>
      <c r="O77" s="348">
        <v>40964</v>
      </c>
      <c r="P77" s="345">
        <v>99.03</v>
      </c>
      <c r="Q77" s="345">
        <v>78.77</v>
      </c>
      <c r="R77" s="345">
        <v>55.58</v>
      </c>
      <c r="S77" s="345">
        <v>152.44</v>
      </c>
      <c r="T77" s="345">
        <v>1941</v>
      </c>
      <c r="U77" s="345">
        <v>88.77</v>
      </c>
      <c r="V77" s="345">
        <v>3773</v>
      </c>
      <c r="W77" s="345">
        <v>145.76</v>
      </c>
      <c r="X77" s="345">
        <v>162</v>
      </c>
      <c r="Y77" s="345">
        <v>0</v>
      </c>
      <c r="Z77" s="345">
        <v>196</v>
      </c>
      <c r="AA77" s="345">
        <v>35</v>
      </c>
      <c r="AB77" s="345">
        <v>45</v>
      </c>
      <c r="AC77" s="345">
        <v>9</v>
      </c>
      <c r="AD77" s="349">
        <v>44819</v>
      </c>
      <c r="AE77" s="349">
        <v>620</v>
      </c>
      <c r="AF77" s="349">
        <v>333</v>
      </c>
      <c r="AG77" s="349">
        <v>953</v>
      </c>
    </row>
    <row r="78" spans="1:33" x14ac:dyDescent="0.25">
      <c r="A78" s="344" t="s">
        <v>212</v>
      </c>
      <c r="B78" s="350" t="s">
        <v>213</v>
      </c>
      <c r="C78" s="346">
        <v>22322</v>
      </c>
      <c r="D78" s="346">
        <v>4</v>
      </c>
      <c r="E78" s="346">
        <v>690</v>
      </c>
      <c r="F78" s="346">
        <v>1694</v>
      </c>
      <c r="G78" s="346">
        <v>621</v>
      </c>
      <c r="H78" s="346">
        <v>25331</v>
      </c>
      <c r="I78" s="345">
        <v>24710</v>
      </c>
      <c r="J78" s="345">
        <v>5</v>
      </c>
      <c r="K78" s="347">
        <v>84.05</v>
      </c>
      <c r="L78" s="347">
        <v>83.69</v>
      </c>
      <c r="M78" s="347">
        <v>5.66</v>
      </c>
      <c r="N78" s="347">
        <v>89.31</v>
      </c>
      <c r="O78" s="348">
        <v>19835</v>
      </c>
      <c r="P78" s="345">
        <v>88.71</v>
      </c>
      <c r="Q78" s="345">
        <v>86.09</v>
      </c>
      <c r="R78" s="345">
        <v>51.05</v>
      </c>
      <c r="S78" s="345">
        <v>138.91</v>
      </c>
      <c r="T78" s="345">
        <v>2108</v>
      </c>
      <c r="U78" s="345">
        <v>110.74</v>
      </c>
      <c r="V78" s="345">
        <v>2165</v>
      </c>
      <c r="W78" s="345">
        <v>0</v>
      </c>
      <c r="X78" s="345">
        <v>0</v>
      </c>
      <c r="Y78" s="345">
        <v>40</v>
      </c>
      <c r="Z78" s="345">
        <v>163</v>
      </c>
      <c r="AA78" s="345">
        <v>38</v>
      </c>
      <c r="AB78" s="345">
        <v>22</v>
      </c>
      <c r="AC78" s="345">
        <v>24</v>
      </c>
      <c r="AD78" s="349">
        <v>22189</v>
      </c>
      <c r="AE78" s="349">
        <v>198</v>
      </c>
      <c r="AF78" s="349">
        <v>187</v>
      </c>
      <c r="AG78" s="349">
        <v>385</v>
      </c>
    </row>
    <row r="79" spans="1:33" x14ac:dyDescent="0.25">
      <c r="A79" s="344" t="s">
        <v>214</v>
      </c>
      <c r="B79" s="350" t="s">
        <v>215</v>
      </c>
      <c r="C79" s="346">
        <v>2248</v>
      </c>
      <c r="D79" s="346">
        <v>0</v>
      </c>
      <c r="E79" s="346">
        <v>48</v>
      </c>
      <c r="F79" s="346">
        <v>182</v>
      </c>
      <c r="G79" s="346">
        <v>71</v>
      </c>
      <c r="H79" s="346">
        <v>2549</v>
      </c>
      <c r="I79" s="345">
        <v>2478</v>
      </c>
      <c r="J79" s="345">
        <v>49</v>
      </c>
      <c r="K79" s="347">
        <v>84.19</v>
      </c>
      <c r="L79" s="347">
        <v>80.81</v>
      </c>
      <c r="M79" s="347">
        <v>6.5</v>
      </c>
      <c r="N79" s="347">
        <v>88.23</v>
      </c>
      <c r="O79" s="348">
        <v>1529</v>
      </c>
      <c r="P79" s="345">
        <v>81.5</v>
      </c>
      <c r="Q79" s="345">
        <v>70.38</v>
      </c>
      <c r="R79" s="345">
        <v>28.97</v>
      </c>
      <c r="S79" s="345">
        <v>110.48</v>
      </c>
      <c r="T79" s="345">
        <v>186</v>
      </c>
      <c r="U79" s="345">
        <v>95.16</v>
      </c>
      <c r="V79" s="345">
        <v>675</v>
      </c>
      <c r="W79" s="345">
        <v>155.93</v>
      </c>
      <c r="X79" s="345">
        <v>34</v>
      </c>
      <c r="Y79" s="345">
        <v>0</v>
      </c>
      <c r="Z79" s="345">
        <v>3</v>
      </c>
      <c r="AA79" s="345">
        <v>1</v>
      </c>
      <c r="AB79" s="345">
        <v>9</v>
      </c>
      <c r="AC79" s="345">
        <v>2</v>
      </c>
      <c r="AD79" s="349">
        <v>2226</v>
      </c>
      <c r="AE79" s="349">
        <v>26</v>
      </c>
      <c r="AF79" s="349">
        <v>8</v>
      </c>
      <c r="AG79" s="349">
        <v>34</v>
      </c>
    </row>
    <row r="80" spans="1:33" x14ac:dyDescent="0.25">
      <c r="A80" s="344" t="s">
        <v>216</v>
      </c>
      <c r="B80" s="350" t="s">
        <v>217</v>
      </c>
      <c r="C80" s="346">
        <v>2140</v>
      </c>
      <c r="D80" s="346">
        <v>0</v>
      </c>
      <c r="E80" s="346">
        <v>178</v>
      </c>
      <c r="F80" s="346">
        <v>285</v>
      </c>
      <c r="G80" s="346">
        <v>414</v>
      </c>
      <c r="H80" s="346">
        <v>3017</v>
      </c>
      <c r="I80" s="345">
        <v>2603</v>
      </c>
      <c r="J80" s="345">
        <v>3</v>
      </c>
      <c r="K80" s="347">
        <v>109.56</v>
      </c>
      <c r="L80" s="347">
        <v>103.25</v>
      </c>
      <c r="M80" s="347">
        <v>9.17</v>
      </c>
      <c r="N80" s="347">
        <v>117.86</v>
      </c>
      <c r="O80" s="348">
        <v>1618</v>
      </c>
      <c r="P80" s="345">
        <v>104.4</v>
      </c>
      <c r="Q80" s="345">
        <v>99.97</v>
      </c>
      <c r="R80" s="345">
        <v>34.590000000000003</v>
      </c>
      <c r="S80" s="345">
        <v>138.82</v>
      </c>
      <c r="T80" s="345">
        <v>206</v>
      </c>
      <c r="U80" s="345">
        <v>156.41999999999999</v>
      </c>
      <c r="V80" s="345">
        <v>420</v>
      </c>
      <c r="W80" s="345">
        <v>280.83</v>
      </c>
      <c r="X80" s="345">
        <v>101</v>
      </c>
      <c r="Y80" s="345">
        <v>28</v>
      </c>
      <c r="Z80" s="345">
        <v>0</v>
      </c>
      <c r="AA80" s="345">
        <v>1</v>
      </c>
      <c r="AB80" s="345">
        <v>1</v>
      </c>
      <c r="AC80" s="345">
        <v>12</v>
      </c>
      <c r="AD80" s="349">
        <v>2111</v>
      </c>
      <c r="AE80" s="349">
        <v>18</v>
      </c>
      <c r="AF80" s="349">
        <v>5</v>
      </c>
      <c r="AG80" s="349">
        <v>23</v>
      </c>
    </row>
    <row r="81" spans="1:33" x14ac:dyDescent="0.25">
      <c r="A81" s="344" t="s">
        <v>218</v>
      </c>
      <c r="B81" s="350" t="s">
        <v>219</v>
      </c>
      <c r="C81" s="346">
        <v>11337</v>
      </c>
      <c r="D81" s="346">
        <v>72</v>
      </c>
      <c r="E81" s="346">
        <v>1047</v>
      </c>
      <c r="F81" s="346">
        <v>834</v>
      </c>
      <c r="G81" s="346">
        <v>2052</v>
      </c>
      <c r="H81" s="346">
        <v>15342</v>
      </c>
      <c r="I81" s="345">
        <v>13290</v>
      </c>
      <c r="J81" s="345">
        <v>18</v>
      </c>
      <c r="K81" s="347">
        <v>120.9</v>
      </c>
      <c r="L81" s="347">
        <v>119.85</v>
      </c>
      <c r="M81" s="347">
        <v>10.029999999999999</v>
      </c>
      <c r="N81" s="347">
        <v>127.38</v>
      </c>
      <c r="O81" s="348">
        <v>8802</v>
      </c>
      <c r="P81" s="345">
        <v>101.82</v>
      </c>
      <c r="Q81" s="345">
        <v>97.49</v>
      </c>
      <c r="R81" s="345">
        <v>61.84</v>
      </c>
      <c r="S81" s="345">
        <v>163.44</v>
      </c>
      <c r="T81" s="345">
        <v>1150</v>
      </c>
      <c r="U81" s="345">
        <v>183.68</v>
      </c>
      <c r="V81" s="345">
        <v>1985</v>
      </c>
      <c r="W81" s="345">
        <v>130.84</v>
      </c>
      <c r="X81" s="345">
        <v>29</v>
      </c>
      <c r="Y81" s="345">
        <v>18</v>
      </c>
      <c r="Z81" s="345">
        <v>1</v>
      </c>
      <c r="AA81" s="345">
        <v>15</v>
      </c>
      <c r="AB81" s="345">
        <v>119</v>
      </c>
      <c r="AC81" s="345">
        <v>53</v>
      </c>
      <c r="AD81" s="349">
        <v>11075</v>
      </c>
      <c r="AE81" s="349">
        <v>61</v>
      </c>
      <c r="AF81" s="349">
        <v>35</v>
      </c>
      <c r="AG81" s="349">
        <v>96</v>
      </c>
    </row>
    <row r="82" spans="1:33" x14ac:dyDescent="0.25">
      <c r="A82" s="344" t="s">
        <v>220</v>
      </c>
      <c r="B82" s="350" t="s">
        <v>221</v>
      </c>
      <c r="C82" s="346">
        <v>2981</v>
      </c>
      <c r="D82" s="346">
        <v>0</v>
      </c>
      <c r="E82" s="346">
        <v>227</v>
      </c>
      <c r="F82" s="346">
        <v>267</v>
      </c>
      <c r="G82" s="346">
        <v>333</v>
      </c>
      <c r="H82" s="346">
        <v>3808</v>
      </c>
      <c r="I82" s="345">
        <v>3475</v>
      </c>
      <c r="J82" s="345">
        <v>1</v>
      </c>
      <c r="K82" s="347">
        <v>115.12</v>
      </c>
      <c r="L82" s="347">
        <v>112.52</v>
      </c>
      <c r="M82" s="347">
        <v>6.92</v>
      </c>
      <c r="N82" s="347">
        <v>121.02</v>
      </c>
      <c r="O82" s="348">
        <v>1959</v>
      </c>
      <c r="P82" s="345">
        <v>113.44</v>
      </c>
      <c r="Q82" s="345">
        <v>101.53</v>
      </c>
      <c r="R82" s="345">
        <v>36.43</v>
      </c>
      <c r="S82" s="345">
        <v>148.38999999999999</v>
      </c>
      <c r="T82" s="345">
        <v>391</v>
      </c>
      <c r="U82" s="345">
        <v>170.21</v>
      </c>
      <c r="V82" s="345">
        <v>785</v>
      </c>
      <c r="W82" s="345">
        <v>152.44999999999999</v>
      </c>
      <c r="X82" s="345">
        <v>8</v>
      </c>
      <c r="Y82" s="345">
        <v>0</v>
      </c>
      <c r="Z82" s="345">
        <v>0</v>
      </c>
      <c r="AA82" s="345">
        <v>0</v>
      </c>
      <c r="AB82" s="345">
        <v>9</v>
      </c>
      <c r="AC82" s="345">
        <v>3</v>
      </c>
      <c r="AD82" s="349">
        <v>2949</v>
      </c>
      <c r="AE82" s="349">
        <v>35</v>
      </c>
      <c r="AF82" s="349">
        <v>6</v>
      </c>
      <c r="AG82" s="349">
        <v>41</v>
      </c>
    </row>
    <row r="83" spans="1:33" x14ac:dyDescent="0.25">
      <c r="A83" s="344" t="s">
        <v>222</v>
      </c>
      <c r="B83" s="350" t="s">
        <v>223</v>
      </c>
      <c r="C83" s="346">
        <v>2096</v>
      </c>
      <c r="D83" s="346">
        <v>10</v>
      </c>
      <c r="E83" s="346">
        <v>340</v>
      </c>
      <c r="F83" s="346">
        <v>488</v>
      </c>
      <c r="G83" s="346">
        <v>142</v>
      </c>
      <c r="H83" s="346">
        <v>3076</v>
      </c>
      <c r="I83" s="345">
        <v>2934</v>
      </c>
      <c r="J83" s="345">
        <v>0</v>
      </c>
      <c r="K83" s="347">
        <v>78.83</v>
      </c>
      <c r="L83" s="347">
        <v>76.19</v>
      </c>
      <c r="M83" s="347">
        <v>4.79</v>
      </c>
      <c r="N83" s="347">
        <v>81.88</v>
      </c>
      <c r="O83" s="348">
        <v>1161</v>
      </c>
      <c r="P83" s="345">
        <v>91.12</v>
      </c>
      <c r="Q83" s="345">
        <v>81.88</v>
      </c>
      <c r="R83" s="345">
        <v>51.93</v>
      </c>
      <c r="S83" s="345">
        <v>142.77000000000001</v>
      </c>
      <c r="T83" s="345">
        <v>556</v>
      </c>
      <c r="U83" s="345">
        <v>96.11</v>
      </c>
      <c r="V83" s="345">
        <v>548</v>
      </c>
      <c r="W83" s="345">
        <v>94.59</v>
      </c>
      <c r="X83" s="345">
        <v>22</v>
      </c>
      <c r="Y83" s="345">
        <v>31</v>
      </c>
      <c r="Z83" s="345">
        <v>1</v>
      </c>
      <c r="AA83" s="345">
        <v>1</v>
      </c>
      <c r="AB83" s="345">
        <v>12</v>
      </c>
      <c r="AC83" s="345">
        <v>7</v>
      </c>
      <c r="AD83" s="349">
        <v>1868</v>
      </c>
      <c r="AE83" s="349">
        <v>21</v>
      </c>
      <c r="AF83" s="349">
        <v>11</v>
      </c>
      <c r="AG83" s="349">
        <v>32</v>
      </c>
    </row>
    <row r="84" spans="1:33" x14ac:dyDescent="0.25">
      <c r="A84" s="344" t="s">
        <v>224</v>
      </c>
      <c r="B84" s="350" t="s">
        <v>225</v>
      </c>
      <c r="C84" s="346">
        <v>1727</v>
      </c>
      <c r="D84" s="346">
        <v>12</v>
      </c>
      <c r="E84" s="346">
        <v>183</v>
      </c>
      <c r="F84" s="346">
        <v>107</v>
      </c>
      <c r="G84" s="346">
        <v>940</v>
      </c>
      <c r="H84" s="346">
        <v>2969</v>
      </c>
      <c r="I84" s="345">
        <v>2029</v>
      </c>
      <c r="J84" s="345">
        <v>0</v>
      </c>
      <c r="K84" s="347">
        <v>106.57</v>
      </c>
      <c r="L84" s="347">
        <v>102.65</v>
      </c>
      <c r="M84" s="347">
        <v>7.46</v>
      </c>
      <c r="N84" s="347">
        <v>113.5</v>
      </c>
      <c r="O84" s="348">
        <v>851</v>
      </c>
      <c r="P84" s="345">
        <v>122.91</v>
      </c>
      <c r="Q84" s="345">
        <v>85.48</v>
      </c>
      <c r="R84" s="345">
        <v>50.45</v>
      </c>
      <c r="S84" s="345">
        <v>166.99</v>
      </c>
      <c r="T84" s="345">
        <v>174</v>
      </c>
      <c r="U84" s="345">
        <v>155.96</v>
      </c>
      <c r="V84" s="345">
        <v>444</v>
      </c>
      <c r="W84" s="345">
        <v>0</v>
      </c>
      <c r="X84" s="345">
        <v>0</v>
      </c>
      <c r="Y84" s="345">
        <v>17</v>
      </c>
      <c r="Z84" s="345">
        <v>0</v>
      </c>
      <c r="AA84" s="345">
        <v>2</v>
      </c>
      <c r="AB84" s="345">
        <v>88</v>
      </c>
      <c r="AC84" s="345">
        <v>25</v>
      </c>
      <c r="AD84" s="349">
        <v>1348</v>
      </c>
      <c r="AE84" s="349">
        <v>7</v>
      </c>
      <c r="AF84" s="349">
        <v>3</v>
      </c>
      <c r="AG84" s="349">
        <v>10</v>
      </c>
    </row>
    <row r="85" spans="1:33" x14ac:dyDescent="0.25">
      <c r="A85" s="344" t="s">
        <v>226</v>
      </c>
      <c r="B85" s="350" t="s">
        <v>227</v>
      </c>
      <c r="C85" s="346">
        <v>6066</v>
      </c>
      <c r="D85" s="346">
        <v>102</v>
      </c>
      <c r="E85" s="346">
        <v>691</v>
      </c>
      <c r="F85" s="346">
        <v>1325</v>
      </c>
      <c r="G85" s="346">
        <v>521</v>
      </c>
      <c r="H85" s="346">
        <v>8705</v>
      </c>
      <c r="I85" s="345">
        <v>8184</v>
      </c>
      <c r="J85" s="345">
        <v>3</v>
      </c>
      <c r="K85" s="347">
        <v>87.43</v>
      </c>
      <c r="L85" s="347">
        <v>85.59</v>
      </c>
      <c r="M85" s="347">
        <v>6.42</v>
      </c>
      <c r="N85" s="347">
        <v>92.02</v>
      </c>
      <c r="O85" s="348">
        <v>5412</v>
      </c>
      <c r="P85" s="345">
        <v>80.75</v>
      </c>
      <c r="Q85" s="345">
        <v>78.95</v>
      </c>
      <c r="R85" s="345">
        <v>49.86</v>
      </c>
      <c r="S85" s="345">
        <v>129.88999999999999</v>
      </c>
      <c r="T85" s="345">
        <v>1446</v>
      </c>
      <c r="U85" s="345">
        <v>102.22</v>
      </c>
      <c r="V85" s="345">
        <v>496</v>
      </c>
      <c r="W85" s="345">
        <v>153.57</v>
      </c>
      <c r="X85" s="345">
        <v>109</v>
      </c>
      <c r="Y85" s="345">
        <v>0</v>
      </c>
      <c r="Z85" s="345">
        <v>68</v>
      </c>
      <c r="AA85" s="345">
        <v>4</v>
      </c>
      <c r="AB85" s="345">
        <v>6</v>
      </c>
      <c r="AC85" s="345">
        <v>21</v>
      </c>
      <c r="AD85" s="349">
        <v>5882</v>
      </c>
      <c r="AE85" s="349">
        <v>90</v>
      </c>
      <c r="AF85" s="349">
        <v>30</v>
      </c>
      <c r="AG85" s="349">
        <v>120</v>
      </c>
    </row>
    <row r="86" spans="1:33" x14ac:dyDescent="0.25">
      <c r="A86" s="344" t="s">
        <v>228</v>
      </c>
      <c r="B86" s="350" t="s">
        <v>229</v>
      </c>
      <c r="C86" s="346">
        <v>3806</v>
      </c>
      <c r="D86" s="346">
        <v>0</v>
      </c>
      <c r="E86" s="346">
        <v>61</v>
      </c>
      <c r="F86" s="346">
        <v>281</v>
      </c>
      <c r="G86" s="346">
        <v>242</v>
      </c>
      <c r="H86" s="346">
        <v>4390</v>
      </c>
      <c r="I86" s="345">
        <v>4148</v>
      </c>
      <c r="J86" s="345">
        <v>1</v>
      </c>
      <c r="K86" s="347">
        <v>90.65</v>
      </c>
      <c r="L86" s="347">
        <v>92.65</v>
      </c>
      <c r="M86" s="347">
        <v>2.77</v>
      </c>
      <c r="N86" s="347">
        <v>93.09</v>
      </c>
      <c r="O86" s="348">
        <v>3383</v>
      </c>
      <c r="P86" s="345">
        <v>85.05</v>
      </c>
      <c r="Q86" s="345">
        <v>83.23</v>
      </c>
      <c r="R86" s="345">
        <v>30.6</v>
      </c>
      <c r="S86" s="345">
        <v>115.17</v>
      </c>
      <c r="T86" s="345">
        <v>321</v>
      </c>
      <c r="U86" s="345">
        <v>109.96</v>
      </c>
      <c r="V86" s="345">
        <v>307</v>
      </c>
      <c r="W86" s="345">
        <v>189.69</v>
      </c>
      <c r="X86" s="345">
        <v>2</v>
      </c>
      <c r="Y86" s="345">
        <v>0</v>
      </c>
      <c r="Z86" s="345">
        <v>3</v>
      </c>
      <c r="AA86" s="345">
        <v>0</v>
      </c>
      <c r="AB86" s="345">
        <v>7</v>
      </c>
      <c r="AC86" s="345">
        <v>4</v>
      </c>
      <c r="AD86" s="349">
        <v>3679</v>
      </c>
      <c r="AE86" s="349">
        <v>27</v>
      </c>
      <c r="AF86" s="349">
        <v>21</v>
      </c>
      <c r="AG86" s="349">
        <v>48</v>
      </c>
    </row>
    <row r="87" spans="1:33" x14ac:dyDescent="0.25">
      <c r="A87" s="344" t="s">
        <v>230</v>
      </c>
      <c r="B87" s="350" t="s">
        <v>231</v>
      </c>
      <c r="C87" s="346">
        <v>2487</v>
      </c>
      <c r="D87" s="346">
        <v>3</v>
      </c>
      <c r="E87" s="346">
        <v>756</v>
      </c>
      <c r="F87" s="346">
        <v>924</v>
      </c>
      <c r="G87" s="346">
        <v>272</v>
      </c>
      <c r="H87" s="346">
        <v>4442</v>
      </c>
      <c r="I87" s="345">
        <v>4170</v>
      </c>
      <c r="J87" s="345">
        <v>2</v>
      </c>
      <c r="K87" s="347">
        <v>80.430000000000007</v>
      </c>
      <c r="L87" s="347">
        <v>77.86</v>
      </c>
      <c r="M87" s="347">
        <v>5.37</v>
      </c>
      <c r="N87" s="347">
        <v>83.91</v>
      </c>
      <c r="O87" s="348">
        <v>1697</v>
      </c>
      <c r="P87" s="345">
        <v>98.88</v>
      </c>
      <c r="Q87" s="345">
        <v>80.03</v>
      </c>
      <c r="R87" s="345">
        <v>38.47</v>
      </c>
      <c r="S87" s="345">
        <v>137.07</v>
      </c>
      <c r="T87" s="345">
        <v>1384</v>
      </c>
      <c r="U87" s="345">
        <v>94.12</v>
      </c>
      <c r="V87" s="345">
        <v>683</v>
      </c>
      <c r="W87" s="345">
        <v>154.97</v>
      </c>
      <c r="X87" s="345">
        <v>126</v>
      </c>
      <c r="Y87" s="345">
        <v>0</v>
      </c>
      <c r="Z87" s="345">
        <v>1</v>
      </c>
      <c r="AA87" s="345">
        <v>5</v>
      </c>
      <c r="AB87" s="345">
        <v>45</v>
      </c>
      <c r="AC87" s="345">
        <v>1</v>
      </c>
      <c r="AD87" s="349">
        <v>2420</v>
      </c>
      <c r="AE87" s="349">
        <v>23</v>
      </c>
      <c r="AF87" s="349">
        <v>24</v>
      </c>
      <c r="AG87" s="349">
        <v>47</v>
      </c>
    </row>
    <row r="88" spans="1:33" x14ac:dyDescent="0.25">
      <c r="A88" s="344" t="s">
        <v>232</v>
      </c>
      <c r="B88" s="350" t="s">
        <v>233</v>
      </c>
      <c r="C88" s="345">
        <v>16328</v>
      </c>
      <c r="D88" s="345">
        <v>16</v>
      </c>
      <c r="E88" s="345">
        <v>582</v>
      </c>
      <c r="F88" s="345">
        <v>4177</v>
      </c>
      <c r="G88" s="345">
        <v>1211</v>
      </c>
      <c r="H88" s="345">
        <v>22314</v>
      </c>
      <c r="I88" s="345">
        <v>21103</v>
      </c>
      <c r="J88" s="345">
        <v>114</v>
      </c>
      <c r="K88" s="345">
        <v>96.9</v>
      </c>
      <c r="L88" s="347">
        <v>96.54</v>
      </c>
      <c r="M88" s="347">
        <v>3.54</v>
      </c>
      <c r="N88" s="347">
        <v>99.26</v>
      </c>
      <c r="O88" s="348">
        <v>14541</v>
      </c>
      <c r="P88" s="345">
        <v>86.94</v>
      </c>
      <c r="Q88" s="345">
        <v>86.08</v>
      </c>
      <c r="R88" s="345">
        <v>22.7</v>
      </c>
      <c r="S88" s="345">
        <v>109.27</v>
      </c>
      <c r="T88" s="345">
        <v>4110</v>
      </c>
      <c r="U88" s="345">
        <v>132.52000000000001</v>
      </c>
      <c r="V88" s="345">
        <v>1593</v>
      </c>
      <c r="W88" s="345">
        <v>174.25</v>
      </c>
      <c r="X88" s="345">
        <v>87</v>
      </c>
      <c r="Y88" s="345">
        <v>226</v>
      </c>
      <c r="Z88" s="345">
        <v>17</v>
      </c>
      <c r="AA88" s="345">
        <v>65</v>
      </c>
      <c r="AB88" s="345">
        <v>69</v>
      </c>
      <c r="AC88" s="345">
        <v>22</v>
      </c>
      <c r="AD88" s="345">
        <v>16127</v>
      </c>
      <c r="AE88" s="345">
        <v>59</v>
      </c>
      <c r="AF88" s="345">
        <v>61</v>
      </c>
      <c r="AG88" s="345">
        <v>120</v>
      </c>
    </row>
    <row r="89" spans="1:33" x14ac:dyDescent="0.25">
      <c r="A89" s="344" t="s">
        <v>234</v>
      </c>
      <c r="B89" s="350" t="s">
        <v>235</v>
      </c>
      <c r="C89" s="346">
        <v>2036</v>
      </c>
      <c r="D89" s="346">
        <v>0</v>
      </c>
      <c r="E89" s="346">
        <v>129</v>
      </c>
      <c r="F89" s="346">
        <v>549</v>
      </c>
      <c r="G89" s="346">
        <v>264</v>
      </c>
      <c r="H89" s="346">
        <v>2978</v>
      </c>
      <c r="I89" s="345">
        <v>2714</v>
      </c>
      <c r="J89" s="345">
        <v>12</v>
      </c>
      <c r="K89" s="347">
        <v>89.08</v>
      </c>
      <c r="L89" s="347">
        <v>87.3</v>
      </c>
      <c r="M89" s="347">
        <v>6.88</v>
      </c>
      <c r="N89" s="347">
        <v>94.44</v>
      </c>
      <c r="O89" s="348">
        <v>1701</v>
      </c>
      <c r="P89" s="345">
        <v>103.11</v>
      </c>
      <c r="Q89" s="345">
        <v>89.6</v>
      </c>
      <c r="R89" s="345">
        <v>39.770000000000003</v>
      </c>
      <c r="S89" s="345">
        <v>139.97</v>
      </c>
      <c r="T89" s="345">
        <v>670</v>
      </c>
      <c r="U89" s="345">
        <v>121.37</v>
      </c>
      <c r="V89" s="345">
        <v>250</v>
      </c>
      <c r="W89" s="345">
        <v>0</v>
      </c>
      <c r="X89" s="345">
        <v>0</v>
      </c>
      <c r="Y89" s="345">
        <v>0</v>
      </c>
      <c r="Z89" s="345">
        <v>0</v>
      </c>
      <c r="AA89" s="345">
        <v>1</v>
      </c>
      <c r="AB89" s="345">
        <v>11</v>
      </c>
      <c r="AC89" s="345">
        <v>3</v>
      </c>
      <c r="AD89" s="349">
        <v>1984</v>
      </c>
      <c r="AE89" s="349">
        <v>8</v>
      </c>
      <c r="AF89" s="349">
        <v>6</v>
      </c>
      <c r="AG89" s="349">
        <v>14</v>
      </c>
    </row>
    <row r="90" spans="1:33" x14ac:dyDescent="0.25">
      <c r="A90" s="344" t="s">
        <v>236</v>
      </c>
      <c r="B90" s="350" t="s">
        <v>237</v>
      </c>
      <c r="C90" s="346">
        <v>3821</v>
      </c>
      <c r="D90" s="346">
        <v>0</v>
      </c>
      <c r="E90" s="346">
        <v>386</v>
      </c>
      <c r="F90" s="346">
        <v>790</v>
      </c>
      <c r="G90" s="346">
        <v>704</v>
      </c>
      <c r="H90" s="346">
        <v>5701</v>
      </c>
      <c r="I90" s="345">
        <v>4997</v>
      </c>
      <c r="J90" s="345">
        <v>1</v>
      </c>
      <c r="K90" s="347">
        <v>92.15</v>
      </c>
      <c r="L90" s="347">
        <v>89.27</v>
      </c>
      <c r="M90" s="347">
        <v>6.58</v>
      </c>
      <c r="N90" s="347">
        <v>97.58</v>
      </c>
      <c r="O90" s="348">
        <v>3225</v>
      </c>
      <c r="P90" s="345">
        <v>106.38</v>
      </c>
      <c r="Q90" s="345">
        <v>98.15</v>
      </c>
      <c r="R90" s="345">
        <v>54.81</v>
      </c>
      <c r="S90" s="345">
        <v>156.41999999999999</v>
      </c>
      <c r="T90" s="345">
        <v>919</v>
      </c>
      <c r="U90" s="345">
        <v>110.43</v>
      </c>
      <c r="V90" s="345">
        <v>505</v>
      </c>
      <c r="W90" s="345">
        <v>129.6</v>
      </c>
      <c r="X90" s="345">
        <v>8</v>
      </c>
      <c r="Y90" s="345">
        <v>0</v>
      </c>
      <c r="Z90" s="345">
        <v>29</v>
      </c>
      <c r="AA90" s="345">
        <v>29</v>
      </c>
      <c r="AB90" s="345">
        <v>4</v>
      </c>
      <c r="AC90" s="345">
        <v>20</v>
      </c>
      <c r="AD90" s="349">
        <v>3821</v>
      </c>
      <c r="AE90" s="349">
        <v>30</v>
      </c>
      <c r="AF90" s="349">
        <v>21</v>
      </c>
      <c r="AG90" s="349">
        <v>51</v>
      </c>
    </row>
    <row r="91" spans="1:33" x14ac:dyDescent="0.25">
      <c r="A91" s="344" t="s">
        <v>238</v>
      </c>
      <c r="B91" s="350" t="s">
        <v>239</v>
      </c>
      <c r="C91" s="346">
        <v>10464</v>
      </c>
      <c r="D91" s="346">
        <v>316</v>
      </c>
      <c r="E91" s="346">
        <v>1013</v>
      </c>
      <c r="F91" s="346">
        <v>743</v>
      </c>
      <c r="G91" s="346">
        <v>2485</v>
      </c>
      <c r="H91" s="346">
        <v>15021</v>
      </c>
      <c r="I91" s="345">
        <v>12536</v>
      </c>
      <c r="J91" s="345">
        <v>67</v>
      </c>
      <c r="K91" s="347">
        <v>125.74</v>
      </c>
      <c r="L91" s="347">
        <v>126.98</v>
      </c>
      <c r="M91" s="347">
        <v>10.78</v>
      </c>
      <c r="N91" s="347">
        <v>133.63</v>
      </c>
      <c r="O91" s="348">
        <v>8235</v>
      </c>
      <c r="P91" s="345">
        <v>121.52</v>
      </c>
      <c r="Q91" s="345">
        <v>115.75</v>
      </c>
      <c r="R91" s="345">
        <v>40.07</v>
      </c>
      <c r="S91" s="345">
        <v>159.06</v>
      </c>
      <c r="T91" s="345">
        <v>1094</v>
      </c>
      <c r="U91" s="345">
        <v>196</v>
      </c>
      <c r="V91" s="345">
        <v>1421</v>
      </c>
      <c r="W91" s="345">
        <v>190.1</v>
      </c>
      <c r="X91" s="345">
        <v>44</v>
      </c>
      <c r="Y91" s="345">
        <v>5</v>
      </c>
      <c r="Z91" s="345">
        <v>2</v>
      </c>
      <c r="AA91" s="345">
        <v>11</v>
      </c>
      <c r="AB91" s="345">
        <v>156</v>
      </c>
      <c r="AC91" s="345">
        <v>70</v>
      </c>
      <c r="AD91" s="349">
        <v>10070</v>
      </c>
      <c r="AE91" s="349">
        <v>31</v>
      </c>
      <c r="AF91" s="349">
        <v>39</v>
      </c>
      <c r="AG91" s="349">
        <v>70</v>
      </c>
    </row>
    <row r="92" spans="1:33" x14ac:dyDescent="0.25">
      <c r="A92" s="344" t="s">
        <v>240</v>
      </c>
      <c r="B92" s="350" t="s">
        <v>241</v>
      </c>
      <c r="C92" s="346">
        <v>4163</v>
      </c>
      <c r="D92" s="346">
        <v>5</v>
      </c>
      <c r="E92" s="346">
        <v>126</v>
      </c>
      <c r="F92" s="346">
        <v>1022</v>
      </c>
      <c r="G92" s="346">
        <v>456</v>
      </c>
      <c r="H92" s="346">
        <v>5772</v>
      </c>
      <c r="I92" s="345">
        <v>5316</v>
      </c>
      <c r="J92" s="345">
        <v>8</v>
      </c>
      <c r="K92" s="347">
        <v>106.44</v>
      </c>
      <c r="L92" s="347">
        <v>100.09</v>
      </c>
      <c r="M92" s="347">
        <v>2.82</v>
      </c>
      <c r="N92" s="347">
        <v>107.65</v>
      </c>
      <c r="O92" s="348">
        <v>3666</v>
      </c>
      <c r="P92" s="345">
        <v>93.73</v>
      </c>
      <c r="Q92" s="345">
        <v>93.51</v>
      </c>
      <c r="R92" s="345">
        <v>26.59</v>
      </c>
      <c r="S92" s="345">
        <v>120.06</v>
      </c>
      <c r="T92" s="345">
        <v>1130</v>
      </c>
      <c r="U92" s="345">
        <v>128.71</v>
      </c>
      <c r="V92" s="345">
        <v>412</v>
      </c>
      <c r="W92" s="345">
        <v>0</v>
      </c>
      <c r="X92" s="345">
        <v>0</v>
      </c>
      <c r="Y92" s="345">
        <v>0</v>
      </c>
      <c r="Z92" s="345">
        <v>7</v>
      </c>
      <c r="AA92" s="345">
        <v>0</v>
      </c>
      <c r="AB92" s="345">
        <v>27</v>
      </c>
      <c r="AC92" s="345">
        <v>2</v>
      </c>
      <c r="AD92" s="349">
        <v>4155</v>
      </c>
      <c r="AE92" s="349">
        <v>14</v>
      </c>
      <c r="AF92" s="349">
        <v>21</v>
      </c>
      <c r="AG92" s="349">
        <v>35</v>
      </c>
    </row>
    <row r="93" spans="1:33" x14ac:dyDescent="0.25">
      <c r="A93" s="344" t="s">
        <v>242</v>
      </c>
      <c r="B93" s="350" t="s">
        <v>243</v>
      </c>
      <c r="C93" s="346">
        <v>2392</v>
      </c>
      <c r="D93" s="346">
        <v>1</v>
      </c>
      <c r="E93" s="346">
        <v>191</v>
      </c>
      <c r="F93" s="346">
        <v>155</v>
      </c>
      <c r="G93" s="346">
        <v>778</v>
      </c>
      <c r="H93" s="346">
        <v>3517</v>
      </c>
      <c r="I93" s="345">
        <v>2739</v>
      </c>
      <c r="J93" s="345">
        <v>1</v>
      </c>
      <c r="K93" s="347">
        <v>92.42</v>
      </c>
      <c r="L93" s="347">
        <v>89.62</v>
      </c>
      <c r="M93" s="347">
        <v>3.19</v>
      </c>
      <c r="N93" s="347">
        <v>94.74</v>
      </c>
      <c r="O93" s="348">
        <v>1513</v>
      </c>
      <c r="P93" s="345">
        <v>101.91</v>
      </c>
      <c r="Q93" s="345">
        <v>77.16</v>
      </c>
      <c r="R93" s="345">
        <v>60.89</v>
      </c>
      <c r="S93" s="345">
        <v>158</v>
      </c>
      <c r="T93" s="345">
        <v>241</v>
      </c>
      <c r="U93" s="345">
        <v>126.76</v>
      </c>
      <c r="V93" s="345">
        <v>661</v>
      </c>
      <c r="W93" s="345">
        <v>0</v>
      </c>
      <c r="X93" s="345">
        <v>0</v>
      </c>
      <c r="Y93" s="345">
        <v>0</v>
      </c>
      <c r="Z93" s="345">
        <v>0</v>
      </c>
      <c r="AA93" s="345">
        <v>0</v>
      </c>
      <c r="AB93" s="345">
        <v>114</v>
      </c>
      <c r="AC93" s="345">
        <v>12</v>
      </c>
      <c r="AD93" s="349">
        <v>2347</v>
      </c>
      <c r="AE93" s="349">
        <v>16</v>
      </c>
      <c r="AF93" s="349">
        <v>4</v>
      </c>
      <c r="AG93" s="349">
        <v>20</v>
      </c>
    </row>
    <row r="94" spans="1:33" x14ac:dyDescent="0.25">
      <c r="A94" s="344" t="s">
        <v>244</v>
      </c>
      <c r="B94" s="350" t="s">
        <v>245</v>
      </c>
      <c r="C94" s="346">
        <v>5782</v>
      </c>
      <c r="D94" s="346">
        <v>0</v>
      </c>
      <c r="E94" s="346">
        <v>113</v>
      </c>
      <c r="F94" s="346">
        <v>807</v>
      </c>
      <c r="G94" s="346">
        <v>681</v>
      </c>
      <c r="H94" s="346">
        <v>7383</v>
      </c>
      <c r="I94" s="345">
        <v>6702</v>
      </c>
      <c r="J94" s="345">
        <v>0</v>
      </c>
      <c r="K94" s="347">
        <v>113.47</v>
      </c>
      <c r="L94" s="347">
        <v>111.28</v>
      </c>
      <c r="M94" s="347">
        <v>4.0599999999999996</v>
      </c>
      <c r="N94" s="347">
        <v>114.87</v>
      </c>
      <c r="O94" s="348">
        <v>4245</v>
      </c>
      <c r="P94" s="345">
        <v>95.02</v>
      </c>
      <c r="Q94" s="345">
        <v>92.86</v>
      </c>
      <c r="R94" s="345">
        <v>15.72</v>
      </c>
      <c r="S94" s="345">
        <v>110.23</v>
      </c>
      <c r="T94" s="345">
        <v>886</v>
      </c>
      <c r="U94" s="345">
        <v>153.12</v>
      </c>
      <c r="V94" s="345">
        <v>1143</v>
      </c>
      <c r="W94" s="345">
        <v>0</v>
      </c>
      <c r="X94" s="345">
        <v>0</v>
      </c>
      <c r="Y94" s="345">
        <v>0</v>
      </c>
      <c r="Z94" s="345">
        <v>3</v>
      </c>
      <c r="AA94" s="345">
        <v>0</v>
      </c>
      <c r="AB94" s="345">
        <v>95</v>
      </c>
      <c r="AC94" s="345">
        <v>15</v>
      </c>
      <c r="AD94" s="349">
        <v>5494</v>
      </c>
      <c r="AE94" s="349">
        <v>59</v>
      </c>
      <c r="AF94" s="349">
        <v>2</v>
      </c>
      <c r="AG94" s="349">
        <v>61</v>
      </c>
    </row>
    <row r="95" spans="1:33" x14ac:dyDescent="0.25">
      <c r="A95" s="344" t="s">
        <v>246</v>
      </c>
      <c r="B95" s="350" t="s">
        <v>247</v>
      </c>
      <c r="C95" s="346">
        <v>7082</v>
      </c>
      <c r="D95" s="346">
        <v>0</v>
      </c>
      <c r="E95" s="346">
        <v>186</v>
      </c>
      <c r="F95" s="346">
        <v>1059</v>
      </c>
      <c r="G95" s="346">
        <v>790</v>
      </c>
      <c r="H95" s="346">
        <v>9117</v>
      </c>
      <c r="I95" s="345">
        <v>8327</v>
      </c>
      <c r="J95" s="345">
        <v>1</v>
      </c>
      <c r="K95" s="347">
        <v>114.26</v>
      </c>
      <c r="L95" s="347">
        <v>116.09</v>
      </c>
      <c r="M95" s="347">
        <v>5.03</v>
      </c>
      <c r="N95" s="347">
        <v>116.43</v>
      </c>
      <c r="O95" s="348">
        <v>5105</v>
      </c>
      <c r="P95" s="345">
        <v>103.28</v>
      </c>
      <c r="Q95" s="345">
        <v>105.19</v>
      </c>
      <c r="R95" s="345">
        <v>26.89</v>
      </c>
      <c r="S95" s="345">
        <v>129.41</v>
      </c>
      <c r="T95" s="345">
        <v>1202</v>
      </c>
      <c r="U95" s="345">
        <v>161.27000000000001</v>
      </c>
      <c r="V95" s="345">
        <v>1850</v>
      </c>
      <c r="W95" s="345">
        <v>0</v>
      </c>
      <c r="X95" s="345">
        <v>0</v>
      </c>
      <c r="Y95" s="345">
        <v>0</v>
      </c>
      <c r="Z95" s="345">
        <v>6</v>
      </c>
      <c r="AA95" s="345">
        <v>4</v>
      </c>
      <c r="AB95" s="345">
        <v>93</v>
      </c>
      <c r="AC95" s="345">
        <v>8</v>
      </c>
      <c r="AD95" s="349">
        <v>7077</v>
      </c>
      <c r="AE95" s="349">
        <v>67</v>
      </c>
      <c r="AF95" s="349">
        <v>32</v>
      </c>
      <c r="AG95" s="349">
        <v>99</v>
      </c>
    </row>
    <row r="96" spans="1:33" x14ac:dyDescent="0.25">
      <c r="A96" s="344" t="s">
        <v>248</v>
      </c>
      <c r="B96" s="350" t="s">
        <v>249</v>
      </c>
      <c r="C96" s="346">
        <v>6880</v>
      </c>
      <c r="D96" s="346">
        <v>8</v>
      </c>
      <c r="E96" s="346">
        <v>242</v>
      </c>
      <c r="F96" s="346">
        <v>577</v>
      </c>
      <c r="G96" s="346">
        <v>592</v>
      </c>
      <c r="H96" s="346">
        <v>8299</v>
      </c>
      <c r="I96" s="345">
        <v>7707</v>
      </c>
      <c r="J96" s="345">
        <v>0</v>
      </c>
      <c r="K96" s="347">
        <v>81.64</v>
      </c>
      <c r="L96" s="347">
        <v>81.37</v>
      </c>
      <c r="M96" s="347">
        <v>3.13</v>
      </c>
      <c r="N96" s="347">
        <v>84.19</v>
      </c>
      <c r="O96" s="348">
        <v>5201</v>
      </c>
      <c r="P96" s="345">
        <v>82.78</v>
      </c>
      <c r="Q96" s="345">
        <v>79.37</v>
      </c>
      <c r="R96" s="345">
        <v>41.26</v>
      </c>
      <c r="S96" s="345">
        <v>122.32</v>
      </c>
      <c r="T96" s="345">
        <v>771</v>
      </c>
      <c r="U96" s="345">
        <v>91.84</v>
      </c>
      <c r="V96" s="345">
        <v>1435</v>
      </c>
      <c r="W96" s="345">
        <v>149.16</v>
      </c>
      <c r="X96" s="345">
        <v>42</v>
      </c>
      <c r="Y96" s="345">
        <v>0</v>
      </c>
      <c r="Z96" s="345">
        <v>2</v>
      </c>
      <c r="AA96" s="345">
        <v>0</v>
      </c>
      <c r="AB96" s="345">
        <v>26</v>
      </c>
      <c r="AC96" s="345">
        <v>1</v>
      </c>
      <c r="AD96" s="349">
        <v>6725</v>
      </c>
      <c r="AE96" s="349">
        <v>54</v>
      </c>
      <c r="AF96" s="349">
        <v>31</v>
      </c>
      <c r="AG96" s="349">
        <v>85</v>
      </c>
    </row>
    <row r="97" spans="1:33" x14ac:dyDescent="0.25">
      <c r="A97" s="344" t="s">
        <v>250</v>
      </c>
      <c r="B97" s="350" t="s">
        <v>251</v>
      </c>
      <c r="C97" s="346">
        <v>2248</v>
      </c>
      <c r="D97" s="346">
        <v>0</v>
      </c>
      <c r="E97" s="346">
        <v>321</v>
      </c>
      <c r="F97" s="346">
        <v>630</v>
      </c>
      <c r="G97" s="346">
        <v>238</v>
      </c>
      <c r="H97" s="346">
        <v>3437</v>
      </c>
      <c r="I97" s="345">
        <v>3199</v>
      </c>
      <c r="J97" s="345">
        <v>0</v>
      </c>
      <c r="K97" s="347">
        <v>88.67</v>
      </c>
      <c r="L97" s="347">
        <v>85.54</v>
      </c>
      <c r="M97" s="347">
        <v>4.58</v>
      </c>
      <c r="N97" s="347">
        <v>91.31</v>
      </c>
      <c r="O97" s="348">
        <v>1387</v>
      </c>
      <c r="P97" s="345">
        <v>90.78</v>
      </c>
      <c r="Q97" s="345">
        <v>85.59</v>
      </c>
      <c r="R97" s="345">
        <v>47.33</v>
      </c>
      <c r="S97" s="345">
        <v>137.44</v>
      </c>
      <c r="T97" s="345">
        <v>769</v>
      </c>
      <c r="U97" s="345">
        <v>101.3</v>
      </c>
      <c r="V97" s="345">
        <v>589</v>
      </c>
      <c r="W97" s="345">
        <v>114.53</v>
      </c>
      <c r="X97" s="345">
        <v>37</v>
      </c>
      <c r="Y97" s="345">
        <v>0</v>
      </c>
      <c r="Z97" s="345">
        <v>1</v>
      </c>
      <c r="AA97" s="345">
        <v>6</v>
      </c>
      <c r="AB97" s="345">
        <v>36</v>
      </c>
      <c r="AC97" s="345">
        <v>1</v>
      </c>
      <c r="AD97" s="349">
        <v>2056</v>
      </c>
      <c r="AE97" s="349">
        <v>30</v>
      </c>
      <c r="AF97" s="349">
        <v>4</v>
      </c>
      <c r="AG97" s="349">
        <v>34</v>
      </c>
    </row>
    <row r="98" spans="1:33" x14ac:dyDescent="0.25">
      <c r="A98" s="344" t="s">
        <v>252</v>
      </c>
      <c r="B98" s="350" t="s">
        <v>253</v>
      </c>
      <c r="C98" s="346">
        <v>6147</v>
      </c>
      <c r="D98" s="346">
        <v>4</v>
      </c>
      <c r="E98" s="346">
        <v>131</v>
      </c>
      <c r="F98" s="346">
        <v>441</v>
      </c>
      <c r="G98" s="346">
        <v>224</v>
      </c>
      <c r="H98" s="346">
        <v>6947</v>
      </c>
      <c r="I98" s="345">
        <v>6723</v>
      </c>
      <c r="J98" s="345">
        <v>1</v>
      </c>
      <c r="K98" s="347">
        <v>80.67</v>
      </c>
      <c r="L98" s="347">
        <v>77.989999999999995</v>
      </c>
      <c r="M98" s="347">
        <v>6.05</v>
      </c>
      <c r="N98" s="347">
        <v>83.12</v>
      </c>
      <c r="O98" s="348">
        <v>5022</v>
      </c>
      <c r="P98" s="345">
        <v>78.239999999999995</v>
      </c>
      <c r="Q98" s="345">
        <v>76.260000000000005</v>
      </c>
      <c r="R98" s="345">
        <v>48.07</v>
      </c>
      <c r="S98" s="345">
        <v>125.72</v>
      </c>
      <c r="T98" s="345">
        <v>569</v>
      </c>
      <c r="U98" s="345">
        <v>93.21</v>
      </c>
      <c r="V98" s="345">
        <v>1105</v>
      </c>
      <c r="W98" s="345">
        <v>0</v>
      </c>
      <c r="X98" s="345">
        <v>0</v>
      </c>
      <c r="Y98" s="345">
        <v>0</v>
      </c>
      <c r="Z98" s="345">
        <v>37</v>
      </c>
      <c r="AA98" s="345">
        <v>14</v>
      </c>
      <c r="AB98" s="345">
        <v>18</v>
      </c>
      <c r="AC98" s="345">
        <v>6</v>
      </c>
      <c r="AD98" s="349">
        <v>6147</v>
      </c>
      <c r="AE98" s="349">
        <v>85</v>
      </c>
      <c r="AF98" s="349">
        <v>15</v>
      </c>
      <c r="AG98" s="349">
        <v>100</v>
      </c>
    </row>
    <row r="99" spans="1:33" x14ac:dyDescent="0.25">
      <c r="A99" s="344" t="s">
        <v>254</v>
      </c>
      <c r="B99" s="350" t="s">
        <v>255</v>
      </c>
      <c r="C99" s="345">
        <v>8298</v>
      </c>
      <c r="D99" s="345">
        <v>0</v>
      </c>
      <c r="E99" s="345">
        <v>405</v>
      </c>
      <c r="F99" s="345">
        <v>1387</v>
      </c>
      <c r="G99" s="345">
        <v>266</v>
      </c>
      <c r="H99" s="345">
        <v>10356</v>
      </c>
      <c r="I99" s="345">
        <v>10090</v>
      </c>
      <c r="J99" s="345">
        <v>0</v>
      </c>
      <c r="K99" s="345">
        <v>90.64</v>
      </c>
      <c r="L99" s="347">
        <v>90.84</v>
      </c>
      <c r="M99" s="347">
        <v>3.63</v>
      </c>
      <c r="N99" s="347">
        <v>92.27</v>
      </c>
      <c r="O99" s="348">
        <v>7047</v>
      </c>
      <c r="P99" s="345">
        <v>80.599999999999994</v>
      </c>
      <c r="Q99" s="345">
        <v>78.11</v>
      </c>
      <c r="R99" s="345">
        <v>34.590000000000003</v>
      </c>
      <c r="S99" s="345">
        <v>113.42</v>
      </c>
      <c r="T99" s="345">
        <v>1635</v>
      </c>
      <c r="U99" s="345">
        <v>102.32</v>
      </c>
      <c r="V99" s="345">
        <v>1059</v>
      </c>
      <c r="W99" s="345">
        <v>152</v>
      </c>
      <c r="X99" s="345">
        <v>47</v>
      </c>
      <c r="Y99" s="345">
        <v>439</v>
      </c>
      <c r="Z99" s="345">
        <v>3</v>
      </c>
      <c r="AA99" s="345">
        <v>10</v>
      </c>
      <c r="AB99" s="345">
        <v>11</v>
      </c>
      <c r="AC99" s="345">
        <v>8</v>
      </c>
      <c r="AD99" s="345">
        <v>8277</v>
      </c>
      <c r="AE99" s="345">
        <v>75</v>
      </c>
      <c r="AF99" s="345">
        <v>47</v>
      </c>
      <c r="AG99" s="345">
        <v>122</v>
      </c>
    </row>
    <row r="100" spans="1:33" x14ac:dyDescent="0.25">
      <c r="A100" s="344" t="s">
        <v>256</v>
      </c>
      <c r="B100" s="350" t="s">
        <v>257</v>
      </c>
      <c r="C100" s="346">
        <v>1797</v>
      </c>
      <c r="D100" s="346">
        <v>0</v>
      </c>
      <c r="E100" s="346">
        <v>378</v>
      </c>
      <c r="F100" s="346">
        <v>551</v>
      </c>
      <c r="G100" s="346">
        <v>176</v>
      </c>
      <c r="H100" s="346">
        <v>2902</v>
      </c>
      <c r="I100" s="345">
        <v>2726</v>
      </c>
      <c r="J100" s="345">
        <v>1</v>
      </c>
      <c r="K100" s="347">
        <v>92.94</v>
      </c>
      <c r="L100" s="347">
        <v>89.14</v>
      </c>
      <c r="M100" s="347">
        <v>8.86</v>
      </c>
      <c r="N100" s="347">
        <v>100.5</v>
      </c>
      <c r="O100" s="348">
        <v>1547</v>
      </c>
      <c r="P100" s="345">
        <v>80.47</v>
      </c>
      <c r="Q100" s="345">
        <v>75.5</v>
      </c>
      <c r="R100" s="345">
        <v>42.44</v>
      </c>
      <c r="S100" s="345">
        <v>122.91</v>
      </c>
      <c r="T100" s="345">
        <v>615</v>
      </c>
      <c r="U100" s="345">
        <v>132.69999999999999</v>
      </c>
      <c r="V100" s="345">
        <v>221</v>
      </c>
      <c r="W100" s="345">
        <v>161.88</v>
      </c>
      <c r="X100" s="345">
        <v>56</v>
      </c>
      <c r="Y100" s="345">
        <v>0</v>
      </c>
      <c r="Z100" s="345">
        <v>0</v>
      </c>
      <c r="AA100" s="345">
        <v>1</v>
      </c>
      <c r="AB100" s="345">
        <v>0</v>
      </c>
      <c r="AC100" s="345">
        <v>3</v>
      </c>
      <c r="AD100" s="349">
        <v>1795</v>
      </c>
      <c r="AE100" s="349">
        <v>7</v>
      </c>
      <c r="AF100" s="349">
        <v>5</v>
      </c>
      <c r="AG100" s="349">
        <v>12</v>
      </c>
    </row>
    <row r="101" spans="1:33" x14ac:dyDescent="0.25">
      <c r="A101" s="344" t="s">
        <v>258</v>
      </c>
      <c r="B101" s="350" t="s">
        <v>259</v>
      </c>
      <c r="C101" s="346">
        <v>6514</v>
      </c>
      <c r="D101" s="346">
        <v>0</v>
      </c>
      <c r="E101" s="346">
        <v>176</v>
      </c>
      <c r="F101" s="346">
        <v>706</v>
      </c>
      <c r="G101" s="346">
        <v>985</v>
      </c>
      <c r="H101" s="346">
        <v>8381</v>
      </c>
      <c r="I101" s="345">
        <v>7396</v>
      </c>
      <c r="J101" s="345">
        <v>0</v>
      </c>
      <c r="K101" s="347">
        <v>106.59</v>
      </c>
      <c r="L101" s="347">
        <v>102.04</v>
      </c>
      <c r="M101" s="347">
        <v>5.45</v>
      </c>
      <c r="N101" s="347">
        <v>109.37</v>
      </c>
      <c r="O101" s="348">
        <v>4777</v>
      </c>
      <c r="P101" s="345">
        <v>95.3</v>
      </c>
      <c r="Q101" s="345">
        <v>86.19</v>
      </c>
      <c r="R101" s="345">
        <v>35.520000000000003</v>
      </c>
      <c r="S101" s="345">
        <v>130.25</v>
      </c>
      <c r="T101" s="345">
        <v>753</v>
      </c>
      <c r="U101" s="345">
        <v>147.22999999999999</v>
      </c>
      <c r="V101" s="345">
        <v>1585</v>
      </c>
      <c r="W101" s="345">
        <v>174.03</v>
      </c>
      <c r="X101" s="345">
        <v>51</v>
      </c>
      <c r="Y101" s="345">
        <v>40</v>
      </c>
      <c r="Z101" s="345">
        <v>9</v>
      </c>
      <c r="AA101" s="345">
        <v>0</v>
      </c>
      <c r="AB101" s="345">
        <v>265</v>
      </c>
      <c r="AC101" s="345">
        <v>15</v>
      </c>
      <c r="AD101" s="349">
        <v>6514</v>
      </c>
      <c r="AE101" s="349">
        <v>87</v>
      </c>
      <c r="AF101" s="349">
        <v>21</v>
      </c>
      <c r="AG101" s="349">
        <v>108</v>
      </c>
    </row>
    <row r="102" spans="1:33" x14ac:dyDescent="0.25">
      <c r="A102" s="344" t="s">
        <v>260</v>
      </c>
      <c r="B102" s="350" t="s">
        <v>261</v>
      </c>
      <c r="C102" s="346">
        <v>2201</v>
      </c>
      <c r="D102" s="346">
        <v>9</v>
      </c>
      <c r="E102" s="346">
        <v>173</v>
      </c>
      <c r="F102" s="346">
        <v>185</v>
      </c>
      <c r="G102" s="346">
        <v>177</v>
      </c>
      <c r="H102" s="346">
        <v>2745</v>
      </c>
      <c r="I102" s="345">
        <v>2568</v>
      </c>
      <c r="J102" s="345">
        <v>18</v>
      </c>
      <c r="K102" s="347">
        <v>94.53</v>
      </c>
      <c r="L102" s="347">
        <v>93.78</v>
      </c>
      <c r="M102" s="347">
        <v>4.93</v>
      </c>
      <c r="N102" s="347">
        <v>96.41</v>
      </c>
      <c r="O102" s="348">
        <v>1948</v>
      </c>
      <c r="P102" s="345">
        <v>87.13</v>
      </c>
      <c r="Q102" s="345">
        <v>84.27</v>
      </c>
      <c r="R102" s="345">
        <v>37.880000000000003</v>
      </c>
      <c r="S102" s="345">
        <v>123.78</v>
      </c>
      <c r="T102" s="345">
        <v>340</v>
      </c>
      <c r="U102" s="345">
        <v>106.9</v>
      </c>
      <c r="V102" s="345">
        <v>226</v>
      </c>
      <c r="W102" s="345">
        <v>0</v>
      </c>
      <c r="X102" s="345">
        <v>0</v>
      </c>
      <c r="Y102" s="345">
        <v>0</v>
      </c>
      <c r="Z102" s="345">
        <v>4</v>
      </c>
      <c r="AA102" s="345">
        <v>14</v>
      </c>
      <c r="AB102" s="345">
        <v>4</v>
      </c>
      <c r="AC102" s="345">
        <v>0</v>
      </c>
      <c r="AD102" s="349">
        <v>2163</v>
      </c>
      <c r="AE102" s="349">
        <v>22</v>
      </c>
      <c r="AF102" s="349">
        <v>3</v>
      </c>
      <c r="AG102" s="349">
        <v>25</v>
      </c>
    </row>
    <row r="103" spans="1:33" x14ac:dyDescent="0.25">
      <c r="A103" s="344" t="s">
        <v>262</v>
      </c>
      <c r="B103" s="350" t="s">
        <v>263</v>
      </c>
      <c r="C103" s="346">
        <v>4543</v>
      </c>
      <c r="D103" s="346">
        <v>5</v>
      </c>
      <c r="E103" s="346">
        <v>142</v>
      </c>
      <c r="F103" s="346">
        <v>925</v>
      </c>
      <c r="G103" s="346">
        <v>507</v>
      </c>
      <c r="H103" s="346">
        <v>6122</v>
      </c>
      <c r="I103" s="345">
        <v>5615</v>
      </c>
      <c r="J103" s="345">
        <v>38</v>
      </c>
      <c r="K103" s="347">
        <v>124.79</v>
      </c>
      <c r="L103" s="347">
        <v>127.91</v>
      </c>
      <c r="M103" s="347">
        <v>8.6999999999999993</v>
      </c>
      <c r="N103" s="347">
        <v>129.1</v>
      </c>
      <c r="O103" s="348">
        <v>3714</v>
      </c>
      <c r="P103" s="345">
        <v>114.62</v>
      </c>
      <c r="Q103" s="345">
        <v>116.21</v>
      </c>
      <c r="R103" s="345">
        <v>22.07</v>
      </c>
      <c r="S103" s="345">
        <v>136.63</v>
      </c>
      <c r="T103" s="345">
        <v>783</v>
      </c>
      <c r="U103" s="345">
        <v>194.62</v>
      </c>
      <c r="V103" s="345">
        <v>610</v>
      </c>
      <c r="W103" s="345">
        <v>130.54</v>
      </c>
      <c r="X103" s="345">
        <v>11</v>
      </c>
      <c r="Y103" s="345">
        <v>0</v>
      </c>
      <c r="Z103" s="345">
        <v>2</v>
      </c>
      <c r="AA103" s="345">
        <v>2</v>
      </c>
      <c r="AB103" s="345">
        <v>26</v>
      </c>
      <c r="AC103" s="345">
        <v>10</v>
      </c>
      <c r="AD103" s="349">
        <v>4411</v>
      </c>
      <c r="AE103" s="349">
        <v>35</v>
      </c>
      <c r="AF103" s="349">
        <v>4</v>
      </c>
      <c r="AG103" s="349">
        <v>39</v>
      </c>
    </row>
    <row r="104" spans="1:33" x14ac:dyDescent="0.25">
      <c r="A104" s="344" t="s">
        <v>264</v>
      </c>
      <c r="B104" s="350" t="s">
        <v>265</v>
      </c>
      <c r="C104" s="346">
        <v>7011</v>
      </c>
      <c r="D104" s="346">
        <v>307</v>
      </c>
      <c r="E104" s="346">
        <v>619</v>
      </c>
      <c r="F104" s="346">
        <v>699</v>
      </c>
      <c r="G104" s="346">
        <v>1230</v>
      </c>
      <c r="H104" s="346">
        <v>9866</v>
      </c>
      <c r="I104" s="345">
        <v>8636</v>
      </c>
      <c r="J104" s="345">
        <v>3</v>
      </c>
      <c r="K104" s="347">
        <v>120.55</v>
      </c>
      <c r="L104" s="347">
        <v>119.22</v>
      </c>
      <c r="M104" s="347">
        <v>15.01</v>
      </c>
      <c r="N104" s="347">
        <v>131.1</v>
      </c>
      <c r="O104" s="348">
        <v>5877</v>
      </c>
      <c r="P104" s="345">
        <v>113.07</v>
      </c>
      <c r="Q104" s="345">
        <v>106.4</v>
      </c>
      <c r="R104" s="345">
        <v>66.34</v>
      </c>
      <c r="S104" s="345">
        <v>178.03</v>
      </c>
      <c r="T104" s="345">
        <v>1106</v>
      </c>
      <c r="U104" s="345">
        <v>191.1</v>
      </c>
      <c r="V104" s="345">
        <v>699</v>
      </c>
      <c r="W104" s="345">
        <v>0</v>
      </c>
      <c r="X104" s="345">
        <v>0</v>
      </c>
      <c r="Y104" s="345">
        <v>0</v>
      </c>
      <c r="Z104" s="345">
        <v>3</v>
      </c>
      <c r="AA104" s="345">
        <v>4</v>
      </c>
      <c r="AB104" s="345">
        <v>27</v>
      </c>
      <c r="AC104" s="345">
        <v>33</v>
      </c>
      <c r="AD104" s="349">
        <v>6589</v>
      </c>
      <c r="AE104" s="349">
        <v>98</v>
      </c>
      <c r="AF104" s="349">
        <v>15</v>
      </c>
      <c r="AG104" s="349">
        <v>113</v>
      </c>
    </row>
    <row r="105" spans="1:33" x14ac:dyDescent="0.25">
      <c r="A105" s="344" t="s">
        <v>266</v>
      </c>
      <c r="B105" s="350" t="s">
        <v>267</v>
      </c>
      <c r="C105" s="346">
        <v>1432</v>
      </c>
      <c r="D105" s="346">
        <v>0</v>
      </c>
      <c r="E105" s="346">
        <v>111</v>
      </c>
      <c r="F105" s="346">
        <v>275</v>
      </c>
      <c r="G105" s="346">
        <v>295</v>
      </c>
      <c r="H105" s="346">
        <v>2113</v>
      </c>
      <c r="I105" s="345">
        <v>1818</v>
      </c>
      <c r="J105" s="345">
        <v>0</v>
      </c>
      <c r="K105" s="347">
        <v>118.44</v>
      </c>
      <c r="L105" s="347">
        <v>115.9</v>
      </c>
      <c r="M105" s="347">
        <v>5.71</v>
      </c>
      <c r="N105" s="347">
        <v>123.48</v>
      </c>
      <c r="O105" s="348">
        <v>1227</v>
      </c>
      <c r="P105" s="345">
        <v>95.44</v>
      </c>
      <c r="Q105" s="345">
        <v>90.22</v>
      </c>
      <c r="R105" s="345">
        <v>42.23</v>
      </c>
      <c r="S105" s="345">
        <v>137.22999999999999</v>
      </c>
      <c r="T105" s="345">
        <v>285</v>
      </c>
      <c r="U105" s="345">
        <v>175.23</v>
      </c>
      <c r="V105" s="345">
        <v>187</v>
      </c>
      <c r="W105" s="345">
        <v>0</v>
      </c>
      <c r="X105" s="345">
        <v>0</v>
      </c>
      <c r="Y105" s="345">
        <v>0</v>
      </c>
      <c r="Z105" s="345">
        <v>0</v>
      </c>
      <c r="AA105" s="345">
        <v>0</v>
      </c>
      <c r="AB105" s="345">
        <v>10</v>
      </c>
      <c r="AC105" s="345">
        <v>4</v>
      </c>
      <c r="AD105" s="349">
        <v>1432</v>
      </c>
      <c r="AE105" s="349">
        <v>6</v>
      </c>
      <c r="AF105" s="349">
        <v>1</v>
      </c>
      <c r="AG105" s="349">
        <v>7</v>
      </c>
    </row>
    <row r="106" spans="1:33" x14ac:dyDescent="0.25">
      <c r="A106" s="344" t="s">
        <v>268</v>
      </c>
      <c r="B106" s="350" t="s">
        <v>269</v>
      </c>
      <c r="C106" s="346">
        <v>2181</v>
      </c>
      <c r="D106" s="346">
        <v>43</v>
      </c>
      <c r="E106" s="346">
        <v>173</v>
      </c>
      <c r="F106" s="346">
        <v>406</v>
      </c>
      <c r="G106" s="346">
        <v>345</v>
      </c>
      <c r="H106" s="346">
        <v>3148</v>
      </c>
      <c r="I106" s="345">
        <v>2803</v>
      </c>
      <c r="J106" s="345">
        <v>0</v>
      </c>
      <c r="K106" s="347">
        <v>119.91</v>
      </c>
      <c r="L106" s="347">
        <v>112.94</v>
      </c>
      <c r="M106" s="347">
        <v>9.6300000000000008</v>
      </c>
      <c r="N106" s="347">
        <v>125.19</v>
      </c>
      <c r="O106" s="348">
        <v>1948</v>
      </c>
      <c r="P106" s="345">
        <v>104.36</v>
      </c>
      <c r="Q106" s="345">
        <v>94.49</v>
      </c>
      <c r="R106" s="345">
        <v>26.32</v>
      </c>
      <c r="S106" s="345">
        <v>130.19999999999999</v>
      </c>
      <c r="T106" s="345">
        <v>329</v>
      </c>
      <c r="U106" s="345">
        <v>195.64</v>
      </c>
      <c r="V106" s="345">
        <v>258</v>
      </c>
      <c r="W106" s="345">
        <v>231.6</v>
      </c>
      <c r="X106" s="345">
        <v>74</v>
      </c>
      <c r="Y106" s="345">
        <v>7</v>
      </c>
      <c r="Z106" s="345">
        <v>2</v>
      </c>
      <c r="AA106" s="345">
        <v>0</v>
      </c>
      <c r="AB106" s="345">
        <v>4</v>
      </c>
      <c r="AC106" s="345">
        <v>8</v>
      </c>
      <c r="AD106" s="349">
        <v>2181</v>
      </c>
      <c r="AE106" s="349">
        <v>12</v>
      </c>
      <c r="AF106" s="349">
        <v>5</v>
      </c>
      <c r="AG106" s="349">
        <v>17</v>
      </c>
    </row>
    <row r="107" spans="1:33" x14ac:dyDescent="0.25">
      <c r="A107" s="344" t="s">
        <v>270</v>
      </c>
      <c r="B107" s="350" t="s">
        <v>271</v>
      </c>
      <c r="C107" s="346">
        <v>4677</v>
      </c>
      <c r="D107" s="346">
        <v>3</v>
      </c>
      <c r="E107" s="346">
        <v>92</v>
      </c>
      <c r="F107" s="346">
        <v>1836</v>
      </c>
      <c r="G107" s="346">
        <v>201</v>
      </c>
      <c r="H107" s="346">
        <v>6809</v>
      </c>
      <c r="I107" s="345">
        <v>6608</v>
      </c>
      <c r="J107" s="345">
        <v>4</v>
      </c>
      <c r="K107" s="347">
        <v>87.32</v>
      </c>
      <c r="L107" s="347">
        <v>86.75</v>
      </c>
      <c r="M107" s="347">
        <v>3.11</v>
      </c>
      <c r="N107" s="347">
        <v>89.76</v>
      </c>
      <c r="O107" s="348">
        <v>4211</v>
      </c>
      <c r="P107" s="345">
        <v>79.34</v>
      </c>
      <c r="Q107" s="345">
        <v>79.069999999999993</v>
      </c>
      <c r="R107" s="345">
        <v>9.2100000000000009</v>
      </c>
      <c r="S107" s="345">
        <v>88.25</v>
      </c>
      <c r="T107" s="345">
        <v>1913</v>
      </c>
      <c r="U107" s="345">
        <v>99.5</v>
      </c>
      <c r="V107" s="345">
        <v>428</v>
      </c>
      <c r="W107" s="345">
        <v>0</v>
      </c>
      <c r="X107" s="345">
        <v>0</v>
      </c>
      <c r="Y107" s="345">
        <v>0</v>
      </c>
      <c r="Z107" s="345">
        <v>39</v>
      </c>
      <c r="AA107" s="345">
        <v>7</v>
      </c>
      <c r="AB107" s="345">
        <v>28</v>
      </c>
      <c r="AC107" s="345">
        <v>9</v>
      </c>
      <c r="AD107" s="349">
        <v>4676</v>
      </c>
      <c r="AE107" s="349">
        <v>37</v>
      </c>
      <c r="AF107" s="349">
        <v>25</v>
      </c>
      <c r="AG107" s="349">
        <v>62</v>
      </c>
    </row>
    <row r="108" spans="1:33" x14ac:dyDescent="0.25">
      <c r="A108" s="344" t="s">
        <v>272</v>
      </c>
      <c r="B108" s="350" t="s">
        <v>273</v>
      </c>
      <c r="C108" s="346">
        <v>3788</v>
      </c>
      <c r="D108" s="346">
        <v>4</v>
      </c>
      <c r="E108" s="346">
        <v>512</v>
      </c>
      <c r="F108" s="346">
        <v>236</v>
      </c>
      <c r="G108" s="346">
        <v>486</v>
      </c>
      <c r="H108" s="346">
        <v>5026</v>
      </c>
      <c r="I108" s="345">
        <v>4540</v>
      </c>
      <c r="J108" s="345">
        <v>26</v>
      </c>
      <c r="K108" s="347">
        <v>86.67</v>
      </c>
      <c r="L108" s="347">
        <v>85.02</v>
      </c>
      <c r="M108" s="347">
        <v>6.45</v>
      </c>
      <c r="N108" s="347">
        <v>91.51</v>
      </c>
      <c r="O108" s="348">
        <v>3392</v>
      </c>
      <c r="P108" s="345">
        <v>91.54</v>
      </c>
      <c r="Q108" s="345">
        <v>65.680000000000007</v>
      </c>
      <c r="R108" s="345">
        <v>98.43</v>
      </c>
      <c r="S108" s="345">
        <v>184.48</v>
      </c>
      <c r="T108" s="345">
        <v>449</v>
      </c>
      <c r="U108" s="345">
        <v>123.56</v>
      </c>
      <c r="V108" s="345">
        <v>265</v>
      </c>
      <c r="W108" s="345">
        <v>0</v>
      </c>
      <c r="X108" s="345">
        <v>0</v>
      </c>
      <c r="Y108" s="345">
        <v>0</v>
      </c>
      <c r="Z108" s="345">
        <v>0</v>
      </c>
      <c r="AA108" s="345">
        <v>1</v>
      </c>
      <c r="AB108" s="345">
        <v>36</v>
      </c>
      <c r="AC108" s="345">
        <v>10</v>
      </c>
      <c r="AD108" s="349">
        <v>3623</v>
      </c>
      <c r="AE108" s="349">
        <v>17</v>
      </c>
      <c r="AF108" s="349">
        <v>35</v>
      </c>
      <c r="AG108" s="349">
        <v>52</v>
      </c>
    </row>
    <row r="109" spans="1:33" x14ac:dyDescent="0.25">
      <c r="A109" s="344" t="s">
        <v>274</v>
      </c>
      <c r="B109" s="350" t="s">
        <v>275</v>
      </c>
      <c r="C109" s="346">
        <v>1497</v>
      </c>
      <c r="D109" s="346">
        <v>0</v>
      </c>
      <c r="E109" s="346">
        <v>173</v>
      </c>
      <c r="F109" s="346">
        <v>183</v>
      </c>
      <c r="G109" s="346">
        <v>242</v>
      </c>
      <c r="H109" s="346">
        <v>2095</v>
      </c>
      <c r="I109" s="345">
        <v>1853</v>
      </c>
      <c r="J109" s="345">
        <v>0</v>
      </c>
      <c r="K109" s="347">
        <v>104.9</v>
      </c>
      <c r="L109" s="347">
        <v>101.22</v>
      </c>
      <c r="M109" s="347">
        <v>8.18</v>
      </c>
      <c r="N109" s="347">
        <v>110.86</v>
      </c>
      <c r="O109" s="348">
        <v>1063</v>
      </c>
      <c r="P109" s="345">
        <v>100.43</v>
      </c>
      <c r="Q109" s="345">
        <v>88.98</v>
      </c>
      <c r="R109" s="345">
        <v>48.86</v>
      </c>
      <c r="S109" s="345">
        <v>146.16999999999999</v>
      </c>
      <c r="T109" s="345">
        <v>235</v>
      </c>
      <c r="U109" s="345">
        <v>142.66</v>
      </c>
      <c r="V109" s="345">
        <v>328</v>
      </c>
      <c r="W109" s="345">
        <v>0</v>
      </c>
      <c r="X109" s="345">
        <v>0</v>
      </c>
      <c r="Y109" s="345">
        <v>1</v>
      </c>
      <c r="Z109" s="345">
        <v>1</v>
      </c>
      <c r="AA109" s="345">
        <v>1</v>
      </c>
      <c r="AB109" s="345">
        <v>2</v>
      </c>
      <c r="AC109" s="345">
        <v>5</v>
      </c>
      <c r="AD109" s="349">
        <v>1485</v>
      </c>
      <c r="AE109" s="349">
        <v>11</v>
      </c>
      <c r="AF109" s="349">
        <v>2</v>
      </c>
      <c r="AG109" s="349">
        <v>13</v>
      </c>
    </row>
    <row r="110" spans="1:33" x14ac:dyDescent="0.25">
      <c r="A110" s="344" t="s">
        <v>276</v>
      </c>
      <c r="B110" s="350" t="s">
        <v>277</v>
      </c>
      <c r="C110" s="346">
        <v>4807</v>
      </c>
      <c r="D110" s="346">
        <v>0</v>
      </c>
      <c r="E110" s="346">
        <v>237</v>
      </c>
      <c r="F110" s="346">
        <v>741</v>
      </c>
      <c r="G110" s="346">
        <v>173</v>
      </c>
      <c r="H110" s="346">
        <v>5958</v>
      </c>
      <c r="I110" s="345">
        <v>5785</v>
      </c>
      <c r="J110" s="345">
        <v>52</v>
      </c>
      <c r="K110" s="347">
        <v>88.39</v>
      </c>
      <c r="L110" s="347">
        <v>85.61</v>
      </c>
      <c r="M110" s="347">
        <v>4.96</v>
      </c>
      <c r="N110" s="347">
        <v>90.65</v>
      </c>
      <c r="O110" s="348">
        <v>4398</v>
      </c>
      <c r="P110" s="345">
        <v>98.19</v>
      </c>
      <c r="Q110" s="345">
        <v>86.48</v>
      </c>
      <c r="R110" s="345">
        <v>48.51</v>
      </c>
      <c r="S110" s="345">
        <v>145.69999999999999</v>
      </c>
      <c r="T110" s="345">
        <v>876</v>
      </c>
      <c r="U110" s="345">
        <v>107.96</v>
      </c>
      <c r="V110" s="345">
        <v>380</v>
      </c>
      <c r="W110" s="345">
        <v>221.83</v>
      </c>
      <c r="X110" s="345">
        <v>60</v>
      </c>
      <c r="Y110" s="345">
        <v>0</v>
      </c>
      <c r="Z110" s="345">
        <v>10</v>
      </c>
      <c r="AA110" s="345">
        <v>1</v>
      </c>
      <c r="AB110" s="345">
        <v>12</v>
      </c>
      <c r="AC110" s="345">
        <v>5</v>
      </c>
      <c r="AD110" s="349">
        <v>4807</v>
      </c>
      <c r="AE110" s="349">
        <v>16</v>
      </c>
      <c r="AF110" s="349">
        <v>28</v>
      </c>
      <c r="AG110" s="349">
        <v>44</v>
      </c>
    </row>
    <row r="111" spans="1:33" x14ac:dyDescent="0.25">
      <c r="A111" s="344" t="s">
        <v>278</v>
      </c>
      <c r="B111" s="350" t="s">
        <v>279</v>
      </c>
      <c r="C111" s="346">
        <v>1575</v>
      </c>
      <c r="D111" s="346">
        <v>0</v>
      </c>
      <c r="E111" s="346">
        <v>133</v>
      </c>
      <c r="F111" s="346">
        <v>264</v>
      </c>
      <c r="G111" s="346">
        <v>301</v>
      </c>
      <c r="H111" s="346">
        <v>2273</v>
      </c>
      <c r="I111" s="345">
        <v>1972</v>
      </c>
      <c r="J111" s="345">
        <v>8</v>
      </c>
      <c r="K111" s="347">
        <v>93.3</v>
      </c>
      <c r="L111" s="347">
        <v>91.84</v>
      </c>
      <c r="M111" s="347">
        <v>7.58</v>
      </c>
      <c r="N111" s="347">
        <v>99.29</v>
      </c>
      <c r="O111" s="348">
        <v>1193</v>
      </c>
      <c r="P111" s="345">
        <v>95.73</v>
      </c>
      <c r="Q111" s="345">
        <v>83.27</v>
      </c>
      <c r="R111" s="345">
        <v>52.17</v>
      </c>
      <c r="S111" s="345">
        <v>146.27000000000001</v>
      </c>
      <c r="T111" s="345">
        <v>353</v>
      </c>
      <c r="U111" s="345">
        <v>136.55000000000001</v>
      </c>
      <c r="V111" s="345">
        <v>200</v>
      </c>
      <c r="W111" s="345">
        <v>73.319999999999993</v>
      </c>
      <c r="X111" s="345">
        <v>7</v>
      </c>
      <c r="Y111" s="345">
        <v>0</v>
      </c>
      <c r="Z111" s="345">
        <v>0</v>
      </c>
      <c r="AA111" s="345">
        <v>1</v>
      </c>
      <c r="AB111" s="345">
        <v>9</v>
      </c>
      <c r="AC111" s="345">
        <v>5</v>
      </c>
      <c r="AD111" s="349">
        <v>1416</v>
      </c>
      <c r="AE111" s="349">
        <v>13</v>
      </c>
      <c r="AF111" s="349">
        <v>6</v>
      </c>
      <c r="AG111" s="349">
        <v>19</v>
      </c>
    </row>
    <row r="112" spans="1:33" x14ac:dyDescent="0.25">
      <c r="A112" s="344" t="s">
        <v>280</v>
      </c>
      <c r="B112" s="350" t="s">
        <v>281</v>
      </c>
      <c r="C112" s="346">
        <v>4183</v>
      </c>
      <c r="D112" s="346">
        <v>0</v>
      </c>
      <c r="E112" s="346">
        <v>78</v>
      </c>
      <c r="F112" s="346">
        <v>785</v>
      </c>
      <c r="G112" s="346">
        <v>222</v>
      </c>
      <c r="H112" s="346">
        <v>5268</v>
      </c>
      <c r="I112" s="345">
        <v>5046</v>
      </c>
      <c r="J112" s="345">
        <v>6</v>
      </c>
      <c r="K112" s="347">
        <v>92.21</v>
      </c>
      <c r="L112" s="347">
        <v>89.97</v>
      </c>
      <c r="M112" s="347">
        <v>2.0299999999999998</v>
      </c>
      <c r="N112" s="347">
        <v>93.98</v>
      </c>
      <c r="O112" s="348">
        <v>3291</v>
      </c>
      <c r="P112" s="345">
        <v>86.35</v>
      </c>
      <c r="Q112" s="345">
        <v>87.36</v>
      </c>
      <c r="R112" s="345">
        <v>23.61</v>
      </c>
      <c r="S112" s="345">
        <v>109.21</v>
      </c>
      <c r="T112" s="345">
        <v>760</v>
      </c>
      <c r="U112" s="345">
        <v>108.5</v>
      </c>
      <c r="V112" s="345">
        <v>465</v>
      </c>
      <c r="W112" s="345">
        <v>207.8</v>
      </c>
      <c r="X112" s="345">
        <v>67</v>
      </c>
      <c r="Y112" s="345">
        <v>0</v>
      </c>
      <c r="Z112" s="345">
        <v>13</v>
      </c>
      <c r="AA112" s="345">
        <v>0</v>
      </c>
      <c r="AB112" s="345">
        <v>9</v>
      </c>
      <c r="AC112" s="345">
        <v>8</v>
      </c>
      <c r="AD112" s="349">
        <v>3753</v>
      </c>
      <c r="AE112" s="349">
        <v>7</v>
      </c>
      <c r="AF112" s="349">
        <v>17</v>
      </c>
      <c r="AG112" s="349">
        <v>24</v>
      </c>
    </row>
    <row r="113" spans="1:33" x14ac:dyDescent="0.25">
      <c r="A113" s="344" t="s">
        <v>282</v>
      </c>
      <c r="B113" s="350" t="s">
        <v>283</v>
      </c>
      <c r="C113" s="346">
        <v>2378</v>
      </c>
      <c r="D113" s="346">
        <v>0</v>
      </c>
      <c r="E113" s="346">
        <v>154</v>
      </c>
      <c r="F113" s="346">
        <v>517</v>
      </c>
      <c r="G113" s="346">
        <v>201</v>
      </c>
      <c r="H113" s="346">
        <v>3250</v>
      </c>
      <c r="I113" s="345">
        <v>3049</v>
      </c>
      <c r="J113" s="345">
        <v>0</v>
      </c>
      <c r="K113" s="347">
        <v>85.32</v>
      </c>
      <c r="L113" s="347">
        <v>84.85</v>
      </c>
      <c r="M113" s="347">
        <v>3.41</v>
      </c>
      <c r="N113" s="347">
        <v>88.48</v>
      </c>
      <c r="O113" s="348">
        <v>1794</v>
      </c>
      <c r="P113" s="345">
        <v>90.86</v>
      </c>
      <c r="Q113" s="345">
        <v>77.34</v>
      </c>
      <c r="R113" s="345">
        <v>24.65</v>
      </c>
      <c r="S113" s="345">
        <v>115.47</v>
      </c>
      <c r="T113" s="345">
        <v>614</v>
      </c>
      <c r="U113" s="345">
        <v>109.45</v>
      </c>
      <c r="V113" s="345">
        <v>569</v>
      </c>
      <c r="W113" s="345">
        <v>0</v>
      </c>
      <c r="X113" s="345">
        <v>0</v>
      </c>
      <c r="Y113" s="345">
        <v>0</v>
      </c>
      <c r="Z113" s="345">
        <v>4</v>
      </c>
      <c r="AA113" s="345">
        <v>0</v>
      </c>
      <c r="AB113" s="345">
        <v>5</v>
      </c>
      <c r="AC113" s="345">
        <v>0</v>
      </c>
      <c r="AD113" s="349">
        <v>2370</v>
      </c>
      <c r="AE113" s="349">
        <v>16</v>
      </c>
      <c r="AF113" s="349">
        <v>1</v>
      </c>
      <c r="AG113" s="349">
        <v>17</v>
      </c>
    </row>
    <row r="114" spans="1:33" x14ac:dyDescent="0.25">
      <c r="A114" s="344" t="s">
        <v>284</v>
      </c>
      <c r="B114" s="350" t="s">
        <v>285</v>
      </c>
      <c r="C114" s="346">
        <v>4040</v>
      </c>
      <c r="D114" s="346">
        <v>0</v>
      </c>
      <c r="E114" s="346">
        <v>342</v>
      </c>
      <c r="F114" s="346">
        <v>991</v>
      </c>
      <c r="G114" s="346">
        <v>205</v>
      </c>
      <c r="H114" s="346">
        <v>5578</v>
      </c>
      <c r="I114" s="345">
        <v>5373</v>
      </c>
      <c r="J114" s="345">
        <v>2</v>
      </c>
      <c r="K114" s="347">
        <v>77.67</v>
      </c>
      <c r="L114" s="347">
        <v>74.47</v>
      </c>
      <c r="M114" s="347">
        <v>7.71</v>
      </c>
      <c r="N114" s="347">
        <v>82.39</v>
      </c>
      <c r="O114" s="348">
        <v>2931</v>
      </c>
      <c r="P114" s="345">
        <v>91.49</v>
      </c>
      <c r="Q114" s="345">
        <v>77.709999999999994</v>
      </c>
      <c r="R114" s="345">
        <v>53.65</v>
      </c>
      <c r="S114" s="345">
        <v>144.41999999999999</v>
      </c>
      <c r="T114" s="345">
        <v>1110</v>
      </c>
      <c r="U114" s="345">
        <v>94.4</v>
      </c>
      <c r="V114" s="345">
        <v>1068</v>
      </c>
      <c r="W114" s="345">
        <v>148.04</v>
      </c>
      <c r="X114" s="345">
        <v>204</v>
      </c>
      <c r="Y114" s="345">
        <v>0</v>
      </c>
      <c r="Z114" s="345">
        <v>3</v>
      </c>
      <c r="AA114" s="345">
        <v>1</v>
      </c>
      <c r="AB114" s="345">
        <v>4</v>
      </c>
      <c r="AC114" s="345">
        <v>6</v>
      </c>
      <c r="AD114" s="349">
        <v>3769</v>
      </c>
      <c r="AE114" s="349">
        <v>86</v>
      </c>
      <c r="AF114" s="349">
        <v>55</v>
      </c>
      <c r="AG114" s="349">
        <v>141</v>
      </c>
    </row>
    <row r="115" spans="1:33" x14ac:dyDescent="0.25">
      <c r="A115" s="344" t="s">
        <v>286</v>
      </c>
      <c r="B115" s="350" t="s">
        <v>287</v>
      </c>
      <c r="C115" s="346">
        <v>3746</v>
      </c>
      <c r="D115" s="346">
        <v>0</v>
      </c>
      <c r="E115" s="346">
        <v>199</v>
      </c>
      <c r="F115" s="346">
        <v>1185</v>
      </c>
      <c r="G115" s="346">
        <v>219</v>
      </c>
      <c r="H115" s="346">
        <v>5349</v>
      </c>
      <c r="I115" s="345">
        <v>5130</v>
      </c>
      <c r="J115" s="345">
        <v>2</v>
      </c>
      <c r="K115" s="347">
        <v>81.58</v>
      </c>
      <c r="L115" s="347">
        <v>80.5</v>
      </c>
      <c r="M115" s="347">
        <v>4.7</v>
      </c>
      <c r="N115" s="347">
        <v>83.38</v>
      </c>
      <c r="O115" s="348">
        <v>3491</v>
      </c>
      <c r="P115" s="345">
        <v>84.58</v>
      </c>
      <c r="Q115" s="345">
        <v>73.23</v>
      </c>
      <c r="R115" s="345">
        <v>30.53</v>
      </c>
      <c r="S115" s="345">
        <v>114.85</v>
      </c>
      <c r="T115" s="345">
        <v>1362</v>
      </c>
      <c r="U115" s="345">
        <v>105.17</v>
      </c>
      <c r="V115" s="345">
        <v>232</v>
      </c>
      <c r="W115" s="345">
        <v>170.44</v>
      </c>
      <c r="X115" s="345">
        <v>17</v>
      </c>
      <c r="Y115" s="345">
        <v>0</v>
      </c>
      <c r="Z115" s="345">
        <v>35</v>
      </c>
      <c r="AA115" s="345">
        <v>3</v>
      </c>
      <c r="AB115" s="345">
        <v>3</v>
      </c>
      <c r="AC115" s="345">
        <v>7</v>
      </c>
      <c r="AD115" s="349">
        <v>3746</v>
      </c>
      <c r="AE115" s="349">
        <v>32</v>
      </c>
      <c r="AF115" s="349">
        <v>0</v>
      </c>
      <c r="AG115" s="349">
        <v>32</v>
      </c>
    </row>
    <row r="116" spans="1:33" x14ac:dyDescent="0.25">
      <c r="A116" s="344" t="s">
        <v>288</v>
      </c>
      <c r="B116" s="350" t="s">
        <v>289</v>
      </c>
      <c r="C116" s="346">
        <v>6788</v>
      </c>
      <c r="D116" s="346">
        <v>113</v>
      </c>
      <c r="E116" s="346">
        <v>598</v>
      </c>
      <c r="F116" s="346">
        <v>784</v>
      </c>
      <c r="G116" s="346">
        <v>560</v>
      </c>
      <c r="H116" s="346">
        <v>8843</v>
      </c>
      <c r="I116" s="345">
        <v>8283</v>
      </c>
      <c r="J116" s="345">
        <v>126</v>
      </c>
      <c r="K116" s="347">
        <v>84.28</v>
      </c>
      <c r="L116" s="347">
        <v>82.66</v>
      </c>
      <c r="M116" s="347">
        <v>7.46</v>
      </c>
      <c r="N116" s="347">
        <v>87.72</v>
      </c>
      <c r="O116" s="348">
        <v>6287</v>
      </c>
      <c r="P116" s="345">
        <v>86.23</v>
      </c>
      <c r="Q116" s="345">
        <v>83.43</v>
      </c>
      <c r="R116" s="345">
        <v>51.73</v>
      </c>
      <c r="S116" s="345">
        <v>136.44</v>
      </c>
      <c r="T116" s="345">
        <v>926</v>
      </c>
      <c r="U116" s="345">
        <v>116.91</v>
      </c>
      <c r="V116" s="345">
        <v>394</v>
      </c>
      <c r="W116" s="345">
        <v>214.97</v>
      </c>
      <c r="X116" s="345">
        <v>93</v>
      </c>
      <c r="Y116" s="345">
        <v>0</v>
      </c>
      <c r="Z116" s="345">
        <v>26</v>
      </c>
      <c r="AA116" s="345">
        <v>17</v>
      </c>
      <c r="AB116" s="345">
        <v>69</v>
      </c>
      <c r="AC116" s="345">
        <v>22</v>
      </c>
      <c r="AD116" s="349">
        <v>6729</v>
      </c>
      <c r="AE116" s="349">
        <v>41</v>
      </c>
      <c r="AF116" s="349">
        <v>25</v>
      </c>
      <c r="AG116" s="349">
        <v>66</v>
      </c>
    </row>
    <row r="117" spans="1:33" x14ac:dyDescent="0.25">
      <c r="A117" s="344" t="s">
        <v>290</v>
      </c>
      <c r="B117" s="350" t="s">
        <v>291</v>
      </c>
      <c r="C117" s="346">
        <v>2342</v>
      </c>
      <c r="D117" s="346">
        <v>0</v>
      </c>
      <c r="E117" s="346">
        <v>68</v>
      </c>
      <c r="F117" s="346">
        <v>584</v>
      </c>
      <c r="G117" s="346">
        <v>368</v>
      </c>
      <c r="H117" s="346">
        <v>3362</v>
      </c>
      <c r="I117" s="345">
        <v>2994</v>
      </c>
      <c r="J117" s="345">
        <v>9</v>
      </c>
      <c r="K117" s="347">
        <v>97.38</v>
      </c>
      <c r="L117" s="347">
        <v>92.82</v>
      </c>
      <c r="M117" s="347">
        <v>10</v>
      </c>
      <c r="N117" s="347">
        <v>106.04</v>
      </c>
      <c r="O117" s="348">
        <v>1911</v>
      </c>
      <c r="P117" s="345">
        <v>92.93</v>
      </c>
      <c r="Q117" s="345">
        <v>87.31</v>
      </c>
      <c r="R117" s="345">
        <v>35.17</v>
      </c>
      <c r="S117" s="345">
        <v>126.54</v>
      </c>
      <c r="T117" s="345">
        <v>383</v>
      </c>
      <c r="U117" s="345">
        <v>125.16</v>
      </c>
      <c r="V117" s="345">
        <v>296</v>
      </c>
      <c r="W117" s="345">
        <v>132.32</v>
      </c>
      <c r="X117" s="345">
        <v>27</v>
      </c>
      <c r="Y117" s="345">
        <v>0</v>
      </c>
      <c r="Z117" s="345">
        <v>2</v>
      </c>
      <c r="AA117" s="345">
        <v>0</v>
      </c>
      <c r="AB117" s="345">
        <v>13</v>
      </c>
      <c r="AC117" s="345">
        <v>11</v>
      </c>
      <c r="AD117" s="349">
        <v>2342</v>
      </c>
      <c r="AE117" s="349">
        <v>15</v>
      </c>
      <c r="AF117" s="349">
        <v>3</v>
      </c>
      <c r="AG117" s="349">
        <v>18</v>
      </c>
    </row>
    <row r="118" spans="1:33" x14ac:dyDescent="0.25">
      <c r="A118" s="344" t="s">
        <v>292</v>
      </c>
      <c r="B118" s="350" t="s">
        <v>293</v>
      </c>
      <c r="C118" s="346">
        <v>1516</v>
      </c>
      <c r="D118" s="346">
        <v>0</v>
      </c>
      <c r="E118" s="346">
        <v>82</v>
      </c>
      <c r="F118" s="346">
        <v>178</v>
      </c>
      <c r="G118" s="346">
        <v>377</v>
      </c>
      <c r="H118" s="346">
        <v>2153</v>
      </c>
      <c r="I118" s="345">
        <v>1776</v>
      </c>
      <c r="J118" s="345">
        <v>0</v>
      </c>
      <c r="K118" s="347">
        <v>105.55</v>
      </c>
      <c r="L118" s="347">
        <v>104.19</v>
      </c>
      <c r="M118" s="347">
        <v>5.91</v>
      </c>
      <c r="N118" s="347">
        <v>110.26</v>
      </c>
      <c r="O118" s="348">
        <v>744</v>
      </c>
      <c r="P118" s="345">
        <v>93.3</v>
      </c>
      <c r="Q118" s="345">
        <v>88.98</v>
      </c>
      <c r="R118" s="345">
        <v>76.8</v>
      </c>
      <c r="S118" s="345">
        <v>162.83000000000001</v>
      </c>
      <c r="T118" s="345">
        <v>74</v>
      </c>
      <c r="U118" s="345">
        <v>140.41999999999999</v>
      </c>
      <c r="V118" s="345">
        <v>365</v>
      </c>
      <c r="W118" s="345">
        <v>209.93</v>
      </c>
      <c r="X118" s="345">
        <v>57</v>
      </c>
      <c r="Y118" s="345">
        <v>1</v>
      </c>
      <c r="Z118" s="345">
        <v>0</v>
      </c>
      <c r="AA118" s="345">
        <v>0</v>
      </c>
      <c r="AB118" s="345">
        <v>49</v>
      </c>
      <c r="AC118" s="345">
        <v>8</v>
      </c>
      <c r="AD118" s="349">
        <v>1115</v>
      </c>
      <c r="AE118" s="349">
        <v>3</v>
      </c>
      <c r="AF118" s="349">
        <v>6</v>
      </c>
      <c r="AG118" s="349">
        <v>9</v>
      </c>
    </row>
    <row r="119" spans="1:33" x14ac:dyDescent="0.25">
      <c r="A119" s="344" t="s">
        <v>294</v>
      </c>
      <c r="B119" s="350" t="s">
        <v>295</v>
      </c>
      <c r="C119" s="346">
        <v>1422</v>
      </c>
      <c r="D119" s="346">
        <v>0</v>
      </c>
      <c r="E119" s="346">
        <v>246</v>
      </c>
      <c r="F119" s="346">
        <v>149</v>
      </c>
      <c r="G119" s="346">
        <v>91</v>
      </c>
      <c r="H119" s="346">
        <v>1908</v>
      </c>
      <c r="I119" s="345">
        <v>1817</v>
      </c>
      <c r="J119" s="345">
        <v>0</v>
      </c>
      <c r="K119" s="347">
        <v>85.49</v>
      </c>
      <c r="L119" s="347">
        <v>85.21</v>
      </c>
      <c r="M119" s="347">
        <v>6.59</v>
      </c>
      <c r="N119" s="347">
        <v>89.85</v>
      </c>
      <c r="O119" s="348">
        <v>1215</v>
      </c>
      <c r="P119" s="345">
        <v>96</v>
      </c>
      <c r="Q119" s="345">
        <v>83.95</v>
      </c>
      <c r="R119" s="345">
        <v>65.17</v>
      </c>
      <c r="S119" s="345">
        <v>160.69999999999999</v>
      </c>
      <c r="T119" s="345">
        <v>278</v>
      </c>
      <c r="U119" s="345">
        <v>97.22</v>
      </c>
      <c r="V119" s="345">
        <v>172</v>
      </c>
      <c r="W119" s="345">
        <v>0</v>
      </c>
      <c r="X119" s="345">
        <v>0</v>
      </c>
      <c r="Y119" s="345">
        <v>15</v>
      </c>
      <c r="Z119" s="345">
        <v>0</v>
      </c>
      <c r="AA119" s="345">
        <v>10</v>
      </c>
      <c r="AB119" s="345">
        <v>3</v>
      </c>
      <c r="AC119" s="345">
        <v>5</v>
      </c>
      <c r="AD119" s="349">
        <v>1422</v>
      </c>
      <c r="AE119" s="349">
        <v>15</v>
      </c>
      <c r="AF119" s="349">
        <v>21</v>
      </c>
      <c r="AG119" s="349">
        <v>36</v>
      </c>
    </row>
    <row r="120" spans="1:33" x14ac:dyDescent="0.25">
      <c r="A120" s="344" t="s">
        <v>296</v>
      </c>
      <c r="B120" s="350" t="s">
        <v>297</v>
      </c>
      <c r="C120" s="346">
        <v>13152</v>
      </c>
      <c r="D120" s="346">
        <v>162</v>
      </c>
      <c r="E120" s="346">
        <v>523</v>
      </c>
      <c r="F120" s="346">
        <v>959</v>
      </c>
      <c r="G120" s="346">
        <v>2475</v>
      </c>
      <c r="H120" s="346">
        <v>17271</v>
      </c>
      <c r="I120" s="345">
        <v>14796</v>
      </c>
      <c r="J120" s="345">
        <v>1</v>
      </c>
      <c r="K120" s="347">
        <v>117.39</v>
      </c>
      <c r="L120" s="347">
        <v>117.13</v>
      </c>
      <c r="M120" s="347">
        <v>16.13</v>
      </c>
      <c r="N120" s="347">
        <v>129.51</v>
      </c>
      <c r="O120" s="348">
        <v>10026</v>
      </c>
      <c r="P120" s="345">
        <v>112.9</v>
      </c>
      <c r="Q120" s="345">
        <v>106.92</v>
      </c>
      <c r="R120" s="345">
        <v>49.03</v>
      </c>
      <c r="S120" s="345">
        <v>159.71</v>
      </c>
      <c r="T120" s="345">
        <v>1237</v>
      </c>
      <c r="U120" s="345">
        <v>173.13</v>
      </c>
      <c r="V120" s="345">
        <v>1382</v>
      </c>
      <c r="W120" s="345">
        <v>0</v>
      </c>
      <c r="X120" s="345">
        <v>0</v>
      </c>
      <c r="Y120" s="345">
        <v>31</v>
      </c>
      <c r="Z120" s="345">
        <v>1</v>
      </c>
      <c r="AA120" s="345">
        <v>30</v>
      </c>
      <c r="AB120" s="345">
        <v>75</v>
      </c>
      <c r="AC120" s="345">
        <v>68</v>
      </c>
      <c r="AD120" s="349">
        <v>11884</v>
      </c>
      <c r="AE120" s="349">
        <v>89</v>
      </c>
      <c r="AF120" s="349">
        <v>42</v>
      </c>
      <c r="AG120" s="349">
        <v>131</v>
      </c>
    </row>
    <row r="121" spans="1:33" x14ac:dyDescent="0.25">
      <c r="A121" s="344" t="s">
        <v>298</v>
      </c>
      <c r="B121" s="350" t="s">
        <v>299</v>
      </c>
      <c r="C121" s="346">
        <v>1759</v>
      </c>
      <c r="D121" s="346">
        <v>11</v>
      </c>
      <c r="E121" s="346">
        <v>276</v>
      </c>
      <c r="F121" s="346">
        <v>235</v>
      </c>
      <c r="G121" s="346">
        <v>419</v>
      </c>
      <c r="H121" s="346">
        <v>2700</v>
      </c>
      <c r="I121" s="345">
        <v>2281</v>
      </c>
      <c r="J121" s="345">
        <v>0</v>
      </c>
      <c r="K121" s="347">
        <v>122.53</v>
      </c>
      <c r="L121" s="347">
        <v>119.29</v>
      </c>
      <c r="M121" s="347">
        <v>8.23</v>
      </c>
      <c r="N121" s="347">
        <v>129.07</v>
      </c>
      <c r="O121" s="348">
        <v>1324</v>
      </c>
      <c r="P121" s="345">
        <v>94.92</v>
      </c>
      <c r="Q121" s="345">
        <v>87.22</v>
      </c>
      <c r="R121" s="345">
        <v>87.88</v>
      </c>
      <c r="S121" s="345">
        <v>179.69</v>
      </c>
      <c r="T121" s="345">
        <v>226</v>
      </c>
      <c r="U121" s="345">
        <v>163.83000000000001</v>
      </c>
      <c r="V121" s="345">
        <v>292</v>
      </c>
      <c r="W121" s="345">
        <v>246.29</v>
      </c>
      <c r="X121" s="345">
        <v>36</v>
      </c>
      <c r="Y121" s="345">
        <v>0</v>
      </c>
      <c r="Z121" s="345">
        <v>0</v>
      </c>
      <c r="AA121" s="345">
        <v>3</v>
      </c>
      <c r="AB121" s="345">
        <v>21</v>
      </c>
      <c r="AC121" s="345">
        <v>8</v>
      </c>
      <c r="AD121" s="349">
        <v>1609</v>
      </c>
      <c r="AE121" s="349">
        <v>15</v>
      </c>
      <c r="AF121" s="349">
        <v>1</v>
      </c>
      <c r="AG121" s="349">
        <v>16</v>
      </c>
    </row>
    <row r="122" spans="1:33" x14ac:dyDescent="0.25">
      <c r="A122" s="344" t="s">
        <v>300</v>
      </c>
      <c r="B122" s="350" t="s">
        <v>301</v>
      </c>
      <c r="C122" s="346">
        <v>20240</v>
      </c>
      <c r="D122" s="346">
        <v>565</v>
      </c>
      <c r="E122" s="346">
        <v>1334</v>
      </c>
      <c r="F122" s="346">
        <v>1761</v>
      </c>
      <c r="G122" s="346">
        <v>2471</v>
      </c>
      <c r="H122" s="346">
        <v>26371</v>
      </c>
      <c r="I122" s="345">
        <v>23900</v>
      </c>
      <c r="J122" s="345">
        <v>84</v>
      </c>
      <c r="K122" s="347">
        <v>119.7</v>
      </c>
      <c r="L122" s="347">
        <v>122.78</v>
      </c>
      <c r="M122" s="347">
        <v>14.25</v>
      </c>
      <c r="N122" s="347">
        <v>130.38999999999999</v>
      </c>
      <c r="O122" s="348">
        <v>17295</v>
      </c>
      <c r="P122" s="345">
        <v>108.32</v>
      </c>
      <c r="Q122" s="345">
        <v>108.62</v>
      </c>
      <c r="R122" s="345">
        <v>56.11</v>
      </c>
      <c r="S122" s="345">
        <v>160.11000000000001</v>
      </c>
      <c r="T122" s="345">
        <v>2731</v>
      </c>
      <c r="U122" s="345">
        <v>212.74</v>
      </c>
      <c r="V122" s="345">
        <v>1025</v>
      </c>
      <c r="W122" s="345">
        <v>175.5</v>
      </c>
      <c r="X122" s="345">
        <v>38</v>
      </c>
      <c r="Y122" s="345">
        <v>1</v>
      </c>
      <c r="Z122" s="345">
        <v>4</v>
      </c>
      <c r="AA122" s="345">
        <v>21</v>
      </c>
      <c r="AB122" s="345">
        <v>28</v>
      </c>
      <c r="AC122" s="345">
        <v>113</v>
      </c>
      <c r="AD122" s="349">
        <v>18575</v>
      </c>
      <c r="AE122" s="349">
        <v>105</v>
      </c>
      <c r="AF122" s="349">
        <v>77</v>
      </c>
      <c r="AG122" s="349">
        <v>182</v>
      </c>
    </row>
    <row r="123" spans="1:33" x14ac:dyDescent="0.25">
      <c r="A123" s="344" t="s">
        <v>302</v>
      </c>
      <c r="B123" s="350" t="s">
        <v>303</v>
      </c>
      <c r="C123" s="346">
        <v>13364</v>
      </c>
      <c r="D123" s="346">
        <v>2</v>
      </c>
      <c r="E123" s="346">
        <v>474</v>
      </c>
      <c r="F123" s="346">
        <v>465</v>
      </c>
      <c r="G123" s="346">
        <v>338</v>
      </c>
      <c r="H123" s="346">
        <v>14643</v>
      </c>
      <c r="I123" s="345">
        <v>14305</v>
      </c>
      <c r="J123" s="345">
        <v>1</v>
      </c>
      <c r="K123" s="347">
        <v>82</v>
      </c>
      <c r="L123" s="347">
        <v>81.260000000000005</v>
      </c>
      <c r="M123" s="347">
        <v>4.16</v>
      </c>
      <c r="N123" s="347">
        <v>86.01</v>
      </c>
      <c r="O123" s="348">
        <v>11313</v>
      </c>
      <c r="P123" s="345">
        <v>86.53</v>
      </c>
      <c r="Q123" s="345">
        <v>73.39</v>
      </c>
      <c r="R123" s="345">
        <v>38.42</v>
      </c>
      <c r="S123" s="345">
        <v>124.46</v>
      </c>
      <c r="T123" s="345">
        <v>787</v>
      </c>
      <c r="U123" s="345">
        <v>97.92</v>
      </c>
      <c r="V123" s="345">
        <v>2029</v>
      </c>
      <c r="W123" s="345">
        <v>149.88999999999999</v>
      </c>
      <c r="X123" s="345">
        <v>78</v>
      </c>
      <c r="Y123" s="345">
        <v>55</v>
      </c>
      <c r="Z123" s="345">
        <v>49</v>
      </c>
      <c r="AA123" s="345">
        <v>9</v>
      </c>
      <c r="AB123" s="345">
        <v>17</v>
      </c>
      <c r="AC123" s="345">
        <v>7</v>
      </c>
      <c r="AD123" s="349">
        <v>13364</v>
      </c>
      <c r="AE123" s="349">
        <v>76</v>
      </c>
      <c r="AF123" s="349">
        <v>18</v>
      </c>
      <c r="AG123" s="349">
        <v>94</v>
      </c>
    </row>
    <row r="124" spans="1:33" x14ac:dyDescent="0.25">
      <c r="A124" s="344" t="s">
        <v>304</v>
      </c>
      <c r="B124" s="350" t="s">
        <v>305</v>
      </c>
      <c r="C124" s="346">
        <v>5159</v>
      </c>
      <c r="D124" s="346">
        <v>5</v>
      </c>
      <c r="E124" s="346">
        <v>348</v>
      </c>
      <c r="F124" s="346">
        <v>147</v>
      </c>
      <c r="G124" s="346">
        <v>222</v>
      </c>
      <c r="H124" s="346">
        <v>5881</v>
      </c>
      <c r="I124" s="345">
        <v>5659</v>
      </c>
      <c r="J124" s="345">
        <v>166</v>
      </c>
      <c r="K124" s="347">
        <v>90.11</v>
      </c>
      <c r="L124" s="347">
        <v>87.45</v>
      </c>
      <c r="M124" s="347">
        <v>1.89</v>
      </c>
      <c r="N124" s="347">
        <v>91.77</v>
      </c>
      <c r="O124" s="348">
        <v>4795</v>
      </c>
      <c r="P124" s="345">
        <v>108.49</v>
      </c>
      <c r="Q124" s="345">
        <v>80.180000000000007</v>
      </c>
      <c r="R124" s="345">
        <v>69.180000000000007</v>
      </c>
      <c r="S124" s="345">
        <v>177.67</v>
      </c>
      <c r="T124" s="345">
        <v>337</v>
      </c>
      <c r="U124" s="345">
        <v>107.07</v>
      </c>
      <c r="V124" s="345">
        <v>271</v>
      </c>
      <c r="W124" s="345">
        <v>170.45</v>
      </c>
      <c r="X124" s="345">
        <v>130</v>
      </c>
      <c r="Y124" s="345">
        <v>0</v>
      </c>
      <c r="Z124" s="345">
        <v>1</v>
      </c>
      <c r="AA124" s="345">
        <v>1</v>
      </c>
      <c r="AB124" s="345">
        <v>19</v>
      </c>
      <c r="AC124" s="345">
        <v>3</v>
      </c>
      <c r="AD124" s="349">
        <v>5147</v>
      </c>
      <c r="AE124" s="349">
        <v>23</v>
      </c>
      <c r="AF124" s="349">
        <v>144</v>
      </c>
      <c r="AG124" s="349">
        <v>167</v>
      </c>
    </row>
    <row r="125" spans="1:33" x14ac:dyDescent="0.25">
      <c r="A125" s="344" t="s">
        <v>306</v>
      </c>
      <c r="B125" s="350" t="s">
        <v>307</v>
      </c>
      <c r="C125" s="346">
        <v>11632</v>
      </c>
      <c r="D125" s="346">
        <v>34</v>
      </c>
      <c r="E125" s="346">
        <v>1119</v>
      </c>
      <c r="F125" s="346">
        <v>499</v>
      </c>
      <c r="G125" s="346">
        <v>1070</v>
      </c>
      <c r="H125" s="346">
        <v>14354</v>
      </c>
      <c r="I125" s="345">
        <v>13284</v>
      </c>
      <c r="J125" s="345">
        <v>90</v>
      </c>
      <c r="K125" s="347">
        <v>128.31</v>
      </c>
      <c r="L125" s="347">
        <v>139.29</v>
      </c>
      <c r="M125" s="347">
        <v>12.51</v>
      </c>
      <c r="N125" s="347">
        <v>134.63999999999999</v>
      </c>
      <c r="O125" s="348">
        <v>9748</v>
      </c>
      <c r="P125" s="345">
        <v>119.9</v>
      </c>
      <c r="Q125" s="345">
        <v>115.27</v>
      </c>
      <c r="R125" s="345">
        <v>52.38</v>
      </c>
      <c r="S125" s="345">
        <v>163.59</v>
      </c>
      <c r="T125" s="345">
        <v>1188</v>
      </c>
      <c r="U125" s="345">
        <v>208.14</v>
      </c>
      <c r="V125" s="345">
        <v>1179</v>
      </c>
      <c r="W125" s="345">
        <v>205.34</v>
      </c>
      <c r="X125" s="345">
        <v>83</v>
      </c>
      <c r="Y125" s="345">
        <v>0</v>
      </c>
      <c r="Z125" s="345">
        <v>0</v>
      </c>
      <c r="AA125" s="345">
        <v>2</v>
      </c>
      <c r="AB125" s="345">
        <v>5</v>
      </c>
      <c r="AC125" s="345">
        <v>44</v>
      </c>
      <c r="AD125" s="349">
        <v>11223</v>
      </c>
      <c r="AE125" s="349">
        <v>74</v>
      </c>
      <c r="AF125" s="349">
        <v>164</v>
      </c>
      <c r="AG125" s="349">
        <v>238</v>
      </c>
    </row>
    <row r="126" spans="1:33" x14ac:dyDescent="0.25">
      <c r="A126" s="344" t="s">
        <v>308</v>
      </c>
      <c r="B126" s="350" t="s">
        <v>309</v>
      </c>
      <c r="C126" s="346">
        <v>3038</v>
      </c>
      <c r="D126" s="346">
        <v>0</v>
      </c>
      <c r="E126" s="346">
        <v>105</v>
      </c>
      <c r="F126" s="346">
        <v>290</v>
      </c>
      <c r="G126" s="346">
        <v>694</v>
      </c>
      <c r="H126" s="346">
        <v>4127</v>
      </c>
      <c r="I126" s="345">
        <v>3433</v>
      </c>
      <c r="J126" s="345">
        <v>0</v>
      </c>
      <c r="K126" s="347">
        <v>88.46</v>
      </c>
      <c r="L126" s="347">
        <v>88.3</v>
      </c>
      <c r="M126" s="347">
        <v>4.42</v>
      </c>
      <c r="N126" s="347">
        <v>91.37</v>
      </c>
      <c r="O126" s="348">
        <v>2431</v>
      </c>
      <c r="P126" s="345">
        <v>75.39</v>
      </c>
      <c r="Q126" s="345">
        <v>73.84</v>
      </c>
      <c r="R126" s="345">
        <v>41.39</v>
      </c>
      <c r="S126" s="345">
        <v>112.87</v>
      </c>
      <c r="T126" s="345">
        <v>359</v>
      </c>
      <c r="U126" s="345">
        <v>109.48</v>
      </c>
      <c r="V126" s="345">
        <v>501</v>
      </c>
      <c r="W126" s="345">
        <v>114.54</v>
      </c>
      <c r="X126" s="345">
        <v>12</v>
      </c>
      <c r="Y126" s="345">
        <v>0</v>
      </c>
      <c r="Z126" s="345">
        <v>1</v>
      </c>
      <c r="AA126" s="345">
        <v>0</v>
      </c>
      <c r="AB126" s="345">
        <v>70</v>
      </c>
      <c r="AC126" s="345">
        <v>4</v>
      </c>
      <c r="AD126" s="349">
        <v>3038</v>
      </c>
      <c r="AE126" s="349">
        <v>26</v>
      </c>
      <c r="AF126" s="349">
        <v>25</v>
      </c>
      <c r="AG126" s="349">
        <v>51</v>
      </c>
    </row>
    <row r="127" spans="1:33" x14ac:dyDescent="0.25">
      <c r="A127" s="344" t="s">
        <v>310</v>
      </c>
      <c r="B127" s="350" t="s">
        <v>311</v>
      </c>
      <c r="C127" s="346">
        <v>10228</v>
      </c>
      <c r="D127" s="346">
        <v>70</v>
      </c>
      <c r="E127" s="346">
        <v>1043</v>
      </c>
      <c r="F127" s="346">
        <v>823</v>
      </c>
      <c r="G127" s="346">
        <v>1582</v>
      </c>
      <c r="H127" s="346">
        <v>13746</v>
      </c>
      <c r="I127" s="345">
        <v>12164</v>
      </c>
      <c r="J127" s="345">
        <v>35</v>
      </c>
      <c r="K127" s="347">
        <v>118.22</v>
      </c>
      <c r="L127" s="347">
        <v>117.58</v>
      </c>
      <c r="M127" s="347">
        <v>12.1</v>
      </c>
      <c r="N127" s="347">
        <v>126.05</v>
      </c>
      <c r="O127" s="348">
        <v>8259</v>
      </c>
      <c r="P127" s="345">
        <v>114.1</v>
      </c>
      <c r="Q127" s="345">
        <v>102.4</v>
      </c>
      <c r="R127" s="345">
        <v>64.52</v>
      </c>
      <c r="S127" s="345">
        <v>172.61</v>
      </c>
      <c r="T127" s="345">
        <v>1257</v>
      </c>
      <c r="U127" s="345">
        <v>192.37</v>
      </c>
      <c r="V127" s="345">
        <v>671</v>
      </c>
      <c r="W127" s="345">
        <v>201.92</v>
      </c>
      <c r="X127" s="345">
        <v>32</v>
      </c>
      <c r="Y127" s="345">
        <v>0</v>
      </c>
      <c r="Z127" s="345">
        <v>0</v>
      </c>
      <c r="AA127" s="345">
        <v>12</v>
      </c>
      <c r="AB127" s="345">
        <v>11</v>
      </c>
      <c r="AC127" s="345">
        <v>62</v>
      </c>
      <c r="AD127" s="349">
        <v>9226</v>
      </c>
      <c r="AE127" s="349">
        <v>85</v>
      </c>
      <c r="AF127" s="349">
        <v>36</v>
      </c>
      <c r="AG127" s="349">
        <v>121</v>
      </c>
    </row>
    <row r="128" spans="1:33" x14ac:dyDescent="0.25">
      <c r="A128" s="344" t="s">
        <v>312</v>
      </c>
      <c r="B128" s="350" t="s">
        <v>313</v>
      </c>
      <c r="C128" s="346">
        <v>1562</v>
      </c>
      <c r="D128" s="346">
        <v>236</v>
      </c>
      <c r="E128" s="346">
        <v>207</v>
      </c>
      <c r="F128" s="346">
        <v>261</v>
      </c>
      <c r="G128" s="346">
        <v>409</v>
      </c>
      <c r="H128" s="346">
        <v>2675</v>
      </c>
      <c r="I128" s="345">
        <v>2266</v>
      </c>
      <c r="J128" s="345">
        <v>2</v>
      </c>
      <c r="K128" s="347">
        <v>100.09</v>
      </c>
      <c r="L128" s="347">
        <v>97.02</v>
      </c>
      <c r="M128" s="347">
        <v>7.78</v>
      </c>
      <c r="N128" s="347">
        <v>106.57</v>
      </c>
      <c r="O128" s="348">
        <v>1223</v>
      </c>
      <c r="P128" s="345">
        <v>89.83</v>
      </c>
      <c r="Q128" s="345">
        <v>87.9</v>
      </c>
      <c r="R128" s="345">
        <v>32.01</v>
      </c>
      <c r="S128" s="345">
        <v>121.13</v>
      </c>
      <c r="T128" s="345">
        <v>361</v>
      </c>
      <c r="U128" s="345">
        <v>150.47999999999999</v>
      </c>
      <c r="V128" s="345">
        <v>286</v>
      </c>
      <c r="W128" s="345">
        <v>109.65</v>
      </c>
      <c r="X128" s="345">
        <v>1</v>
      </c>
      <c r="Y128" s="345">
        <v>0</v>
      </c>
      <c r="Z128" s="345">
        <v>0</v>
      </c>
      <c r="AA128" s="345">
        <v>0</v>
      </c>
      <c r="AB128" s="345">
        <v>41</v>
      </c>
      <c r="AC128" s="345">
        <v>6</v>
      </c>
      <c r="AD128" s="349">
        <v>1559</v>
      </c>
      <c r="AE128" s="349">
        <v>33</v>
      </c>
      <c r="AF128" s="349">
        <v>152</v>
      </c>
      <c r="AG128" s="349">
        <v>185</v>
      </c>
    </row>
    <row r="129" spans="1:33" x14ac:dyDescent="0.25">
      <c r="A129" s="344" t="s">
        <v>314</v>
      </c>
      <c r="B129" s="350" t="s">
        <v>315</v>
      </c>
      <c r="C129" s="346">
        <v>2581</v>
      </c>
      <c r="D129" s="346">
        <v>4</v>
      </c>
      <c r="E129" s="346">
        <v>219</v>
      </c>
      <c r="F129" s="346">
        <v>388</v>
      </c>
      <c r="G129" s="346">
        <v>423</v>
      </c>
      <c r="H129" s="346">
        <v>3615</v>
      </c>
      <c r="I129" s="345">
        <v>3192</v>
      </c>
      <c r="J129" s="345">
        <v>4</v>
      </c>
      <c r="K129" s="347">
        <v>94.51</v>
      </c>
      <c r="L129" s="347">
        <v>92.04</v>
      </c>
      <c r="M129" s="347">
        <v>6.37</v>
      </c>
      <c r="N129" s="347">
        <v>98.75</v>
      </c>
      <c r="O129" s="348">
        <v>1693</v>
      </c>
      <c r="P129" s="345">
        <v>107.16</v>
      </c>
      <c r="Q129" s="345">
        <v>86.05</v>
      </c>
      <c r="R129" s="345">
        <v>48.11</v>
      </c>
      <c r="S129" s="345">
        <v>154.86000000000001</v>
      </c>
      <c r="T129" s="345">
        <v>470</v>
      </c>
      <c r="U129" s="345">
        <v>118.78</v>
      </c>
      <c r="V129" s="345">
        <v>743</v>
      </c>
      <c r="W129" s="345">
        <v>110.94</v>
      </c>
      <c r="X129" s="345">
        <v>11</v>
      </c>
      <c r="Y129" s="345">
        <v>0</v>
      </c>
      <c r="Z129" s="345">
        <v>1</v>
      </c>
      <c r="AA129" s="345">
        <v>8</v>
      </c>
      <c r="AB129" s="345">
        <v>54</v>
      </c>
      <c r="AC129" s="345">
        <v>4</v>
      </c>
      <c r="AD129" s="349">
        <v>2354</v>
      </c>
      <c r="AE129" s="349">
        <v>21</v>
      </c>
      <c r="AF129" s="349">
        <v>31</v>
      </c>
      <c r="AG129" s="349">
        <v>52</v>
      </c>
    </row>
    <row r="130" spans="1:33" x14ac:dyDescent="0.25">
      <c r="A130" s="344" t="s">
        <v>316</v>
      </c>
      <c r="B130" s="350" t="s">
        <v>317</v>
      </c>
      <c r="C130" s="346">
        <v>3441</v>
      </c>
      <c r="D130" s="346">
        <v>0</v>
      </c>
      <c r="E130" s="346">
        <v>355</v>
      </c>
      <c r="F130" s="346">
        <v>610</v>
      </c>
      <c r="G130" s="346">
        <v>1005</v>
      </c>
      <c r="H130" s="346">
        <v>5411</v>
      </c>
      <c r="I130" s="345">
        <v>4406</v>
      </c>
      <c r="J130" s="345">
        <v>16</v>
      </c>
      <c r="K130" s="347">
        <v>130.36000000000001</v>
      </c>
      <c r="L130" s="347">
        <v>125.58</v>
      </c>
      <c r="M130" s="347">
        <v>9.9700000000000006</v>
      </c>
      <c r="N130" s="347">
        <v>137.30000000000001</v>
      </c>
      <c r="O130" s="348">
        <v>2769</v>
      </c>
      <c r="P130" s="345">
        <v>103.24</v>
      </c>
      <c r="Q130" s="345">
        <v>97.24</v>
      </c>
      <c r="R130" s="345">
        <v>36.700000000000003</v>
      </c>
      <c r="S130" s="345">
        <v>132.1</v>
      </c>
      <c r="T130" s="345">
        <v>543</v>
      </c>
      <c r="U130" s="345">
        <v>192.34</v>
      </c>
      <c r="V130" s="345">
        <v>431</v>
      </c>
      <c r="W130" s="345">
        <v>188.09</v>
      </c>
      <c r="X130" s="345">
        <v>30</v>
      </c>
      <c r="Y130" s="345">
        <v>1</v>
      </c>
      <c r="Z130" s="345">
        <v>2</v>
      </c>
      <c r="AA130" s="345">
        <v>0</v>
      </c>
      <c r="AB130" s="345">
        <v>34</v>
      </c>
      <c r="AC130" s="345">
        <v>33</v>
      </c>
      <c r="AD130" s="349">
        <v>3372</v>
      </c>
      <c r="AE130" s="349">
        <v>12</v>
      </c>
      <c r="AF130" s="349">
        <v>10</v>
      </c>
      <c r="AG130" s="349">
        <v>22</v>
      </c>
    </row>
    <row r="131" spans="1:33" x14ac:dyDescent="0.25">
      <c r="A131" s="344" t="s">
        <v>318</v>
      </c>
      <c r="B131" s="350" t="s">
        <v>319</v>
      </c>
      <c r="C131" s="346">
        <v>3051</v>
      </c>
      <c r="D131" s="346">
        <v>0</v>
      </c>
      <c r="E131" s="346">
        <v>46</v>
      </c>
      <c r="F131" s="346">
        <v>321</v>
      </c>
      <c r="G131" s="346">
        <v>662</v>
      </c>
      <c r="H131" s="346">
        <v>4080</v>
      </c>
      <c r="I131" s="345">
        <v>3418</v>
      </c>
      <c r="J131" s="345">
        <v>1</v>
      </c>
      <c r="K131" s="347">
        <v>114.95</v>
      </c>
      <c r="L131" s="347">
        <v>110.97</v>
      </c>
      <c r="M131" s="347">
        <v>6.73</v>
      </c>
      <c r="N131" s="347">
        <v>117.75</v>
      </c>
      <c r="O131" s="348">
        <v>2390</v>
      </c>
      <c r="P131" s="345">
        <v>99.85</v>
      </c>
      <c r="Q131" s="345">
        <v>105.57</v>
      </c>
      <c r="R131" s="345">
        <v>36.409999999999997</v>
      </c>
      <c r="S131" s="345">
        <v>135.44999999999999</v>
      </c>
      <c r="T131" s="345">
        <v>313</v>
      </c>
      <c r="U131" s="345">
        <v>168.21</v>
      </c>
      <c r="V131" s="345">
        <v>625</v>
      </c>
      <c r="W131" s="345">
        <v>117.8</v>
      </c>
      <c r="X131" s="345">
        <v>1</v>
      </c>
      <c r="Y131" s="345">
        <v>0</v>
      </c>
      <c r="Z131" s="345">
        <v>1</v>
      </c>
      <c r="AA131" s="345">
        <v>0</v>
      </c>
      <c r="AB131" s="345">
        <v>44</v>
      </c>
      <c r="AC131" s="345">
        <v>18</v>
      </c>
      <c r="AD131" s="349">
        <v>3051</v>
      </c>
      <c r="AE131" s="349">
        <v>19</v>
      </c>
      <c r="AF131" s="349">
        <v>6</v>
      </c>
      <c r="AG131" s="349">
        <v>25</v>
      </c>
    </row>
    <row r="132" spans="1:33" x14ac:dyDescent="0.25">
      <c r="A132" s="344" t="s">
        <v>320</v>
      </c>
      <c r="B132" s="350" t="s">
        <v>321</v>
      </c>
      <c r="C132" s="346">
        <v>7630</v>
      </c>
      <c r="D132" s="346">
        <v>0</v>
      </c>
      <c r="E132" s="346">
        <v>159</v>
      </c>
      <c r="F132" s="346">
        <v>1985</v>
      </c>
      <c r="G132" s="346">
        <v>233</v>
      </c>
      <c r="H132" s="346">
        <v>10007</v>
      </c>
      <c r="I132" s="345">
        <v>9774</v>
      </c>
      <c r="J132" s="345">
        <v>0</v>
      </c>
      <c r="K132" s="347">
        <v>80.349999999999994</v>
      </c>
      <c r="L132" s="347">
        <v>79.290000000000006</v>
      </c>
      <c r="M132" s="347">
        <v>4.57</v>
      </c>
      <c r="N132" s="347">
        <v>82.2</v>
      </c>
      <c r="O132" s="348">
        <v>6536</v>
      </c>
      <c r="P132" s="345">
        <v>80.239999999999995</v>
      </c>
      <c r="Q132" s="345">
        <v>79.150000000000006</v>
      </c>
      <c r="R132" s="345">
        <v>36.96</v>
      </c>
      <c r="S132" s="345">
        <v>101.63</v>
      </c>
      <c r="T132" s="345">
        <v>2036</v>
      </c>
      <c r="U132" s="345">
        <v>92.35</v>
      </c>
      <c r="V132" s="345">
        <v>1033</v>
      </c>
      <c r="W132" s="345">
        <v>101.96</v>
      </c>
      <c r="X132" s="345">
        <v>70</v>
      </c>
      <c r="Y132" s="345">
        <v>0</v>
      </c>
      <c r="Z132" s="345">
        <v>40</v>
      </c>
      <c r="AA132" s="345">
        <v>3</v>
      </c>
      <c r="AB132" s="345">
        <v>4</v>
      </c>
      <c r="AC132" s="345">
        <v>2</v>
      </c>
      <c r="AD132" s="349">
        <v>7604</v>
      </c>
      <c r="AE132" s="349">
        <v>119</v>
      </c>
      <c r="AF132" s="349">
        <v>94</v>
      </c>
      <c r="AG132" s="349">
        <v>213</v>
      </c>
    </row>
    <row r="133" spans="1:33" x14ac:dyDescent="0.25">
      <c r="A133" s="344" t="s">
        <v>322</v>
      </c>
      <c r="B133" s="350" t="s">
        <v>323</v>
      </c>
      <c r="C133" s="346">
        <v>5132</v>
      </c>
      <c r="D133" s="346">
        <v>0</v>
      </c>
      <c r="E133" s="346">
        <v>298</v>
      </c>
      <c r="F133" s="346">
        <v>713</v>
      </c>
      <c r="G133" s="346">
        <v>191</v>
      </c>
      <c r="H133" s="346">
        <v>6334</v>
      </c>
      <c r="I133" s="345">
        <v>6143</v>
      </c>
      <c r="J133" s="345">
        <v>1</v>
      </c>
      <c r="K133" s="347">
        <v>86.23</v>
      </c>
      <c r="L133" s="347">
        <v>85.63</v>
      </c>
      <c r="M133" s="347">
        <v>7.16</v>
      </c>
      <c r="N133" s="347">
        <v>92.42</v>
      </c>
      <c r="O133" s="348">
        <v>4308</v>
      </c>
      <c r="P133" s="345">
        <v>71.38</v>
      </c>
      <c r="Q133" s="345">
        <v>70.89</v>
      </c>
      <c r="R133" s="345">
        <v>41.54</v>
      </c>
      <c r="S133" s="345">
        <v>112.92</v>
      </c>
      <c r="T133" s="345">
        <v>798</v>
      </c>
      <c r="U133" s="345">
        <v>111.26</v>
      </c>
      <c r="V133" s="345">
        <v>750</v>
      </c>
      <c r="W133" s="345">
        <v>150.9</v>
      </c>
      <c r="X133" s="345">
        <v>119</v>
      </c>
      <c r="Y133" s="345">
        <v>0</v>
      </c>
      <c r="Z133" s="345">
        <v>2</v>
      </c>
      <c r="AA133" s="345">
        <v>1</v>
      </c>
      <c r="AB133" s="345">
        <v>3</v>
      </c>
      <c r="AC133" s="345">
        <v>5</v>
      </c>
      <c r="AD133" s="349">
        <v>5062</v>
      </c>
      <c r="AE133" s="349">
        <v>21</v>
      </c>
      <c r="AF133" s="349">
        <v>45</v>
      </c>
      <c r="AG133" s="349">
        <v>66</v>
      </c>
    </row>
    <row r="134" spans="1:33" x14ac:dyDescent="0.25">
      <c r="A134" s="344" t="s">
        <v>324</v>
      </c>
      <c r="B134" s="350" t="s">
        <v>325</v>
      </c>
      <c r="C134" s="346">
        <v>4434</v>
      </c>
      <c r="D134" s="346">
        <v>0</v>
      </c>
      <c r="E134" s="346">
        <v>232</v>
      </c>
      <c r="F134" s="346">
        <v>1059</v>
      </c>
      <c r="G134" s="346">
        <v>399</v>
      </c>
      <c r="H134" s="346">
        <v>6124</v>
      </c>
      <c r="I134" s="345">
        <v>5725</v>
      </c>
      <c r="J134" s="345">
        <v>20</v>
      </c>
      <c r="K134" s="347">
        <v>104.24</v>
      </c>
      <c r="L134" s="347">
        <v>99.22</v>
      </c>
      <c r="M134" s="347">
        <v>9.9600000000000009</v>
      </c>
      <c r="N134" s="347">
        <v>108.88</v>
      </c>
      <c r="O134" s="348">
        <v>3524</v>
      </c>
      <c r="P134" s="345">
        <v>95</v>
      </c>
      <c r="Q134" s="345">
        <v>86.87</v>
      </c>
      <c r="R134" s="345">
        <v>21.19</v>
      </c>
      <c r="S134" s="345">
        <v>114.37</v>
      </c>
      <c r="T134" s="345">
        <v>1139</v>
      </c>
      <c r="U134" s="345">
        <v>143.08000000000001</v>
      </c>
      <c r="V134" s="345">
        <v>765</v>
      </c>
      <c r="W134" s="345">
        <v>162.5</v>
      </c>
      <c r="X134" s="345">
        <v>14</v>
      </c>
      <c r="Y134" s="345">
        <v>0</v>
      </c>
      <c r="Z134" s="345">
        <v>4</v>
      </c>
      <c r="AA134" s="345">
        <v>1</v>
      </c>
      <c r="AB134" s="345">
        <v>3</v>
      </c>
      <c r="AC134" s="345">
        <v>11</v>
      </c>
      <c r="AD134" s="349">
        <v>4383</v>
      </c>
      <c r="AE134" s="349">
        <v>33</v>
      </c>
      <c r="AF134" s="349">
        <v>8</v>
      </c>
      <c r="AG134" s="349">
        <v>41</v>
      </c>
    </row>
    <row r="135" spans="1:33" x14ac:dyDescent="0.25">
      <c r="A135" s="344" t="s">
        <v>326</v>
      </c>
      <c r="B135" s="350" t="s">
        <v>327</v>
      </c>
      <c r="C135" s="346">
        <v>3662</v>
      </c>
      <c r="D135" s="346">
        <v>354</v>
      </c>
      <c r="E135" s="346">
        <v>208</v>
      </c>
      <c r="F135" s="346">
        <v>497</v>
      </c>
      <c r="G135" s="346">
        <v>824</v>
      </c>
      <c r="H135" s="346">
        <v>5545</v>
      </c>
      <c r="I135" s="345">
        <v>4721</v>
      </c>
      <c r="J135" s="345">
        <v>4</v>
      </c>
      <c r="K135" s="347">
        <v>119.07</v>
      </c>
      <c r="L135" s="347">
        <v>115.21</v>
      </c>
      <c r="M135" s="347">
        <v>10.7</v>
      </c>
      <c r="N135" s="347">
        <v>127.03</v>
      </c>
      <c r="O135" s="348">
        <v>2499</v>
      </c>
      <c r="P135" s="345">
        <v>105.7</v>
      </c>
      <c r="Q135" s="345">
        <v>99.1</v>
      </c>
      <c r="R135" s="345">
        <v>40.299999999999997</v>
      </c>
      <c r="S135" s="345">
        <v>145.09</v>
      </c>
      <c r="T135" s="345">
        <v>616</v>
      </c>
      <c r="U135" s="345">
        <v>176.75</v>
      </c>
      <c r="V135" s="345">
        <v>1004</v>
      </c>
      <c r="W135" s="345">
        <v>218.45</v>
      </c>
      <c r="X135" s="345">
        <v>39</v>
      </c>
      <c r="Y135" s="345">
        <v>2</v>
      </c>
      <c r="Z135" s="345">
        <v>0</v>
      </c>
      <c r="AA135" s="345">
        <v>4</v>
      </c>
      <c r="AB135" s="345">
        <v>30</v>
      </c>
      <c r="AC135" s="345">
        <v>27</v>
      </c>
      <c r="AD135" s="349">
        <v>3605</v>
      </c>
      <c r="AE135" s="349">
        <v>94</v>
      </c>
      <c r="AF135" s="349">
        <v>25</v>
      </c>
      <c r="AG135" s="349">
        <v>119</v>
      </c>
    </row>
    <row r="136" spans="1:33" x14ac:dyDescent="0.25">
      <c r="A136" s="344" t="s">
        <v>328</v>
      </c>
      <c r="B136" s="350" t="s">
        <v>329</v>
      </c>
      <c r="C136" s="346">
        <v>9288</v>
      </c>
      <c r="D136" s="346">
        <v>0</v>
      </c>
      <c r="E136" s="346">
        <v>325</v>
      </c>
      <c r="F136" s="346">
        <v>1632</v>
      </c>
      <c r="G136" s="346">
        <v>848</v>
      </c>
      <c r="H136" s="346">
        <v>12093</v>
      </c>
      <c r="I136" s="345">
        <v>11245</v>
      </c>
      <c r="J136" s="345">
        <v>8</v>
      </c>
      <c r="K136" s="347">
        <v>88.27</v>
      </c>
      <c r="L136" s="347">
        <v>87.22</v>
      </c>
      <c r="M136" s="347">
        <v>4.12</v>
      </c>
      <c r="N136" s="347">
        <v>90.38</v>
      </c>
      <c r="O136" s="348">
        <v>8442</v>
      </c>
      <c r="P136" s="345">
        <v>83.37</v>
      </c>
      <c r="Q136" s="345">
        <v>81.55</v>
      </c>
      <c r="R136" s="345">
        <v>36.57</v>
      </c>
      <c r="S136" s="345">
        <v>111.28</v>
      </c>
      <c r="T136" s="345">
        <v>1883</v>
      </c>
      <c r="U136" s="345">
        <v>104.87</v>
      </c>
      <c r="V136" s="345">
        <v>797</v>
      </c>
      <c r="W136" s="345">
        <v>181.84</v>
      </c>
      <c r="X136" s="345">
        <v>20</v>
      </c>
      <c r="Y136" s="345">
        <v>0</v>
      </c>
      <c r="Z136" s="345">
        <v>62</v>
      </c>
      <c r="AA136" s="345">
        <v>21</v>
      </c>
      <c r="AB136" s="345">
        <v>34</v>
      </c>
      <c r="AC136" s="345">
        <v>7</v>
      </c>
      <c r="AD136" s="349">
        <v>9257</v>
      </c>
      <c r="AE136" s="349">
        <v>59</v>
      </c>
      <c r="AF136" s="349">
        <v>46</v>
      </c>
      <c r="AG136" s="349">
        <v>105</v>
      </c>
    </row>
    <row r="137" spans="1:33" x14ac:dyDescent="0.25">
      <c r="A137" s="344" t="s">
        <v>330</v>
      </c>
      <c r="B137" s="350" t="s">
        <v>331</v>
      </c>
      <c r="C137" s="346">
        <v>6412</v>
      </c>
      <c r="D137" s="346">
        <v>26</v>
      </c>
      <c r="E137" s="346">
        <v>151</v>
      </c>
      <c r="F137" s="346">
        <v>831</v>
      </c>
      <c r="G137" s="346">
        <v>510</v>
      </c>
      <c r="H137" s="346">
        <v>7930</v>
      </c>
      <c r="I137" s="345">
        <v>7420</v>
      </c>
      <c r="J137" s="345">
        <v>0</v>
      </c>
      <c r="K137" s="347">
        <v>118.46</v>
      </c>
      <c r="L137" s="347">
        <v>119.98</v>
      </c>
      <c r="M137" s="347">
        <v>8.3000000000000007</v>
      </c>
      <c r="N137" s="347">
        <v>122.79</v>
      </c>
      <c r="O137" s="348">
        <v>5448</v>
      </c>
      <c r="P137" s="345">
        <v>110.91</v>
      </c>
      <c r="Q137" s="345">
        <v>109.7</v>
      </c>
      <c r="R137" s="345">
        <v>31.06</v>
      </c>
      <c r="S137" s="345">
        <v>140.55000000000001</v>
      </c>
      <c r="T137" s="345">
        <v>946</v>
      </c>
      <c r="U137" s="345">
        <v>175.91</v>
      </c>
      <c r="V137" s="345">
        <v>787</v>
      </c>
      <c r="W137" s="345">
        <v>208.35</v>
      </c>
      <c r="X137" s="345">
        <v>4</v>
      </c>
      <c r="Y137" s="345">
        <v>0</v>
      </c>
      <c r="Z137" s="345">
        <v>3</v>
      </c>
      <c r="AA137" s="345">
        <v>11</v>
      </c>
      <c r="AB137" s="345">
        <v>24</v>
      </c>
      <c r="AC137" s="345">
        <v>5</v>
      </c>
      <c r="AD137" s="349">
        <v>6243</v>
      </c>
      <c r="AE137" s="349">
        <v>43</v>
      </c>
      <c r="AF137" s="349">
        <v>50</v>
      </c>
      <c r="AG137" s="349">
        <v>93</v>
      </c>
    </row>
    <row r="138" spans="1:33" x14ac:dyDescent="0.25">
      <c r="A138" s="344" t="s">
        <v>332</v>
      </c>
      <c r="B138" s="350" t="s">
        <v>333</v>
      </c>
      <c r="C138" s="346">
        <v>980</v>
      </c>
      <c r="D138" s="346">
        <v>1</v>
      </c>
      <c r="E138" s="346">
        <v>67</v>
      </c>
      <c r="F138" s="346">
        <v>337</v>
      </c>
      <c r="G138" s="346">
        <v>197</v>
      </c>
      <c r="H138" s="346">
        <v>1582</v>
      </c>
      <c r="I138" s="345">
        <v>1385</v>
      </c>
      <c r="J138" s="345">
        <v>0</v>
      </c>
      <c r="K138" s="347">
        <v>94.79</v>
      </c>
      <c r="L138" s="347">
        <v>91.99</v>
      </c>
      <c r="M138" s="347">
        <v>7.03</v>
      </c>
      <c r="N138" s="347">
        <v>98.43</v>
      </c>
      <c r="O138" s="348">
        <v>776</v>
      </c>
      <c r="P138" s="345">
        <v>89.18</v>
      </c>
      <c r="Q138" s="345">
        <v>78.849999999999994</v>
      </c>
      <c r="R138" s="345">
        <v>44.6</v>
      </c>
      <c r="S138" s="345">
        <v>133.31</v>
      </c>
      <c r="T138" s="345">
        <v>383</v>
      </c>
      <c r="U138" s="345">
        <v>107.46</v>
      </c>
      <c r="V138" s="345">
        <v>187</v>
      </c>
      <c r="W138" s="345">
        <v>0</v>
      </c>
      <c r="X138" s="345">
        <v>0</v>
      </c>
      <c r="Y138" s="345">
        <v>0</v>
      </c>
      <c r="Z138" s="345">
        <v>2</v>
      </c>
      <c r="AA138" s="345">
        <v>0</v>
      </c>
      <c r="AB138" s="345">
        <v>9</v>
      </c>
      <c r="AC138" s="345">
        <v>6</v>
      </c>
      <c r="AD138" s="349">
        <v>962</v>
      </c>
      <c r="AE138" s="349">
        <v>9</v>
      </c>
      <c r="AF138" s="349">
        <v>4</v>
      </c>
      <c r="AG138" s="349">
        <v>13</v>
      </c>
    </row>
    <row r="139" spans="1:33" x14ac:dyDescent="0.25">
      <c r="A139" s="344" t="s">
        <v>334</v>
      </c>
      <c r="B139" s="350" t="s">
        <v>335</v>
      </c>
      <c r="C139" s="346">
        <v>6523</v>
      </c>
      <c r="D139" s="346">
        <v>0</v>
      </c>
      <c r="E139" s="346">
        <v>565</v>
      </c>
      <c r="F139" s="346">
        <v>530</v>
      </c>
      <c r="G139" s="346">
        <v>1255</v>
      </c>
      <c r="H139" s="346">
        <v>8873</v>
      </c>
      <c r="I139" s="345">
        <v>7618</v>
      </c>
      <c r="J139" s="345">
        <v>62</v>
      </c>
      <c r="K139" s="347">
        <v>121.89</v>
      </c>
      <c r="L139" s="347">
        <v>121.07</v>
      </c>
      <c r="M139" s="347">
        <v>10.76</v>
      </c>
      <c r="N139" s="347">
        <v>129.27000000000001</v>
      </c>
      <c r="O139" s="348">
        <v>5400</v>
      </c>
      <c r="P139" s="345">
        <v>101.4</v>
      </c>
      <c r="Q139" s="345">
        <v>99.33</v>
      </c>
      <c r="R139" s="345">
        <v>40.880000000000003</v>
      </c>
      <c r="S139" s="345">
        <v>134.41999999999999</v>
      </c>
      <c r="T139" s="345">
        <v>832</v>
      </c>
      <c r="U139" s="345">
        <v>187.21</v>
      </c>
      <c r="V139" s="345">
        <v>874</v>
      </c>
      <c r="W139" s="345">
        <v>161.6</v>
      </c>
      <c r="X139" s="345">
        <v>51</v>
      </c>
      <c r="Y139" s="345">
        <v>0</v>
      </c>
      <c r="Z139" s="345">
        <v>2</v>
      </c>
      <c r="AA139" s="345">
        <v>2</v>
      </c>
      <c r="AB139" s="345">
        <v>40</v>
      </c>
      <c r="AC139" s="345">
        <v>33</v>
      </c>
      <c r="AD139" s="349">
        <v>6391</v>
      </c>
      <c r="AE139" s="349">
        <v>23</v>
      </c>
      <c r="AF139" s="349">
        <v>16</v>
      </c>
      <c r="AG139" s="349">
        <v>39</v>
      </c>
    </row>
    <row r="140" spans="1:33" x14ac:dyDescent="0.25">
      <c r="A140" s="344" t="s">
        <v>336</v>
      </c>
      <c r="B140" s="350" t="s">
        <v>337</v>
      </c>
      <c r="C140" s="346">
        <v>1907</v>
      </c>
      <c r="D140" s="346">
        <v>1</v>
      </c>
      <c r="E140" s="346">
        <v>124</v>
      </c>
      <c r="F140" s="346">
        <v>125</v>
      </c>
      <c r="G140" s="346">
        <v>369</v>
      </c>
      <c r="H140" s="346">
        <v>2526</v>
      </c>
      <c r="I140" s="345">
        <v>2157</v>
      </c>
      <c r="J140" s="345">
        <v>0</v>
      </c>
      <c r="K140" s="347">
        <v>89.59</v>
      </c>
      <c r="L140" s="347">
        <v>88.52</v>
      </c>
      <c r="M140" s="347">
        <v>5.85</v>
      </c>
      <c r="N140" s="347">
        <v>92.75</v>
      </c>
      <c r="O140" s="348">
        <v>1415</v>
      </c>
      <c r="P140" s="345">
        <v>99.37</v>
      </c>
      <c r="Q140" s="345">
        <v>84.79</v>
      </c>
      <c r="R140" s="345">
        <v>57.31</v>
      </c>
      <c r="S140" s="345">
        <v>156.68</v>
      </c>
      <c r="T140" s="345">
        <v>219</v>
      </c>
      <c r="U140" s="345">
        <v>104.97</v>
      </c>
      <c r="V140" s="345">
        <v>461</v>
      </c>
      <c r="W140" s="345">
        <v>0</v>
      </c>
      <c r="X140" s="345">
        <v>0</v>
      </c>
      <c r="Y140" s="345">
        <v>0</v>
      </c>
      <c r="Z140" s="345">
        <v>24</v>
      </c>
      <c r="AA140" s="345">
        <v>14</v>
      </c>
      <c r="AB140" s="345">
        <v>20</v>
      </c>
      <c r="AC140" s="345">
        <v>12</v>
      </c>
      <c r="AD140" s="349">
        <v>1907</v>
      </c>
      <c r="AE140" s="349">
        <v>40</v>
      </c>
      <c r="AF140" s="349">
        <v>9</v>
      </c>
      <c r="AG140" s="349">
        <v>49</v>
      </c>
    </row>
    <row r="141" spans="1:33" x14ac:dyDescent="0.25">
      <c r="A141" s="344" t="s">
        <v>338</v>
      </c>
      <c r="B141" s="350" t="s">
        <v>339</v>
      </c>
      <c r="C141" s="346">
        <v>6001</v>
      </c>
      <c r="D141" s="346">
        <v>0</v>
      </c>
      <c r="E141" s="346">
        <v>144</v>
      </c>
      <c r="F141" s="346">
        <v>1121</v>
      </c>
      <c r="G141" s="346">
        <v>958</v>
      </c>
      <c r="H141" s="346">
        <v>8224</v>
      </c>
      <c r="I141" s="345">
        <v>7266</v>
      </c>
      <c r="J141" s="345">
        <v>9</v>
      </c>
      <c r="K141" s="347">
        <v>109.73</v>
      </c>
      <c r="L141" s="347">
        <v>108.48</v>
      </c>
      <c r="M141" s="347">
        <v>4.4400000000000004</v>
      </c>
      <c r="N141" s="347">
        <v>112.44</v>
      </c>
      <c r="O141" s="348">
        <v>4648</v>
      </c>
      <c r="P141" s="345">
        <v>94.93</v>
      </c>
      <c r="Q141" s="345">
        <v>93.61</v>
      </c>
      <c r="R141" s="345">
        <v>27.96</v>
      </c>
      <c r="S141" s="345">
        <v>121.83</v>
      </c>
      <c r="T141" s="345">
        <v>1009</v>
      </c>
      <c r="U141" s="345">
        <v>164.89</v>
      </c>
      <c r="V141" s="345">
        <v>1300</v>
      </c>
      <c r="W141" s="345">
        <v>186.17</v>
      </c>
      <c r="X141" s="345">
        <v>163</v>
      </c>
      <c r="Y141" s="345">
        <v>31</v>
      </c>
      <c r="Z141" s="345">
        <v>6</v>
      </c>
      <c r="AA141" s="345">
        <v>10</v>
      </c>
      <c r="AB141" s="345">
        <v>175</v>
      </c>
      <c r="AC141" s="345">
        <v>23</v>
      </c>
      <c r="AD141" s="349">
        <v>5968</v>
      </c>
      <c r="AE141" s="349">
        <v>49</v>
      </c>
      <c r="AF141" s="349">
        <v>28</v>
      </c>
      <c r="AG141" s="349">
        <v>77</v>
      </c>
    </row>
    <row r="142" spans="1:33" x14ac:dyDescent="0.25">
      <c r="A142" s="344" t="s">
        <v>340</v>
      </c>
      <c r="B142" s="350" t="s">
        <v>341</v>
      </c>
      <c r="C142" s="346">
        <v>7867</v>
      </c>
      <c r="D142" s="346">
        <v>23</v>
      </c>
      <c r="E142" s="346">
        <v>513</v>
      </c>
      <c r="F142" s="346">
        <v>164</v>
      </c>
      <c r="G142" s="346">
        <v>2164</v>
      </c>
      <c r="H142" s="346">
        <v>10731</v>
      </c>
      <c r="I142" s="345">
        <v>8567</v>
      </c>
      <c r="J142" s="345">
        <v>32</v>
      </c>
      <c r="K142" s="347">
        <v>122.25</v>
      </c>
      <c r="L142" s="347">
        <v>122.76</v>
      </c>
      <c r="M142" s="347">
        <v>10.1</v>
      </c>
      <c r="N142" s="347">
        <v>130.18</v>
      </c>
      <c r="O142" s="348">
        <v>5835</v>
      </c>
      <c r="P142" s="345">
        <v>118.62</v>
      </c>
      <c r="Q142" s="345">
        <v>107.95</v>
      </c>
      <c r="R142" s="345">
        <v>93.4</v>
      </c>
      <c r="S142" s="345">
        <v>192.18</v>
      </c>
      <c r="T142" s="345">
        <v>339</v>
      </c>
      <c r="U142" s="345">
        <v>196.49</v>
      </c>
      <c r="V142" s="345">
        <v>1114</v>
      </c>
      <c r="W142" s="345">
        <v>232.56</v>
      </c>
      <c r="X142" s="345">
        <v>110</v>
      </c>
      <c r="Y142" s="345">
        <v>0</v>
      </c>
      <c r="Z142" s="345">
        <v>0</v>
      </c>
      <c r="AA142" s="345">
        <v>3</v>
      </c>
      <c r="AB142" s="345">
        <v>199</v>
      </c>
      <c r="AC142" s="345">
        <v>142</v>
      </c>
      <c r="AD142" s="349">
        <v>7290</v>
      </c>
      <c r="AE142" s="349">
        <v>23</v>
      </c>
      <c r="AF142" s="349">
        <v>67</v>
      </c>
      <c r="AG142" s="349">
        <v>90</v>
      </c>
    </row>
    <row r="143" spans="1:33" x14ac:dyDescent="0.25">
      <c r="A143" s="344" t="s">
        <v>342</v>
      </c>
      <c r="B143" s="350" t="s">
        <v>343</v>
      </c>
      <c r="C143" s="346">
        <v>8698</v>
      </c>
      <c r="D143" s="346">
        <v>19</v>
      </c>
      <c r="E143" s="346">
        <v>373</v>
      </c>
      <c r="F143" s="346">
        <v>1063</v>
      </c>
      <c r="G143" s="346">
        <v>868</v>
      </c>
      <c r="H143" s="346">
        <v>11021</v>
      </c>
      <c r="I143" s="345">
        <v>10153</v>
      </c>
      <c r="J143" s="345">
        <v>3</v>
      </c>
      <c r="K143" s="347">
        <v>93.75</v>
      </c>
      <c r="L143" s="347">
        <v>93.96</v>
      </c>
      <c r="M143" s="347">
        <v>4.6100000000000003</v>
      </c>
      <c r="N143" s="347">
        <v>95.83</v>
      </c>
      <c r="O143" s="348">
        <v>7822</v>
      </c>
      <c r="P143" s="345">
        <v>91.13</v>
      </c>
      <c r="Q143" s="345">
        <v>85.87</v>
      </c>
      <c r="R143" s="345">
        <v>46.36</v>
      </c>
      <c r="S143" s="345">
        <v>136.74</v>
      </c>
      <c r="T143" s="345">
        <v>1299</v>
      </c>
      <c r="U143" s="345">
        <v>130.71</v>
      </c>
      <c r="V143" s="345">
        <v>707</v>
      </c>
      <c r="W143" s="345">
        <v>194.16</v>
      </c>
      <c r="X143" s="345">
        <v>55</v>
      </c>
      <c r="Y143" s="345">
        <v>1</v>
      </c>
      <c r="Z143" s="345">
        <v>11</v>
      </c>
      <c r="AA143" s="345">
        <v>7</v>
      </c>
      <c r="AB143" s="345">
        <v>75</v>
      </c>
      <c r="AC143" s="345">
        <v>13</v>
      </c>
      <c r="AD143" s="349">
        <v>8698</v>
      </c>
      <c r="AE143" s="349">
        <v>64</v>
      </c>
      <c r="AF143" s="349">
        <v>57</v>
      </c>
      <c r="AG143" s="349">
        <v>121</v>
      </c>
    </row>
    <row r="144" spans="1:33" x14ac:dyDescent="0.25">
      <c r="A144" s="344" t="s">
        <v>344</v>
      </c>
      <c r="B144" s="350" t="s">
        <v>345</v>
      </c>
      <c r="C144" s="346">
        <v>3032</v>
      </c>
      <c r="D144" s="346">
        <v>0</v>
      </c>
      <c r="E144" s="346">
        <v>290</v>
      </c>
      <c r="F144" s="346">
        <v>1562</v>
      </c>
      <c r="G144" s="346">
        <v>59</v>
      </c>
      <c r="H144" s="346">
        <v>4943</v>
      </c>
      <c r="I144" s="345">
        <v>4884</v>
      </c>
      <c r="J144" s="345">
        <v>8</v>
      </c>
      <c r="K144" s="347">
        <v>75.760000000000005</v>
      </c>
      <c r="L144" s="347">
        <v>77.28</v>
      </c>
      <c r="M144" s="347">
        <v>2.2999999999999998</v>
      </c>
      <c r="N144" s="347">
        <v>76.98</v>
      </c>
      <c r="O144" s="348">
        <v>2922</v>
      </c>
      <c r="P144" s="345">
        <v>76.02</v>
      </c>
      <c r="Q144" s="345">
        <v>71.75</v>
      </c>
      <c r="R144" s="345">
        <v>22.93</v>
      </c>
      <c r="S144" s="345">
        <v>98.4</v>
      </c>
      <c r="T144" s="345">
        <v>1758</v>
      </c>
      <c r="U144" s="345">
        <v>89.82</v>
      </c>
      <c r="V144" s="345">
        <v>110</v>
      </c>
      <c r="W144" s="345">
        <v>245.64</v>
      </c>
      <c r="X144" s="345">
        <v>14</v>
      </c>
      <c r="Y144" s="345">
        <v>0</v>
      </c>
      <c r="Z144" s="345">
        <v>29</v>
      </c>
      <c r="AA144" s="345">
        <v>2</v>
      </c>
      <c r="AB144" s="345">
        <v>0</v>
      </c>
      <c r="AC144" s="345">
        <v>0</v>
      </c>
      <c r="AD144" s="349">
        <v>3032</v>
      </c>
      <c r="AE144" s="349">
        <v>26</v>
      </c>
      <c r="AF144" s="349">
        <v>3</v>
      </c>
      <c r="AG144" s="349">
        <v>29</v>
      </c>
    </row>
    <row r="145" spans="1:33" x14ac:dyDescent="0.25">
      <c r="A145" s="344" t="s">
        <v>346</v>
      </c>
      <c r="B145" s="350" t="s">
        <v>347</v>
      </c>
      <c r="C145" s="346">
        <v>3739</v>
      </c>
      <c r="D145" s="346">
        <v>0</v>
      </c>
      <c r="E145" s="346">
        <v>573</v>
      </c>
      <c r="F145" s="346">
        <v>711</v>
      </c>
      <c r="G145" s="346">
        <v>300</v>
      </c>
      <c r="H145" s="346">
        <v>5323</v>
      </c>
      <c r="I145" s="345">
        <v>5023</v>
      </c>
      <c r="J145" s="345">
        <v>0</v>
      </c>
      <c r="K145" s="347">
        <v>87.82</v>
      </c>
      <c r="L145" s="347">
        <v>88.06</v>
      </c>
      <c r="M145" s="347">
        <v>6.4</v>
      </c>
      <c r="N145" s="347">
        <v>92.67</v>
      </c>
      <c r="O145" s="348">
        <v>3011</v>
      </c>
      <c r="P145" s="345">
        <v>82.03</v>
      </c>
      <c r="Q145" s="345">
        <v>74.180000000000007</v>
      </c>
      <c r="R145" s="345">
        <v>59.17</v>
      </c>
      <c r="S145" s="345">
        <v>140.41</v>
      </c>
      <c r="T145" s="345">
        <v>1044</v>
      </c>
      <c r="U145" s="345">
        <v>98.15</v>
      </c>
      <c r="V145" s="345">
        <v>664</v>
      </c>
      <c r="W145" s="345">
        <v>100.03</v>
      </c>
      <c r="X145" s="345">
        <v>2</v>
      </c>
      <c r="Y145" s="345">
        <v>22</v>
      </c>
      <c r="Z145" s="345">
        <v>0</v>
      </c>
      <c r="AA145" s="345">
        <v>4</v>
      </c>
      <c r="AB145" s="345">
        <v>4</v>
      </c>
      <c r="AC145" s="345">
        <v>5</v>
      </c>
      <c r="AD145" s="349">
        <v>3625</v>
      </c>
      <c r="AE145" s="349">
        <v>19</v>
      </c>
      <c r="AF145" s="349">
        <v>13</v>
      </c>
      <c r="AG145" s="349">
        <v>32</v>
      </c>
    </row>
    <row r="146" spans="1:33" x14ac:dyDescent="0.25">
      <c r="A146" s="344" t="s">
        <v>348</v>
      </c>
      <c r="B146" s="350" t="s">
        <v>349</v>
      </c>
      <c r="C146" s="346">
        <v>6297</v>
      </c>
      <c r="D146" s="346">
        <v>0</v>
      </c>
      <c r="E146" s="346">
        <v>323</v>
      </c>
      <c r="F146" s="346">
        <v>638</v>
      </c>
      <c r="G146" s="346">
        <v>285</v>
      </c>
      <c r="H146" s="346">
        <v>7543</v>
      </c>
      <c r="I146" s="345">
        <v>7258</v>
      </c>
      <c r="J146" s="345">
        <v>80</v>
      </c>
      <c r="K146" s="347">
        <v>87.16</v>
      </c>
      <c r="L146" s="347">
        <v>85.33</v>
      </c>
      <c r="M146" s="347">
        <v>5.0999999999999996</v>
      </c>
      <c r="N146" s="347">
        <v>90.31</v>
      </c>
      <c r="O146" s="348">
        <v>5464</v>
      </c>
      <c r="P146" s="345">
        <v>76.760000000000005</v>
      </c>
      <c r="Q146" s="345">
        <v>76.510000000000005</v>
      </c>
      <c r="R146" s="345">
        <v>38.72</v>
      </c>
      <c r="S146" s="345">
        <v>113.45</v>
      </c>
      <c r="T146" s="345">
        <v>918</v>
      </c>
      <c r="U146" s="345">
        <v>120.29</v>
      </c>
      <c r="V146" s="345">
        <v>306</v>
      </c>
      <c r="W146" s="345">
        <v>94.74</v>
      </c>
      <c r="X146" s="345">
        <v>14</v>
      </c>
      <c r="Y146" s="345">
        <v>1</v>
      </c>
      <c r="Z146" s="345">
        <v>2</v>
      </c>
      <c r="AA146" s="345">
        <v>8</v>
      </c>
      <c r="AB146" s="345">
        <v>0</v>
      </c>
      <c r="AC146" s="345">
        <v>8</v>
      </c>
      <c r="AD146" s="349">
        <v>5848</v>
      </c>
      <c r="AE146" s="349">
        <v>12</v>
      </c>
      <c r="AF146" s="349">
        <v>17</v>
      </c>
      <c r="AG146" s="349">
        <v>29</v>
      </c>
    </row>
    <row r="147" spans="1:33" x14ac:dyDescent="0.25">
      <c r="A147" s="344" t="s">
        <v>350</v>
      </c>
      <c r="B147" s="350" t="s">
        <v>351</v>
      </c>
      <c r="C147" s="346">
        <v>54</v>
      </c>
      <c r="D147" s="346">
        <v>0</v>
      </c>
      <c r="E147" s="346">
        <v>0</v>
      </c>
      <c r="F147" s="346">
        <v>7</v>
      </c>
      <c r="G147" s="346">
        <v>0</v>
      </c>
      <c r="H147" s="346">
        <v>61</v>
      </c>
      <c r="I147" s="345">
        <v>61</v>
      </c>
      <c r="J147" s="345">
        <v>0</v>
      </c>
      <c r="K147" s="347">
        <v>98.41</v>
      </c>
      <c r="L147" s="347">
        <v>102.17</v>
      </c>
      <c r="M147" s="347">
        <v>2.8</v>
      </c>
      <c r="N147" s="347">
        <v>99.55</v>
      </c>
      <c r="O147" s="348">
        <v>27</v>
      </c>
      <c r="P147" s="345">
        <v>94.7</v>
      </c>
      <c r="Q147" s="345">
        <v>94.7</v>
      </c>
      <c r="R147" s="345">
        <v>19.010000000000002</v>
      </c>
      <c r="S147" s="345">
        <v>113.71</v>
      </c>
      <c r="T147" s="345">
        <v>7</v>
      </c>
      <c r="U147" s="345">
        <v>113.93</v>
      </c>
      <c r="V147" s="345">
        <v>2</v>
      </c>
      <c r="W147" s="345">
        <v>0</v>
      </c>
      <c r="X147" s="345">
        <v>0</v>
      </c>
      <c r="Y147" s="345">
        <v>0</v>
      </c>
      <c r="Z147" s="345">
        <v>0</v>
      </c>
      <c r="AA147" s="345">
        <v>0</v>
      </c>
      <c r="AB147" s="345">
        <v>0</v>
      </c>
      <c r="AC147" s="345">
        <v>0</v>
      </c>
      <c r="AD147" s="349">
        <v>27</v>
      </c>
      <c r="AE147" s="349">
        <v>0</v>
      </c>
      <c r="AF147" s="349">
        <v>0</v>
      </c>
      <c r="AG147" s="349">
        <v>0</v>
      </c>
    </row>
    <row r="148" spans="1:33" x14ac:dyDescent="0.25">
      <c r="A148" s="344" t="s">
        <v>352</v>
      </c>
      <c r="B148" s="350" t="s">
        <v>353</v>
      </c>
      <c r="C148" s="346">
        <v>14056</v>
      </c>
      <c r="D148" s="346">
        <v>339</v>
      </c>
      <c r="E148" s="346">
        <v>1137</v>
      </c>
      <c r="F148" s="346">
        <v>740</v>
      </c>
      <c r="G148" s="346">
        <v>1352</v>
      </c>
      <c r="H148" s="346">
        <v>17624</v>
      </c>
      <c r="I148" s="345">
        <v>16272</v>
      </c>
      <c r="J148" s="345">
        <v>99</v>
      </c>
      <c r="K148" s="347">
        <v>125.63</v>
      </c>
      <c r="L148" s="347">
        <v>133.16999999999999</v>
      </c>
      <c r="M148" s="347">
        <v>13.96</v>
      </c>
      <c r="N148" s="347">
        <v>136.61000000000001</v>
      </c>
      <c r="O148" s="348">
        <v>12264</v>
      </c>
      <c r="P148" s="345">
        <v>112.86</v>
      </c>
      <c r="Q148" s="345">
        <v>117.3</v>
      </c>
      <c r="R148" s="345">
        <v>70.489999999999995</v>
      </c>
      <c r="S148" s="345">
        <v>178.18</v>
      </c>
      <c r="T148" s="345">
        <v>1566</v>
      </c>
      <c r="U148" s="345">
        <v>185.06</v>
      </c>
      <c r="V148" s="345">
        <v>532</v>
      </c>
      <c r="W148" s="345">
        <v>177.92</v>
      </c>
      <c r="X148" s="345">
        <v>2</v>
      </c>
      <c r="Y148" s="345">
        <v>4</v>
      </c>
      <c r="Z148" s="345">
        <v>0</v>
      </c>
      <c r="AA148" s="345">
        <v>13</v>
      </c>
      <c r="AB148" s="345">
        <v>3</v>
      </c>
      <c r="AC148" s="345">
        <v>50</v>
      </c>
      <c r="AD148" s="349">
        <v>13045</v>
      </c>
      <c r="AE148" s="349">
        <v>103</v>
      </c>
      <c r="AF148" s="349">
        <v>115</v>
      </c>
      <c r="AG148" s="349">
        <v>218</v>
      </c>
    </row>
    <row r="149" spans="1:33" x14ac:dyDescent="0.25">
      <c r="A149" s="344" t="s">
        <v>354</v>
      </c>
      <c r="B149" s="350" t="s">
        <v>355</v>
      </c>
      <c r="C149" s="346">
        <v>10907</v>
      </c>
      <c r="D149" s="346">
        <v>142</v>
      </c>
      <c r="E149" s="346">
        <v>1034</v>
      </c>
      <c r="F149" s="346">
        <v>911</v>
      </c>
      <c r="G149" s="346">
        <v>570</v>
      </c>
      <c r="H149" s="346">
        <v>13564</v>
      </c>
      <c r="I149" s="345">
        <v>12994</v>
      </c>
      <c r="J149" s="345">
        <v>85</v>
      </c>
      <c r="K149" s="347">
        <v>125.09</v>
      </c>
      <c r="L149" s="347">
        <v>145.77000000000001</v>
      </c>
      <c r="M149" s="347">
        <v>12.61</v>
      </c>
      <c r="N149" s="347">
        <v>133.72</v>
      </c>
      <c r="O149" s="348">
        <v>9456</v>
      </c>
      <c r="P149" s="345">
        <v>117.18</v>
      </c>
      <c r="Q149" s="345">
        <v>122.15</v>
      </c>
      <c r="R149" s="345">
        <v>51.66</v>
      </c>
      <c r="S149" s="345">
        <v>154.18</v>
      </c>
      <c r="T149" s="345">
        <v>1532</v>
      </c>
      <c r="U149" s="345">
        <v>207.82</v>
      </c>
      <c r="V149" s="345">
        <v>619</v>
      </c>
      <c r="W149" s="345">
        <v>182.54</v>
      </c>
      <c r="X149" s="345">
        <v>32</v>
      </c>
      <c r="Y149" s="345">
        <v>0</v>
      </c>
      <c r="Z149" s="345">
        <v>0</v>
      </c>
      <c r="AA149" s="345">
        <v>13</v>
      </c>
      <c r="AB149" s="345">
        <v>0</v>
      </c>
      <c r="AC149" s="345">
        <v>19</v>
      </c>
      <c r="AD149" s="349">
        <v>10091</v>
      </c>
      <c r="AE149" s="349">
        <v>59</v>
      </c>
      <c r="AF149" s="349">
        <v>249</v>
      </c>
      <c r="AG149" s="349">
        <v>308</v>
      </c>
    </row>
    <row r="150" spans="1:33" x14ac:dyDescent="0.25">
      <c r="A150" s="344" t="s">
        <v>356</v>
      </c>
      <c r="B150" s="350" t="s">
        <v>357</v>
      </c>
      <c r="C150" s="346">
        <v>8487</v>
      </c>
      <c r="D150" s="346">
        <v>0</v>
      </c>
      <c r="E150" s="346">
        <v>277</v>
      </c>
      <c r="F150" s="346">
        <v>940</v>
      </c>
      <c r="G150" s="346">
        <v>226</v>
      </c>
      <c r="H150" s="346">
        <v>9930</v>
      </c>
      <c r="I150" s="345">
        <v>9704</v>
      </c>
      <c r="J150" s="345">
        <v>256</v>
      </c>
      <c r="K150" s="347">
        <v>82.31</v>
      </c>
      <c r="L150" s="347">
        <v>82.52</v>
      </c>
      <c r="M150" s="347">
        <v>4.3</v>
      </c>
      <c r="N150" s="347">
        <v>83.8</v>
      </c>
      <c r="O150" s="348">
        <v>7766</v>
      </c>
      <c r="P150" s="345">
        <v>85.01</v>
      </c>
      <c r="Q150" s="345">
        <v>78.459999999999994</v>
      </c>
      <c r="R150" s="345">
        <v>27.68</v>
      </c>
      <c r="S150" s="345">
        <v>110.84</v>
      </c>
      <c r="T150" s="345">
        <v>1165</v>
      </c>
      <c r="U150" s="345">
        <v>102.49</v>
      </c>
      <c r="V150" s="345">
        <v>676</v>
      </c>
      <c r="W150" s="345">
        <v>93.98</v>
      </c>
      <c r="X150" s="345">
        <v>10</v>
      </c>
      <c r="Y150" s="345">
        <v>38</v>
      </c>
      <c r="Z150" s="345">
        <v>15</v>
      </c>
      <c r="AA150" s="345">
        <v>6</v>
      </c>
      <c r="AB150" s="345">
        <v>12</v>
      </c>
      <c r="AC150" s="345">
        <v>8</v>
      </c>
      <c r="AD150" s="349">
        <v>8472</v>
      </c>
      <c r="AE150" s="349">
        <v>26</v>
      </c>
      <c r="AF150" s="349">
        <v>78</v>
      </c>
      <c r="AG150" s="349">
        <v>104</v>
      </c>
    </row>
    <row r="151" spans="1:33" x14ac:dyDescent="0.25">
      <c r="A151" s="344" t="s">
        <v>358</v>
      </c>
      <c r="B151" s="350" t="s">
        <v>359</v>
      </c>
      <c r="C151" s="346">
        <v>7324</v>
      </c>
      <c r="D151" s="346">
        <v>0</v>
      </c>
      <c r="E151" s="346">
        <v>871</v>
      </c>
      <c r="F151" s="346">
        <v>1161</v>
      </c>
      <c r="G151" s="346">
        <v>335</v>
      </c>
      <c r="H151" s="346">
        <v>9691</v>
      </c>
      <c r="I151" s="345">
        <v>9356</v>
      </c>
      <c r="J151" s="345">
        <v>4</v>
      </c>
      <c r="K151" s="347">
        <v>80.930000000000007</v>
      </c>
      <c r="L151" s="347">
        <v>79.77</v>
      </c>
      <c r="M151" s="347">
        <v>7.04</v>
      </c>
      <c r="N151" s="347">
        <v>86.51</v>
      </c>
      <c r="O151" s="348">
        <v>6177</v>
      </c>
      <c r="P151" s="345">
        <v>78.099999999999994</v>
      </c>
      <c r="Q151" s="345">
        <v>76.08</v>
      </c>
      <c r="R151" s="345">
        <v>51.76</v>
      </c>
      <c r="S151" s="345">
        <v>128.24</v>
      </c>
      <c r="T151" s="345">
        <v>1536</v>
      </c>
      <c r="U151" s="345">
        <v>94.43</v>
      </c>
      <c r="V151" s="345">
        <v>939</v>
      </c>
      <c r="W151" s="345">
        <v>231.92</v>
      </c>
      <c r="X151" s="345">
        <v>30</v>
      </c>
      <c r="Y151" s="345">
        <v>0</v>
      </c>
      <c r="Z151" s="345">
        <v>5</v>
      </c>
      <c r="AA151" s="345">
        <v>8</v>
      </c>
      <c r="AB151" s="345">
        <v>17</v>
      </c>
      <c r="AC151" s="345">
        <v>2</v>
      </c>
      <c r="AD151" s="349">
        <v>7103</v>
      </c>
      <c r="AE151" s="349">
        <v>68</v>
      </c>
      <c r="AF151" s="349">
        <v>40</v>
      </c>
      <c r="AG151" s="349">
        <v>108</v>
      </c>
    </row>
    <row r="152" spans="1:33" x14ac:dyDescent="0.25">
      <c r="A152" s="344" t="s">
        <v>360</v>
      </c>
      <c r="B152" s="350" t="s">
        <v>361</v>
      </c>
      <c r="C152" s="346">
        <v>2167</v>
      </c>
      <c r="D152" s="346">
        <v>88</v>
      </c>
      <c r="E152" s="346">
        <v>294</v>
      </c>
      <c r="F152" s="346">
        <v>218</v>
      </c>
      <c r="G152" s="346">
        <v>369</v>
      </c>
      <c r="H152" s="346">
        <v>3136</v>
      </c>
      <c r="I152" s="345">
        <v>2767</v>
      </c>
      <c r="J152" s="345">
        <v>14</v>
      </c>
      <c r="K152" s="347">
        <v>127</v>
      </c>
      <c r="L152" s="347">
        <v>128.53</v>
      </c>
      <c r="M152" s="347">
        <v>10.18</v>
      </c>
      <c r="N152" s="347">
        <v>135.81</v>
      </c>
      <c r="O152" s="348">
        <v>1561</v>
      </c>
      <c r="P152" s="345">
        <v>126.1</v>
      </c>
      <c r="Q152" s="345">
        <v>105.09</v>
      </c>
      <c r="R152" s="345">
        <v>41.99</v>
      </c>
      <c r="S152" s="345">
        <v>168.09</v>
      </c>
      <c r="T152" s="345">
        <v>323</v>
      </c>
      <c r="U152" s="345">
        <v>217.66</v>
      </c>
      <c r="V152" s="345">
        <v>335</v>
      </c>
      <c r="W152" s="345">
        <v>0</v>
      </c>
      <c r="X152" s="345">
        <v>0</v>
      </c>
      <c r="Y152" s="345">
        <v>0</v>
      </c>
      <c r="Z152" s="345">
        <v>1</v>
      </c>
      <c r="AA152" s="345">
        <v>0</v>
      </c>
      <c r="AB152" s="345">
        <v>28</v>
      </c>
      <c r="AC152" s="345">
        <v>10</v>
      </c>
      <c r="AD152" s="349">
        <v>1900</v>
      </c>
      <c r="AE152" s="349">
        <v>21</v>
      </c>
      <c r="AF152" s="349">
        <v>7</v>
      </c>
      <c r="AG152" s="349">
        <v>28</v>
      </c>
    </row>
    <row r="153" spans="1:33" x14ac:dyDescent="0.25">
      <c r="A153" s="344" t="s">
        <v>362</v>
      </c>
      <c r="B153" s="350" t="s">
        <v>363</v>
      </c>
      <c r="C153" s="346">
        <v>4251</v>
      </c>
      <c r="D153" s="346">
        <v>3</v>
      </c>
      <c r="E153" s="346">
        <v>435</v>
      </c>
      <c r="F153" s="346">
        <v>1304</v>
      </c>
      <c r="G153" s="346">
        <v>368</v>
      </c>
      <c r="H153" s="346">
        <v>6361</v>
      </c>
      <c r="I153" s="345">
        <v>5993</v>
      </c>
      <c r="J153" s="345">
        <v>6</v>
      </c>
      <c r="K153" s="347">
        <v>84.02</v>
      </c>
      <c r="L153" s="347">
        <v>81.489999999999995</v>
      </c>
      <c r="M153" s="347">
        <v>4.6100000000000003</v>
      </c>
      <c r="N153" s="347">
        <v>87.49</v>
      </c>
      <c r="O153" s="348">
        <v>3534</v>
      </c>
      <c r="P153" s="345">
        <v>79.14</v>
      </c>
      <c r="Q153" s="345">
        <v>76.14</v>
      </c>
      <c r="R153" s="345">
        <v>37.56</v>
      </c>
      <c r="S153" s="345">
        <v>116.08</v>
      </c>
      <c r="T153" s="345">
        <v>1520</v>
      </c>
      <c r="U153" s="345">
        <v>94.75</v>
      </c>
      <c r="V153" s="345">
        <v>550</v>
      </c>
      <c r="W153" s="345">
        <v>109.46</v>
      </c>
      <c r="X153" s="345">
        <v>31</v>
      </c>
      <c r="Y153" s="345">
        <v>0</v>
      </c>
      <c r="Z153" s="345">
        <v>5</v>
      </c>
      <c r="AA153" s="345">
        <v>5</v>
      </c>
      <c r="AB153" s="345">
        <v>39</v>
      </c>
      <c r="AC153" s="345">
        <v>10</v>
      </c>
      <c r="AD153" s="349">
        <v>4206</v>
      </c>
      <c r="AE153" s="349">
        <v>31</v>
      </c>
      <c r="AF153" s="349">
        <v>9</v>
      </c>
      <c r="AG153" s="349">
        <v>40</v>
      </c>
    </row>
    <row r="154" spans="1:33" x14ac:dyDescent="0.25">
      <c r="A154" s="344" t="s">
        <v>364</v>
      </c>
      <c r="B154" s="350" t="s">
        <v>365</v>
      </c>
      <c r="C154" s="346">
        <v>16143</v>
      </c>
      <c r="D154" s="346">
        <v>9</v>
      </c>
      <c r="E154" s="346">
        <v>689</v>
      </c>
      <c r="F154" s="346">
        <v>1440</v>
      </c>
      <c r="G154" s="346">
        <v>429</v>
      </c>
      <c r="H154" s="346">
        <v>18710</v>
      </c>
      <c r="I154" s="345">
        <v>18281</v>
      </c>
      <c r="J154" s="345">
        <v>2</v>
      </c>
      <c r="K154" s="347">
        <v>82.72</v>
      </c>
      <c r="L154" s="347">
        <v>82.62</v>
      </c>
      <c r="M154" s="347">
        <v>11.44</v>
      </c>
      <c r="N154" s="347">
        <v>85.44</v>
      </c>
      <c r="O154" s="348">
        <v>14666</v>
      </c>
      <c r="P154" s="345">
        <v>83.56</v>
      </c>
      <c r="Q154" s="345">
        <v>74.59</v>
      </c>
      <c r="R154" s="345">
        <v>30.09</v>
      </c>
      <c r="S154" s="345">
        <v>112.94</v>
      </c>
      <c r="T154" s="345">
        <v>1657</v>
      </c>
      <c r="U154" s="345">
        <v>104.52</v>
      </c>
      <c r="V154" s="345">
        <v>1203</v>
      </c>
      <c r="W154" s="345">
        <v>141.44999999999999</v>
      </c>
      <c r="X154" s="345">
        <v>322</v>
      </c>
      <c r="Y154" s="345">
        <v>17</v>
      </c>
      <c r="Z154" s="345">
        <v>101</v>
      </c>
      <c r="AA154" s="345">
        <v>0</v>
      </c>
      <c r="AB154" s="345">
        <v>59</v>
      </c>
      <c r="AC154" s="345">
        <v>4</v>
      </c>
      <c r="AD154" s="349">
        <v>15981</v>
      </c>
      <c r="AE154" s="349">
        <v>140</v>
      </c>
      <c r="AF154" s="349">
        <v>323</v>
      </c>
      <c r="AG154" s="349">
        <v>463</v>
      </c>
    </row>
    <row r="155" spans="1:33" x14ac:dyDescent="0.25">
      <c r="A155" s="344" t="s">
        <v>366</v>
      </c>
      <c r="B155" s="350" t="s">
        <v>367</v>
      </c>
      <c r="C155" s="346">
        <v>21339</v>
      </c>
      <c r="D155" s="346">
        <v>79</v>
      </c>
      <c r="E155" s="346">
        <v>1956</v>
      </c>
      <c r="F155" s="346">
        <v>1361</v>
      </c>
      <c r="G155" s="346">
        <v>2242</v>
      </c>
      <c r="H155" s="346">
        <v>26977</v>
      </c>
      <c r="I155" s="345">
        <v>24735</v>
      </c>
      <c r="J155" s="345">
        <v>48</v>
      </c>
      <c r="K155" s="347">
        <v>116.47</v>
      </c>
      <c r="L155" s="347">
        <v>123.53</v>
      </c>
      <c r="M155" s="347">
        <v>14.17</v>
      </c>
      <c r="N155" s="347">
        <v>128.24</v>
      </c>
      <c r="O155" s="348">
        <v>18669</v>
      </c>
      <c r="P155" s="345">
        <v>107.67</v>
      </c>
      <c r="Q155" s="345">
        <v>108.64</v>
      </c>
      <c r="R155" s="345">
        <v>49.28</v>
      </c>
      <c r="S155" s="345">
        <v>153.41999999999999</v>
      </c>
      <c r="T155" s="345">
        <v>2817</v>
      </c>
      <c r="U155" s="345">
        <v>195.59</v>
      </c>
      <c r="V155" s="345">
        <v>1316</v>
      </c>
      <c r="W155" s="345">
        <v>187.2</v>
      </c>
      <c r="X155" s="345">
        <v>67</v>
      </c>
      <c r="Y155" s="345">
        <v>45</v>
      </c>
      <c r="Z155" s="345">
        <v>4</v>
      </c>
      <c r="AA155" s="345">
        <v>28</v>
      </c>
      <c r="AB155" s="345">
        <v>109</v>
      </c>
      <c r="AC155" s="345">
        <v>80</v>
      </c>
      <c r="AD155" s="349">
        <v>20090</v>
      </c>
      <c r="AE155" s="349">
        <v>75</v>
      </c>
      <c r="AF155" s="349">
        <v>132</v>
      </c>
      <c r="AG155" s="349">
        <v>207</v>
      </c>
    </row>
    <row r="156" spans="1:33" x14ac:dyDescent="0.25">
      <c r="A156" s="344" t="s">
        <v>368</v>
      </c>
      <c r="B156" s="350" t="s">
        <v>369</v>
      </c>
      <c r="C156" s="346">
        <v>1992</v>
      </c>
      <c r="D156" s="346">
        <v>0</v>
      </c>
      <c r="E156" s="346">
        <v>383</v>
      </c>
      <c r="F156" s="346">
        <v>494</v>
      </c>
      <c r="G156" s="346">
        <v>264</v>
      </c>
      <c r="H156" s="346">
        <v>3133</v>
      </c>
      <c r="I156" s="345">
        <v>2869</v>
      </c>
      <c r="J156" s="345">
        <v>1</v>
      </c>
      <c r="K156" s="347">
        <v>82.96</v>
      </c>
      <c r="L156" s="347">
        <v>79.11</v>
      </c>
      <c r="M156" s="347">
        <v>6</v>
      </c>
      <c r="N156" s="347">
        <v>88.14</v>
      </c>
      <c r="O156" s="348">
        <v>1306</v>
      </c>
      <c r="P156" s="345">
        <v>88.74</v>
      </c>
      <c r="Q156" s="345">
        <v>73.290000000000006</v>
      </c>
      <c r="R156" s="345">
        <v>59.11</v>
      </c>
      <c r="S156" s="345">
        <v>145.93</v>
      </c>
      <c r="T156" s="345">
        <v>741</v>
      </c>
      <c r="U156" s="345">
        <v>102.31</v>
      </c>
      <c r="V156" s="345">
        <v>613</v>
      </c>
      <c r="W156" s="345">
        <v>132.01</v>
      </c>
      <c r="X156" s="345">
        <v>12</v>
      </c>
      <c r="Y156" s="345">
        <v>0</v>
      </c>
      <c r="Z156" s="345">
        <v>3</v>
      </c>
      <c r="AA156" s="345">
        <v>0</v>
      </c>
      <c r="AB156" s="345">
        <v>2</v>
      </c>
      <c r="AC156" s="345">
        <v>6</v>
      </c>
      <c r="AD156" s="349">
        <v>1946</v>
      </c>
      <c r="AE156" s="349">
        <v>14</v>
      </c>
      <c r="AF156" s="349">
        <v>13</v>
      </c>
      <c r="AG156" s="349">
        <v>27</v>
      </c>
    </row>
    <row r="157" spans="1:33" x14ac:dyDescent="0.25">
      <c r="A157" s="344" t="s">
        <v>370</v>
      </c>
      <c r="B157" s="350" t="s">
        <v>371</v>
      </c>
      <c r="C157" s="346">
        <v>13274</v>
      </c>
      <c r="D157" s="346">
        <v>8</v>
      </c>
      <c r="E157" s="346">
        <v>1310</v>
      </c>
      <c r="F157" s="346">
        <v>2728</v>
      </c>
      <c r="G157" s="346">
        <v>1426</v>
      </c>
      <c r="H157" s="346">
        <v>18746</v>
      </c>
      <c r="I157" s="345">
        <v>17320</v>
      </c>
      <c r="J157" s="345">
        <v>36</v>
      </c>
      <c r="K157" s="347">
        <v>82.44</v>
      </c>
      <c r="L157" s="347">
        <v>81.56</v>
      </c>
      <c r="M157" s="347">
        <v>7.02</v>
      </c>
      <c r="N157" s="347">
        <v>86.86</v>
      </c>
      <c r="O157" s="348">
        <v>11075</v>
      </c>
      <c r="P157" s="345">
        <v>93.37</v>
      </c>
      <c r="Q157" s="345">
        <v>76.14</v>
      </c>
      <c r="R157" s="345">
        <v>48.54</v>
      </c>
      <c r="S157" s="345">
        <v>139.9</v>
      </c>
      <c r="T157" s="345">
        <v>3196</v>
      </c>
      <c r="U157" s="345">
        <v>105.69</v>
      </c>
      <c r="V157" s="345">
        <v>1336</v>
      </c>
      <c r="W157" s="345">
        <v>109.35</v>
      </c>
      <c r="X157" s="345">
        <v>23</v>
      </c>
      <c r="Y157" s="345">
        <v>0</v>
      </c>
      <c r="Z157" s="345">
        <v>15</v>
      </c>
      <c r="AA157" s="345">
        <v>31</v>
      </c>
      <c r="AB157" s="345">
        <v>183</v>
      </c>
      <c r="AC157" s="345">
        <v>44</v>
      </c>
      <c r="AD157" s="349">
        <v>12903</v>
      </c>
      <c r="AE157" s="349">
        <v>103</v>
      </c>
      <c r="AF157" s="349">
        <v>54</v>
      </c>
      <c r="AG157" s="349">
        <v>157</v>
      </c>
    </row>
    <row r="158" spans="1:33" x14ac:dyDescent="0.25">
      <c r="A158" s="344" t="s">
        <v>372</v>
      </c>
      <c r="B158" s="350" t="s">
        <v>373</v>
      </c>
      <c r="C158" s="346">
        <v>8992</v>
      </c>
      <c r="D158" s="346">
        <v>0</v>
      </c>
      <c r="E158" s="346">
        <v>936</v>
      </c>
      <c r="F158" s="346">
        <v>972</v>
      </c>
      <c r="G158" s="346">
        <v>597</v>
      </c>
      <c r="H158" s="346">
        <v>11497</v>
      </c>
      <c r="I158" s="345">
        <v>10900</v>
      </c>
      <c r="J158" s="345">
        <v>388</v>
      </c>
      <c r="K158" s="347">
        <v>82.63</v>
      </c>
      <c r="L158" s="347">
        <v>81.290000000000006</v>
      </c>
      <c r="M158" s="347">
        <v>8.51</v>
      </c>
      <c r="N158" s="347">
        <v>88.44</v>
      </c>
      <c r="O158" s="348">
        <v>7039</v>
      </c>
      <c r="P158" s="345">
        <v>84.95</v>
      </c>
      <c r="Q158" s="345">
        <v>77.98</v>
      </c>
      <c r="R158" s="345">
        <v>66.86</v>
      </c>
      <c r="S158" s="345">
        <v>149.97999999999999</v>
      </c>
      <c r="T158" s="345">
        <v>1501</v>
      </c>
      <c r="U158" s="345">
        <v>109.19</v>
      </c>
      <c r="V158" s="345">
        <v>1067</v>
      </c>
      <c r="W158" s="345">
        <v>133.9</v>
      </c>
      <c r="X158" s="345">
        <v>86</v>
      </c>
      <c r="Y158" s="345">
        <v>1</v>
      </c>
      <c r="Z158" s="345">
        <v>146</v>
      </c>
      <c r="AA158" s="345">
        <v>23</v>
      </c>
      <c r="AB158" s="345">
        <v>86</v>
      </c>
      <c r="AC158" s="345">
        <v>9</v>
      </c>
      <c r="AD158" s="349">
        <v>8273</v>
      </c>
      <c r="AE158" s="349">
        <v>58</v>
      </c>
      <c r="AF158" s="349">
        <v>28</v>
      </c>
      <c r="AG158" s="349">
        <v>86</v>
      </c>
    </row>
    <row r="159" spans="1:33" x14ac:dyDescent="0.25">
      <c r="A159" s="344" t="s">
        <v>374</v>
      </c>
      <c r="B159" s="350" t="s">
        <v>375</v>
      </c>
      <c r="C159" s="346">
        <v>1047</v>
      </c>
      <c r="D159" s="346">
        <v>0</v>
      </c>
      <c r="E159" s="346">
        <v>164</v>
      </c>
      <c r="F159" s="346">
        <v>427</v>
      </c>
      <c r="G159" s="346">
        <v>301</v>
      </c>
      <c r="H159" s="346">
        <v>1939</v>
      </c>
      <c r="I159" s="345">
        <v>1638</v>
      </c>
      <c r="J159" s="345">
        <v>1</v>
      </c>
      <c r="K159" s="347">
        <v>92.61</v>
      </c>
      <c r="L159" s="347">
        <v>91.5</v>
      </c>
      <c r="M159" s="347">
        <v>8.1</v>
      </c>
      <c r="N159" s="347">
        <v>99.68</v>
      </c>
      <c r="O159" s="348">
        <v>862</v>
      </c>
      <c r="P159" s="345">
        <v>79.22</v>
      </c>
      <c r="Q159" s="345">
        <v>77.63</v>
      </c>
      <c r="R159" s="345">
        <v>54.53</v>
      </c>
      <c r="S159" s="345">
        <v>133.38</v>
      </c>
      <c r="T159" s="345">
        <v>300</v>
      </c>
      <c r="U159" s="345">
        <v>159.05000000000001</v>
      </c>
      <c r="V159" s="345">
        <v>160</v>
      </c>
      <c r="W159" s="345">
        <v>149.07</v>
      </c>
      <c r="X159" s="345">
        <v>9</v>
      </c>
      <c r="Y159" s="345">
        <v>0</v>
      </c>
      <c r="Z159" s="345">
        <v>0</v>
      </c>
      <c r="AA159" s="345">
        <v>2</v>
      </c>
      <c r="AB159" s="345">
        <v>15</v>
      </c>
      <c r="AC159" s="345">
        <v>7</v>
      </c>
      <c r="AD159" s="349">
        <v>1033</v>
      </c>
      <c r="AE159" s="349">
        <v>14</v>
      </c>
      <c r="AF159" s="349">
        <v>6</v>
      </c>
      <c r="AG159" s="349">
        <v>20</v>
      </c>
    </row>
    <row r="160" spans="1:33" x14ac:dyDescent="0.25">
      <c r="A160" s="344" t="s">
        <v>376</v>
      </c>
      <c r="B160" s="350" t="s">
        <v>377</v>
      </c>
      <c r="C160" s="346">
        <v>21108</v>
      </c>
      <c r="D160" s="346">
        <v>228</v>
      </c>
      <c r="E160" s="346">
        <v>1355</v>
      </c>
      <c r="F160" s="346">
        <v>631</v>
      </c>
      <c r="G160" s="346">
        <v>1856</v>
      </c>
      <c r="H160" s="346">
        <v>25178</v>
      </c>
      <c r="I160" s="345">
        <v>23322</v>
      </c>
      <c r="J160" s="345">
        <v>34</v>
      </c>
      <c r="K160" s="347">
        <v>107.96</v>
      </c>
      <c r="L160" s="347">
        <v>110.36</v>
      </c>
      <c r="M160" s="347">
        <v>11.77</v>
      </c>
      <c r="N160" s="347">
        <v>114.88</v>
      </c>
      <c r="O160" s="348">
        <v>18433</v>
      </c>
      <c r="P160" s="345">
        <v>104.31</v>
      </c>
      <c r="Q160" s="345">
        <v>102.15</v>
      </c>
      <c r="R160" s="345">
        <v>67.2</v>
      </c>
      <c r="S160" s="345">
        <v>165.76</v>
      </c>
      <c r="T160" s="345">
        <v>1612</v>
      </c>
      <c r="U160" s="345">
        <v>177.52</v>
      </c>
      <c r="V160" s="345">
        <v>1545</v>
      </c>
      <c r="W160" s="345">
        <v>261.63</v>
      </c>
      <c r="X160" s="345">
        <v>128</v>
      </c>
      <c r="Y160" s="345">
        <v>33</v>
      </c>
      <c r="Z160" s="345">
        <v>24</v>
      </c>
      <c r="AA160" s="345">
        <v>24</v>
      </c>
      <c r="AB160" s="345">
        <v>82</v>
      </c>
      <c r="AC160" s="345">
        <v>74</v>
      </c>
      <c r="AD160" s="349">
        <v>20108</v>
      </c>
      <c r="AE160" s="349">
        <v>196</v>
      </c>
      <c r="AF160" s="349">
        <v>94</v>
      </c>
      <c r="AG160" s="349">
        <v>290</v>
      </c>
    </row>
    <row r="161" spans="1:33" x14ac:dyDescent="0.25">
      <c r="A161" s="344" t="s">
        <v>378</v>
      </c>
      <c r="B161" s="350" t="s">
        <v>379</v>
      </c>
      <c r="C161" s="346">
        <v>5503</v>
      </c>
      <c r="D161" s="346">
        <v>15</v>
      </c>
      <c r="E161" s="346">
        <v>127</v>
      </c>
      <c r="F161" s="346">
        <v>269</v>
      </c>
      <c r="G161" s="346">
        <v>379</v>
      </c>
      <c r="H161" s="346">
        <v>6293</v>
      </c>
      <c r="I161" s="345">
        <v>5914</v>
      </c>
      <c r="J161" s="345">
        <v>1</v>
      </c>
      <c r="K161" s="347">
        <v>87.09</v>
      </c>
      <c r="L161" s="347">
        <v>83.55</v>
      </c>
      <c r="M161" s="347">
        <v>3.11</v>
      </c>
      <c r="N161" s="347">
        <v>89.36</v>
      </c>
      <c r="O161" s="348">
        <v>4997</v>
      </c>
      <c r="P161" s="345">
        <v>97.86</v>
      </c>
      <c r="Q161" s="345">
        <v>88.91</v>
      </c>
      <c r="R161" s="345">
        <v>35.31</v>
      </c>
      <c r="S161" s="345">
        <v>131.56</v>
      </c>
      <c r="T161" s="345">
        <v>396</v>
      </c>
      <c r="U161" s="345">
        <v>108.98</v>
      </c>
      <c r="V161" s="345">
        <v>496</v>
      </c>
      <c r="W161" s="345">
        <v>0</v>
      </c>
      <c r="X161" s="345">
        <v>0</v>
      </c>
      <c r="Y161" s="345">
        <v>0</v>
      </c>
      <c r="Z161" s="345">
        <v>26</v>
      </c>
      <c r="AA161" s="345">
        <v>3</v>
      </c>
      <c r="AB161" s="345">
        <v>42</v>
      </c>
      <c r="AC161" s="345">
        <v>8</v>
      </c>
      <c r="AD161" s="349">
        <v>5501</v>
      </c>
      <c r="AE161" s="349">
        <v>25</v>
      </c>
      <c r="AF161" s="349">
        <v>37</v>
      </c>
      <c r="AG161" s="349">
        <v>62</v>
      </c>
    </row>
    <row r="162" spans="1:33" x14ac:dyDescent="0.25">
      <c r="A162" s="344" t="s">
        <v>380</v>
      </c>
      <c r="B162" s="350" t="s">
        <v>381</v>
      </c>
      <c r="C162" s="346">
        <v>1331</v>
      </c>
      <c r="D162" s="346">
        <v>0</v>
      </c>
      <c r="E162" s="346">
        <v>478</v>
      </c>
      <c r="F162" s="346">
        <v>148</v>
      </c>
      <c r="G162" s="346">
        <v>264</v>
      </c>
      <c r="H162" s="346">
        <v>2221</v>
      </c>
      <c r="I162" s="345">
        <v>1957</v>
      </c>
      <c r="J162" s="345">
        <v>12</v>
      </c>
      <c r="K162" s="347">
        <v>79.400000000000006</v>
      </c>
      <c r="L162" s="347">
        <v>78.16</v>
      </c>
      <c r="M162" s="347">
        <v>8.76</v>
      </c>
      <c r="N162" s="347">
        <v>86.02</v>
      </c>
      <c r="O162" s="348">
        <v>1016</v>
      </c>
      <c r="P162" s="345">
        <v>90.02</v>
      </c>
      <c r="Q162" s="345">
        <v>79.989999999999995</v>
      </c>
      <c r="R162" s="345">
        <v>106.13</v>
      </c>
      <c r="S162" s="345">
        <v>196.16</v>
      </c>
      <c r="T162" s="345">
        <v>292</v>
      </c>
      <c r="U162" s="345">
        <v>96.72</v>
      </c>
      <c r="V162" s="345">
        <v>200</v>
      </c>
      <c r="W162" s="345">
        <v>280</v>
      </c>
      <c r="X162" s="345">
        <v>31</v>
      </c>
      <c r="Y162" s="345">
        <v>0</v>
      </c>
      <c r="Z162" s="345">
        <v>2</v>
      </c>
      <c r="AA162" s="345">
        <v>0</v>
      </c>
      <c r="AB162" s="345">
        <v>7</v>
      </c>
      <c r="AC162" s="345">
        <v>2</v>
      </c>
      <c r="AD162" s="349">
        <v>1298</v>
      </c>
      <c r="AE162" s="349">
        <v>9</v>
      </c>
      <c r="AF162" s="349">
        <v>6</v>
      </c>
      <c r="AG162" s="349">
        <v>15</v>
      </c>
    </row>
    <row r="163" spans="1:33" x14ac:dyDescent="0.25">
      <c r="A163" s="344" t="s">
        <v>382</v>
      </c>
      <c r="B163" s="350" t="s">
        <v>383</v>
      </c>
      <c r="C163" s="346">
        <v>52235</v>
      </c>
      <c r="D163" s="346">
        <v>24</v>
      </c>
      <c r="E163" s="346">
        <v>2500</v>
      </c>
      <c r="F163" s="346">
        <v>3780</v>
      </c>
      <c r="G163" s="346">
        <v>814</v>
      </c>
      <c r="H163" s="346">
        <v>59353</v>
      </c>
      <c r="I163" s="345">
        <v>58539</v>
      </c>
      <c r="J163" s="345">
        <v>100</v>
      </c>
      <c r="K163" s="347">
        <v>82.33</v>
      </c>
      <c r="L163" s="347">
        <v>81.760000000000005</v>
      </c>
      <c r="M163" s="347">
        <v>8.81</v>
      </c>
      <c r="N163" s="347">
        <v>84.71</v>
      </c>
      <c r="O163" s="348">
        <v>43764</v>
      </c>
      <c r="P163" s="345">
        <v>84.33</v>
      </c>
      <c r="Q163" s="345">
        <v>77.290000000000006</v>
      </c>
      <c r="R163" s="345">
        <v>46.45</v>
      </c>
      <c r="S163" s="345">
        <v>130.07</v>
      </c>
      <c r="T163" s="345">
        <v>4910</v>
      </c>
      <c r="U163" s="345">
        <v>100.4</v>
      </c>
      <c r="V163" s="345">
        <v>5737</v>
      </c>
      <c r="W163" s="345">
        <v>141.71</v>
      </c>
      <c r="X163" s="345">
        <v>111</v>
      </c>
      <c r="Y163" s="345">
        <v>8</v>
      </c>
      <c r="Z163" s="345">
        <v>194</v>
      </c>
      <c r="AA163" s="345">
        <v>45</v>
      </c>
      <c r="AB163" s="345">
        <v>95</v>
      </c>
      <c r="AC163" s="345">
        <v>20</v>
      </c>
      <c r="AD163" s="349">
        <v>49612</v>
      </c>
      <c r="AE163" s="349">
        <v>341</v>
      </c>
      <c r="AF163" s="349">
        <v>308</v>
      </c>
      <c r="AG163" s="349">
        <v>649</v>
      </c>
    </row>
    <row r="164" spans="1:33" x14ac:dyDescent="0.25">
      <c r="A164" s="344" t="s">
        <v>384</v>
      </c>
      <c r="B164" s="350" t="s">
        <v>385</v>
      </c>
      <c r="C164" s="346">
        <v>3847</v>
      </c>
      <c r="D164" s="346">
        <v>171</v>
      </c>
      <c r="E164" s="346">
        <v>343</v>
      </c>
      <c r="F164" s="346">
        <v>390</v>
      </c>
      <c r="G164" s="346">
        <v>246</v>
      </c>
      <c r="H164" s="346">
        <v>4997</v>
      </c>
      <c r="I164" s="345">
        <v>4751</v>
      </c>
      <c r="J164" s="345">
        <v>26</v>
      </c>
      <c r="K164" s="347">
        <v>99.37</v>
      </c>
      <c r="L164" s="347">
        <v>98.93</v>
      </c>
      <c r="M164" s="347">
        <v>5.85</v>
      </c>
      <c r="N164" s="347">
        <v>103.73</v>
      </c>
      <c r="O164" s="348">
        <v>2800</v>
      </c>
      <c r="P164" s="345">
        <v>99.01</v>
      </c>
      <c r="Q164" s="345">
        <v>97.71</v>
      </c>
      <c r="R164" s="345">
        <v>45.98</v>
      </c>
      <c r="S164" s="345">
        <v>143.07</v>
      </c>
      <c r="T164" s="345">
        <v>430</v>
      </c>
      <c r="U164" s="345">
        <v>138.68</v>
      </c>
      <c r="V164" s="345">
        <v>532</v>
      </c>
      <c r="W164" s="345">
        <v>171.7</v>
      </c>
      <c r="X164" s="345">
        <v>8</v>
      </c>
      <c r="Y164" s="345">
        <v>0</v>
      </c>
      <c r="Z164" s="345">
        <v>3</v>
      </c>
      <c r="AA164" s="345">
        <v>1</v>
      </c>
      <c r="AB164" s="345">
        <v>40</v>
      </c>
      <c r="AC164" s="345">
        <v>5</v>
      </c>
      <c r="AD164" s="349">
        <v>3464</v>
      </c>
      <c r="AE164" s="349">
        <v>22</v>
      </c>
      <c r="AF164" s="349">
        <v>8</v>
      </c>
      <c r="AG164" s="349">
        <v>30</v>
      </c>
    </row>
    <row r="165" spans="1:33" x14ac:dyDescent="0.25">
      <c r="A165" s="344" t="s">
        <v>386</v>
      </c>
      <c r="B165" s="350" t="s">
        <v>387</v>
      </c>
      <c r="C165" s="346">
        <v>7954</v>
      </c>
      <c r="D165" s="346">
        <v>0</v>
      </c>
      <c r="E165" s="346">
        <v>349</v>
      </c>
      <c r="F165" s="346">
        <v>1149</v>
      </c>
      <c r="G165" s="346">
        <v>1010</v>
      </c>
      <c r="H165" s="346">
        <v>10462</v>
      </c>
      <c r="I165" s="345">
        <v>9452</v>
      </c>
      <c r="J165" s="345">
        <v>1134</v>
      </c>
      <c r="K165" s="347">
        <v>94.84</v>
      </c>
      <c r="L165" s="347">
        <v>93.82</v>
      </c>
      <c r="M165" s="347">
        <v>5.86</v>
      </c>
      <c r="N165" s="347">
        <v>99.32</v>
      </c>
      <c r="O165" s="348">
        <v>6023</v>
      </c>
      <c r="P165" s="345">
        <v>87.64</v>
      </c>
      <c r="Q165" s="345">
        <v>85.22</v>
      </c>
      <c r="R165" s="345">
        <v>23.95</v>
      </c>
      <c r="S165" s="345">
        <v>109.56</v>
      </c>
      <c r="T165" s="345">
        <v>1307</v>
      </c>
      <c r="U165" s="345">
        <v>155.66</v>
      </c>
      <c r="V165" s="345">
        <v>1580</v>
      </c>
      <c r="W165" s="345">
        <v>199.48</v>
      </c>
      <c r="X165" s="345">
        <v>70</v>
      </c>
      <c r="Y165" s="345">
        <v>118</v>
      </c>
      <c r="Z165" s="345">
        <v>13</v>
      </c>
      <c r="AA165" s="345">
        <v>0</v>
      </c>
      <c r="AB165" s="345">
        <v>92</v>
      </c>
      <c r="AC165" s="345">
        <v>12</v>
      </c>
      <c r="AD165" s="349">
        <v>7508</v>
      </c>
      <c r="AE165" s="349">
        <v>79</v>
      </c>
      <c r="AF165" s="349">
        <v>16</v>
      </c>
      <c r="AG165" s="349">
        <v>95</v>
      </c>
    </row>
    <row r="166" spans="1:33" x14ac:dyDescent="0.25">
      <c r="A166" s="344" t="s">
        <v>388</v>
      </c>
      <c r="B166" s="350" t="s">
        <v>389</v>
      </c>
      <c r="C166" s="346">
        <v>2299</v>
      </c>
      <c r="D166" s="346">
        <v>0</v>
      </c>
      <c r="E166" s="346">
        <v>32</v>
      </c>
      <c r="F166" s="346">
        <v>810</v>
      </c>
      <c r="G166" s="346">
        <v>144</v>
      </c>
      <c r="H166" s="346">
        <v>3285</v>
      </c>
      <c r="I166" s="345">
        <v>3141</v>
      </c>
      <c r="J166" s="345">
        <v>0</v>
      </c>
      <c r="K166" s="347">
        <v>101.49</v>
      </c>
      <c r="L166" s="347">
        <v>100.72</v>
      </c>
      <c r="M166" s="347">
        <v>4.1500000000000004</v>
      </c>
      <c r="N166" s="347">
        <v>104.15</v>
      </c>
      <c r="O166" s="348">
        <v>1921</v>
      </c>
      <c r="P166" s="345">
        <v>85.92</v>
      </c>
      <c r="Q166" s="345">
        <v>85.26</v>
      </c>
      <c r="R166" s="345">
        <v>15.33</v>
      </c>
      <c r="S166" s="345">
        <v>101.03</v>
      </c>
      <c r="T166" s="345">
        <v>764</v>
      </c>
      <c r="U166" s="345">
        <v>138.02000000000001</v>
      </c>
      <c r="V166" s="345">
        <v>365</v>
      </c>
      <c r="W166" s="345">
        <v>111.65</v>
      </c>
      <c r="X166" s="345">
        <v>1</v>
      </c>
      <c r="Y166" s="345">
        <v>0</v>
      </c>
      <c r="Z166" s="345">
        <v>0</v>
      </c>
      <c r="AA166" s="345">
        <v>3</v>
      </c>
      <c r="AB166" s="345">
        <v>46</v>
      </c>
      <c r="AC166" s="345">
        <v>0</v>
      </c>
      <c r="AD166" s="349">
        <v>2299</v>
      </c>
      <c r="AE166" s="349">
        <v>20</v>
      </c>
      <c r="AF166" s="349">
        <v>9</v>
      </c>
      <c r="AG166" s="349">
        <v>29</v>
      </c>
    </row>
    <row r="167" spans="1:33" x14ac:dyDescent="0.25">
      <c r="A167" s="344" t="s">
        <v>390</v>
      </c>
      <c r="B167" s="350" t="s">
        <v>391</v>
      </c>
      <c r="C167" s="346">
        <v>4341</v>
      </c>
      <c r="D167" s="346">
        <v>0</v>
      </c>
      <c r="E167" s="346">
        <v>64</v>
      </c>
      <c r="F167" s="346">
        <v>594</v>
      </c>
      <c r="G167" s="346">
        <v>397</v>
      </c>
      <c r="H167" s="346">
        <v>5396</v>
      </c>
      <c r="I167" s="345">
        <v>4999</v>
      </c>
      <c r="J167" s="345">
        <v>3</v>
      </c>
      <c r="K167" s="347">
        <v>94.68</v>
      </c>
      <c r="L167" s="347">
        <v>94.46</v>
      </c>
      <c r="M167" s="347">
        <v>4</v>
      </c>
      <c r="N167" s="347">
        <v>98.33</v>
      </c>
      <c r="O167" s="348">
        <v>3952</v>
      </c>
      <c r="P167" s="345">
        <v>88.83</v>
      </c>
      <c r="Q167" s="345">
        <v>89.39</v>
      </c>
      <c r="R167" s="345">
        <v>28.63</v>
      </c>
      <c r="S167" s="345">
        <v>117.31</v>
      </c>
      <c r="T167" s="345">
        <v>598</v>
      </c>
      <c r="U167" s="345">
        <v>111.39</v>
      </c>
      <c r="V167" s="345">
        <v>318</v>
      </c>
      <c r="W167" s="345">
        <v>186.03</v>
      </c>
      <c r="X167" s="345">
        <v>60</v>
      </c>
      <c r="Y167" s="345">
        <v>0</v>
      </c>
      <c r="Z167" s="345">
        <v>19</v>
      </c>
      <c r="AA167" s="345">
        <v>0</v>
      </c>
      <c r="AB167" s="345">
        <v>10</v>
      </c>
      <c r="AC167" s="345">
        <v>1</v>
      </c>
      <c r="AD167" s="349">
        <v>4340</v>
      </c>
      <c r="AE167" s="349">
        <v>22</v>
      </c>
      <c r="AF167" s="349">
        <v>9</v>
      </c>
      <c r="AG167" s="349">
        <v>31</v>
      </c>
    </row>
    <row r="168" spans="1:33" x14ac:dyDescent="0.25">
      <c r="A168" s="344" t="s">
        <v>392</v>
      </c>
      <c r="B168" s="350" t="s">
        <v>393</v>
      </c>
      <c r="C168" s="346">
        <v>46193</v>
      </c>
      <c r="D168" s="346">
        <v>158</v>
      </c>
      <c r="E168" s="346">
        <v>1706</v>
      </c>
      <c r="F168" s="346">
        <v>3165</v>
      </c>
      <c r="G168" s="346">
        <v>1417</v>
      </c>
      <c r="H168" s="346">
        <v>52639</v>
      </c>
      <c r="I168" s="345">
        <v>51222</v>
      </c>
      <c r="J168" s="345">
        <v>29</v>
      </c>
      <c r="K168" s="347">
        <v>80.02</v>
      </c>
      <c r="L168" s="347">
        <v>80.83</v>
      </c>
      <c r="M168" s="347">
        <v>4.9800000000000004</v>
      </c>
      <c r="N168" s="347">
        <v>81.95</v>
      </c>
      <c r="O168" s="348">
        <v>42297</v>
      </c>
      <c r="P168" s="345">
        <v>78.760000000000005</v>
      </c>
      <c r="Q168" s="345">
        <v>73.13</v>
      </c>
      <c r="R168" s="345">
        <v>43.62</v>
      </c>
      <c r="S168" s="345">
        <v>119.83</v>
      </c>
      <c r="T168" s="345">
        <v>4511</v>
      </c>
      <c r="U168" s="345">
        <v>108.85</v>
      </c>
      <c r="V168" s="345">
        <v>3086</v>
      </c>
      <c r="W168" s="345">
        <v>118.58</v>
      </c>
      <c r="X168" s="345">
        <v>21</v>
      </c>
      <c r="Y168" s="345">
        <v>25</v>
      </c>
      <c r="Z168" s="345">
        <v>228</v>
      </c>
      <c r="AA168" s="345">
        <v>3</v>
      </c>
      <c r="AB168" s="345">
        <v>158</v>
      </c>
      <c r="AC168" s="345">
        <v>39</v>
      </c>
      <c r="AD168" s="349">
        <v>45675</v>
      </c>
      <c r="AE168" s="349">
        <v>375</v>
      </c>
      <c r="AF168" s="349">
        <v>141</v>
      </c>
      <c r="AG168" s="349">
        <v>516</v>
      </c>
    </row>
    <row r="169" spans="1:33" x14ac:dyDescent="0.25">
      <c r="A169" s="344" t="s">
        <v>394</v>
      </c>
      <c r="B169" s="350" t="s">
        <v>395</v>
      </c>
      <c r="C169" s="346">
        <v>1722</v>
      </c>
      <c r="D169" s="346">
        <v>0</v>
      </c>
      <c r="E169" s="346">
        <v>365</v>
      </c>
      <c r="F169" s="346">
        <v>232</v>
      </c>
      <c r="G169" s="346">
        <v>126</v>
      </c>
      <c r="H169" s="346">
        <v>2445</v>
      </c>
      <c r="I169" s="345">
        <v>2319</v>
      </c>
      <c r="J169" s="345">
        <v>1</v>
      </c>
      <c r="K169" s="347">
        <v>80.459999999999994</v>
      </c>
      <c r="L169" s="347">
        <v>79.540000000000006</v>
      </c>
      <c r="M169" s="347">
        <v>5.82</v>
      </c>
      <c r="N169" s="347">
        <v>83.34</v>
      </c>
      <c r="O169" s="348">
        <v>1629</v>
      </c>
      <c r="P169" s="345">
        <v>106.24</v>
      </c>
      <c r="Q169" s="345">
        <v>77.59</v>
      </c>
      <c r="R169" s="345">
        <v>91.88</v>
      </c>
      <c r="S169" s="345">
        <v>192.27</v>
      </c>
      <c r="T169" s="345">
        <v>408</v>
      </c>
      <c r="U169" s="345">
        <v>94.37</v>
      </c>
      <c r="V169" s="345">
        <v>88</v>
      </c>
      <c r="W169" s="345">
        <v>0</v>
      </c>
      <c r="X169" s="345">
        <v>0</v>
      </c>
      <c r="Y169" s="345">
        <v>0</v>
      </c>
      <c r="Z169" s="345">
        <v>5</v>
      </c>
      <c r="AA169" s="345">
        <v>17</v>
      </c>
      <c r="AB169" s="345">
        <v>6</v>
      </c>
      <c r="AC169" s="345">
        <v>2</v>
      </c>
      <c r="AD169" s="349">
        <v>1708</v>
      </c>
      <c r="AE169" s="349">
        <v>11</v>
      </c>
      <c r="AF169" s="349">
        <v>9</v>
      </c>
      <c r="AG169" s="349">
        <v>20</v>
      </c>
    </row>
    <row r="170" spans="1:33" x14ac:dyDescent="0.25">
      <c r="A170" s="344" t="s">
        <v>396</v>
      </c>
      <c r="B170" s="350" t="s">
        <v>397</v>
      </c>
      <c r="C170" s="346">
        <v>3942</v>
      </c>
      <c r="D170" s="346">
        <v>0</v>
      </c>
      <c r="E170" s="346">
        <v>365</v>
      </c>
      <c r="F170" s="346">
        <v>896</v>
      </c>
      <c r="G170" s="346">
        <v>1344</v>
      </c>
      <c r="H170" s="346">
        <v>6547</v>
      </c>
      <c r="I170" s="345">
        <v>5203</v>
      </c>
      <c r="J170" s="345">
        <v>30</v>
      </c>
      <c r="K170" s="347">
        <v>98.59</v>
      </c>
      <c r="L170" s="347">
        <v>96.24</v>
      </c>
      <c r="M170" s="347">
        <v>8.15</v>
      </c>
      <c r="N170" s="347">
        <v>105.23</v>
      </c>
      <c r="O170" s="348">
        <v>2845</v>
      </c>
      <c r="P170" s="345">
        <v>91.07</v>
      </c>
      <c r="Q170" s="345">
        <v>86.43</v>
      </c>
      <c r="R170" s="345">
        <v>38.04</v>
      </c>
      <c r="S170" s="345">
        <v>128.81</v>
      </c>
      <c r="T170" s="345">
        <v>1012</v>
      </c>
      <c r="U170" s="345">
        <v>128.72999999999999</v>
      </c>
      <c r="V170" s="345">
        <v>741</v>
      </c>
      <c r="W170" s="345">
        <v>180.2</v>
      </c>
      <c r="X170" s="345">
        <v>61</v>
      </c>
      <c r="Y170" s="345">
        <v>47</v>
      </c>
      <c r="Z170" s="345">
        <v>1</v>
      </c>
      <c r="AA170" s="345">
        <v>7</v>
      </c>
      <c r="AB170" s="345">
        <v>120</v>
      </c>
      <c r="AC170" s="345">
        <v>45</v>
      </c>
      <c r="AD170" s="349">
        <v>3558</v>
      </c>
      <c r="AE170" s="349">
        <v>38</v>
      </c>
      <c r="AF170" s="349">
        <v>22</v>
      </c>
      <c r="AG170" s="349">
        <v>60</v>
      </c>
    </row>
    <row r="171" spans="1:33" x14ac:dyDescent="0.25">
      <c r="A171" s="344" t="s">
        <v>398</v>
      </c>
      <c r="B171" s="350" t="s">
        <v>399</v>
      </c>
      <c r="C171" s="346">
        <v>598</v>
      </c>
      <c r="D171" s="346">
        <v>0</v>
      </c>
      <c r="E171" s="346">
        <v>39</v>
      </c>
      <c r="F171" s="346">
        <v>76</v>
      </c>
      <c r="G171" s="346">
        <v>202</v>
      </c>
      <c r="H171" s="346">
        <v>915</v>
      </c>
      <c r="I171" s="345">
        <v>713</v>
      </c>
      <c r="J171" s="345">
        <v>0</v>
      </c>
      <c r="K171" s="347">
        <v>90.32</v>
      </c>
      <c r="L171" s="347">
        <v>87.76</v>
      </c>
      <c r="M171" s="347">
        <v>3.06</v>
      </c>
      <c r="N171" s="347">
        <v>92.69</v>
      </c>
      <c r="O171" s="348">
        <v>413</v>
      </c>
      <c r="P171" s="345">
        <v>90.41</v>
      </c>
      <c r="Q171" s="345">
        <v>83.55</v>
      </c>
      <c r="R171" s="345">
        <v>73.790000000000006</v>
      </c>
      <c r="S171" s="345">
        <v>162.91999999999999</v>
      </c>
      <c r="T171" s="345">
        <v>115</v>
      </c>
      <c r="U171" s="345">
        <v>106.07</v>
      </c>
      <c r="V171" s="345">
        <v>167</v>
      </c>
      <c r="W171" s="345">
        <v>0</v>
      </c>
      <c r="X171" s="345">
        <v>0</v>
      </c>
      <c r="Y171" s="345">
        <v>0</v>
      </c>
      <c r="Z171" s="345">
        <v>3</v>
      </c>
      <c r="AA171" s="345">
        <v>0</v>
      </c>
      <c r="AB171" s="345">
        <v>12</v>
      </c>
      <c r="AC171" s="345">
        <v>3</v>
      </c>
      <c r="AD171" s="349">
        <v>597</v>
      </c>
      <c r="AE171" s="349">
        <v>35</v>
      </c>
      <c r="AF171" s="349">
        <v>2</v>
      </c>
      <c r="AG171" s="349">
        <v>37</v>
      </c>
    </row>
    <row r="172" spans="1:33" x14ac:dyDescent="0.25">
      <c r="A172" s="344" t="s">
        <v>400</v>
      </c>
      <c r="B172" s="350" t="s">
        <v>401</v>
      </c>
      <c r="C172" s="346">
        <v>5175</v>
      </c>
      <c r="D172" s="346">
        <v>0</v>
      </c>
      <c r="E172" s="346">
        <v>246</v>
      </c>
      <c r="F172" s="346">
        <v>1011</v>
      </c>
      <c r="G172" s="346">
        <v>527</v>
      </c>
      <c r="H172" s="346">
        <v>6959</v>
      </c>
      <c r="I172" s="345">
        <v>6432</v>
      </c>
      <c r="J172" s="345">
        <v>1</v>
      </c>
      <c r="K172" s="347">
        <v>90.58</v>
      </c>
      <c r="L172" s="347">
        <v>89.85</v>
      </c>
      <c r="M172" s="347">
        <v>4.3899999999999997</v>
      </c>
      <c r="N172" s="347">
        <v>92.79</v>
      </c>
      <c r="O172" s="348">
        <v>4325</v>
      </c>
      <c r="P172" s="345">
        <v>82.1</v>
      </c>
      <c r="Q172" s="345">
        <v>81.91</v>
      </c>
      <c r="R172" s="345">
        <v>29.57</v>
      </c>
      <c r="S172" s="345">
        <v>111.41</v>
      </c>
      <c r="T172" s="345">
        <v>1071</v>
      </c>
      <c r="U172" s="345">
        <v>113.41</v>
      </c>
      <c r="V172" s="345">
        <v>751</v>
      </c>
      <c r="W172" s="345">
        <v>112.53</v>
      </c>
      <c r="X172" s="345">
        <v>48</v>
      </c>
      <c r="Y172" s="345">
        <v>69</v>
      </c>
      <c r="Z172" s="345">
        <v>4</v>
      </c>
      <c r="AA172" s="345">
        <v>28</v>
      </c>
      <c r="AB172" s="345">
        <v>43</v>
      </c>
      <c r="AC172" s="345">
        <v>5</v>
      </c>
      <c r="AD172" s="349">
        <v>5081</v>
      </c>
      <c r="AE172" s="349">
        <v>15</v>
      </c>
      <c r="AF172" s="349">
        <v>31</v>
      </c>
      <c r="AG172" s="349">
        <v>46</v>
      </c>
    </row>
    <row r="173" spans="1:33" x14ac:dyDescent="0.25">
      <c r="A173" s="344" t="s">
        <v>402</v>
      </c>
      <c r="B173" s="350" t="s">
        <v>403</v>
      </c>
      <c r="C173" s="346">
        <v>10301</v>
      </c>
      <c r="D173" s="346">
        <v>11</v>
      </c>
      <c r="E173" s="346">
        <v>407</v>
      </c>
      <c r="F173" s="346">
        <v>796</v>
      </c>
      <c r="G173" s="346">
        <v>712</v>
      </c>
      <c r="H173" s="346">
        <v>12227</v>
      </c>
      <c r="I173" s="345">
        <v>11515</v>
      </c>
      <c r="J173" s="345">
        <v>51</v>
      </c>
      <c r="K173" s="347">
        <v>114.3</v>
      </c>
      <c r="L173" s="347">
        <v>112.66</v>
      </c>
      <c r="M173" s="347">
        <v>8.25</v>
      </c>
      <c r="N173" s="347">
        <v>119.53</v>
      </c>
      <c r="O173" s="348">
        <v>9092</v>
      </c>
      <c r="P173" s="345">
        <v>108.33</v>
      </c>
      <c r="Q173" s="345">
        <v>106.46</v>
      </c>
      <c r="R173" s="345">
        <v>37.86</v>
      </c>
      <c r="S173" s="345">
        <v>139.36000000000001</v>
      </c>
      <c r="T173" s="345">
        <v>903</v>
      </c>
      <c r="U173" s="345">
        <v>162.21</v>
      </c>
      <c r="V173" s="345">
        <v>1045</v>
      </c>
      <c r="W173" s="345">
        <v>254.61</v>
      </c>
      <c r="X173" s="345">
        <v>35</v>
      </c>
      <c r="Y173" s="345">
        <v>8</v>
      </c>
      <c r="Z173" s="345">
        <v>16</v>
      </c>
      <c r="AA173" s="345">
        <v>4</v>
      </c>
      <c r="AB173" s="345">
        <v>48</v>
      </c>
      <c r="AC173" s="345">
        <v>23</v>
      </c>
      <c r="AD173" s="349">
        <v>10212</v>
      </c>
      <c r="AE173" s="349">
        <v>31</v>
      </c>
      <c r="AF173" s="349">
        <v>75</v>
      </c>
      <c r="AG173" s="349">
        <v>106</v>
      </c>
    </row>
    <row r="174" spans="1:33" x14ac:dyDescent="0.25">
      <c r="A174" s="344" t="s">
        <v>404</v>
      </c>
      <c r="B174" s="350" t="s">
        <v>405</v>
      </c>
      <c r="C174" s="346">
        <v>1196</v>
      </c>
      <c r="D174" s="346">
        <v>0</v>
      </c>
      <c r="E174" s="346">
        <v>54</v>
      </c>
      <c r="F174" s="346">
        <v>283</v>
      </c>
      <c r="G174" s="346">
        <v>276</v>
      </c>
      <c r="H174" s="346">
        <v>1809</v>
      </c>
      <c r="I174" s="345">
        <v>1533</v>
      </c>
      <c r="J174" s="345">
        <v>1</v>
      </c>
      <c r="K174" s="347">
        <v>87.38</v>
      </c>
      <c r="L174" s="347">
        <v>84.47</v>
      </c>
      <c r="M174" s="347">
        <v>4.62</v>
      </c>
      <c r="N174" s="347">
        <v>91.34</v>
      </c>
      <c r="O174" s="348">
        <v>811</v>
      </c>
      <c r="P174" s="345">
        <v>77.709999999999994</v>
      </c>
      <c r="Q174" s="345">
        <v>75.61</v>
      </c>
      <c r="R174" s="345">
        <v>17.809999999999999</v>
      </c>
      <c r="S174" s="345">
        <v>94.92</v>
      </c>
      <c r="T174" s="345">
        <v>149</v>
      </c>
      <c r="U174" s="345">
        <v>123.57</v>
      </c>
      <c r="V174" s="345">
        <v>274</v>
      </c>
      <c r="W174" s="345">
        <v>0</v>
      </c>
      <c r="X174" s="345">
        <v>0</v>
      </c>
      <c r="Y174" s="345">
        <v>0</v>
      </c>
      <c r="Z174" s="345">
        <v>0</v>
      </c>
      <c r="AA174" s="345">
        <v>1</v>
      </c>
      <c r="AB174" s="345">
        <v>43</v>
      </c>
      <c r="AC174" s="345">
        <v>7</v>
      </c>
      <c r="AD174" s="349">
        <v>1078</v>
      </c>
      <c r="AE174" s="349">
        <v>16</v>
      </c>
      <c r="AF174" s="349">
        <v>0</v>
      </c>
      <c r="AG174" s="349">
        <v>16</v>
      </c>
    </row>
    <row r="175" spans="1:33" x14ac:dyDescent="0.25">
      <c r="A175" s="344" t="s">
        <v>406</v>
      </c>
      <c r="B175" s="350" t="s">
        <v>407</v>
      </c>
      <c r="C175" s="346">
        <v>1465</v>
      </c>
      <c r="D175" s="346">
        <v>0</v>
      </c>
      <c r="E175" s="346">
        <v>107</v>
      </c>
      <c r="F175" s="346">
        <v>210</v>
      </c>
      <c r="G175" s="346">
        <v>353</v>
      </c>
      <c r="H175" s="346">
        <v>2135</v>
      </c>
      <c r="I175" s="345">
        <v>1782</v>
      </c>
      <c r="J175" s="345">
        <v>3</v>
      </c>
      <c r="K175" s="347">
        <v>92.23</v>
      </c>
      <c r="L175" s="347">
        <v>91.99</v>
      </c>
      <c r="M175" s="347">
        <v>3.94</v>
      </c>
      <c r="N175" s="347">
        <v>95.09</v>
      </c>
      <c r="O175" s="348">
        <v>904</v>
      </c>
      <c r="P175" s="345">
        <v>85.3</v>
      </c>
      <c r="Q175" s="345">
        <v>79.27</v>
      </c>
      <c r="R175" s="345">
        <v>35.86</v>
      </c>
      <c r="S175" s="345">
        <v>120.91</v>
      </c>
      <c r="T175" s="345">
        <v>291</v>
      </c>
      <c r="U175" s="345">
        <v>111.34</v>
      </c>
      <c r="V175" s="345">
        <v>506</v>
      </c>
      <c r="W175" s="345">
        <v>113.33</v>
      </c>
      <c r="X175" s="345">
        <v>1</v>
      </c>
      <c r="Y175" s="345">
        <v>0</v>
      </c>
      <c r="Z175" s="345">
        <v>0</v>
      </c>
      <c r="AA175" s="345">
        <v>0</v>
      </c>
      <c r="AB175" s="345">
        <v>18</v>
      </c>
      <c r="AC175" s="345">
        <v>3</v>
      </c>
      <c r="AD175" s="349">
        <v>1465</v>
      </c>
      <c r="AE175" s="349">
        <v>8</v>
      </c>
      <c r="AF175" s="349">
        <v>3</v>
      </c>
      <c r="AG175" s="349">
        <v>11</v>
      </c>
    </row>
    <row r="176" spans="1:33" x14ac:dyDescent="0.25">
      <c r="A176" s="344" t="s">
        <v>408</v>
      </c>
      <c r="B176" s="350" t="s">
        <v>409</v>
      </c>
      <c r="C176" s="346">
        <v>5947</v>
      </c>
      <c r="D176" s="346">
        <v>3</v>
      </c>
      <c r="E176" s="346">
        <v>137</v>
      </c>
      <c r="F176" s="346">
        <v>809</v>
      </c>
      <c r="G176" s="346">
        <v>728</v>
      </c>
      <c r="H176" s="346">
        <v>7624</v>
      </c>
      <c r="I176" s="345">
        <v>6896</v>
      </c>
      <c r="J176" s="345">
        <v>2</v>
      </c>
      <c r="K176" s="347">
        <v>114.62</v>
      </c>
      <c r="L176" s="347">
        <v>109.68</v>
      </c>
      <c r="M176" s="347">
        <v>5.93</v>
      </c>
      <c r="N176" s="347">
        <v>119.01</v>
      </c>
      <c r="O176" s="348">
        <v>4123</v>
      </c>
      <c r="P176" s="345">
        <v>100.81</v>
      </c>
      <c r="Q176" s="345">
        <v>99.63</v>
      </c>
      <c r="R176" s="345">
        <v>50.13</v>
      </c>
      <c r="S176" s="345">
        <v>149.56</v>
      </c>
      <c r="T176" s="345">
        <v>797</v>
      </c>
      <c r="U176" s="345">
        <v>164.83</v>
      </c>
      <c r="V176" s="345">
        <v>1475</v>
      </c>
      <c r="W176" s="345">
        <v>174.45</v>
      </c>
      <c r="X176" s="345">
        <v>9</v>
      </c>
      <c r="Y176" s="345">
        <v>73</v>
      </c>
      <c r="Z176" s="345">
        <v>3</v>
      </c>
      <c r="AA176" s="345">
        <v>2</v>
      </c>
      <c r="AB176" s="345">
        <v>52</v>
      </c>
      <c r="AC176" s="345">
        <v>10</v>
      </c>
      <c r="AD176" s="349">
        <v>5646</v>
      </c>
      <c r="AE176" s="349">
        <v>67</v>
      </c>
      <c r="AF176" s="349">
        <v>18</v>
      </c>
      <c r="AG176" s="349">
        <v>85</v>
      </c>
    </row>
    <row r="177" spans="1:33" x14ac:dyDescent="0.25">
      <c r="A177" s="344" t="s">
        <v>410</v>
      </c>
      <c r="B177" s="350" t="s">
        <v>411</v>
      </c>
      <c r="C177" s="346">
        <v>13142</v>
      </c>
      <c r="D177" s="346">
        <v>2</v>
      </c>
      <c r="E177" s="346">
        <v>548</v>
      </c>
      <c r="F177" s="346">
        <v>1440</v>
      </c>
      <c r="G177" s="346">
        <v>266</v>
      </c>
      <c r="H177" s="346">
        <v>15398</v>
      </c>
      <c r="I177" s="345">
        <v>15132</v>
      </c>
      <c r="J177" s="345">
        <v>11</v>
      </c>
      <c r="K177" s="347">
        <v>84.36</v>
      </c>
      <c r="L177" s="347">
        <v>81.16</v>
      </c>
      <c r="M177" s="347">
        <v>9.3800000000000008</v>
      </c>
      <c r="N177" s="347">
        <v>87.17</v>
      </c>
      <c r="O177" s="348">
        <v>12381</v>
      </c>
      <c r="P177" s="345">
        <v>86.17</v>
      </c>
      <c r="Q177" s="345">
        <v>78.45</v>
      </c>
      <c r="R177" s="345">
        <v>57.55</v>
      </c>
      <c r="S177" s="345">
        <v>130.66999999999999</v>
      </c>
      <c r="T177" s="345">
        <v>1870</v>
      </c>
      <c r="U177" s="345">
        <v>94.43</v>
      </c>
      <c r="V177" s="345">
        <v>639</v>
      </c>
      <c r="W177" s="345">
        <v>155.27000000000001</v>
      </c>
      <c r="X177" s="345">
        <v>101</v>
      </c>
      <c r="Y177" s="345">
        <v>0</v>
      </c>
      <c r="Z177" s="345">
        <v>61</v>
      </c>
      <c r="AA177" s="345">
        <v>1</v>
      </c>
      <c r="AB177" s="345">
        <v>17</v>
      </c>
      <c r="AC177" s="345">
        <v>2</v>
      </c>
      <c r="AD177" s="349">
        <v>13112</v>
      </c>
      <c r="AE177" s="349">
        <v>188</v>
      </c>
      <c r="AF177" s="349">
        <v>253</v>
      </c>
      <c r="AG177" s="349">
        <v>441</v>
      </c>
    </row>
    <row r="178" spans="1:33" x14ac:dyDescent="0.25">
      <c r="A178" s="344" t="s">
        <v>412</v>
      </c>
      <c r="B178" s="350" t="s">
        <v>413</v>
      </c>
      <c r="C178" s="346">
        <v>8510</v>
      </c>
      <c r="D178" s="346">
        <v>81</v>
      </c>
      <c r="E178" s="346">
        <v>480</v>
      </c>
      <c r="F178" s="346">
        <v>585</v>
      </c>
      <c r="G178" s="346">
        <v>5605</v>
      </c>
      <c r="H178" s="346">
        <v>15261</v>
      </c>
      <c r="I178" s="345">
        <v>9656</v>
      </c>
      <c r="J178" s="345">
        <v>16</v>
      </c>
      <c r="K178" s="347">
        <v>97.84</v>
      </c>
      <c r="L178" s="347">
        <v>95.01</v>
      </c>
      <c r="M178" s="347">
        <v>6.84</v>
      </c>
      <c r="N178" s="347">
        <v>102.36</v>
      </c>
      <c r="O178" s="348">
        <v>6429</v>
      </c>
      <c r="P178" s="345">
        <v>103.38</v>
      </c>
      <c r="Q178" s="345">
        <v>98.24</v>
      </c>
      <c r="R178" s="345">
        <v>44.25</v>
      </c>
      <c r="S178" s="345">
        <v>146.21</v>
      </c>
      <c r="T178" s="345">
        <v>867</v>
      </c>
      <c r="U178" s="345">
        <v>138.19999999999999</v>
      </c>
      <c r="V178" s="345">
        <v>1370</v>
      </c>
      <c r="W178" s="345">
        <v>129.15</v>
      </c>
      <c r="X178" s="345">
        <v>4</v>
      </c>
      <c r="Y178" s="345">
        <v>0</v>
      </c>
      <c r="Z178" s="345">
        <v>1</v>
      </c>
      <c r="AA178" s="345">
        <v>3</v>
      </c>
      <c r="AB178" s="345">
        <v>178</v>
      </c>
      <c r="AC178" s="345">
        <v>54</v>
      </c>
      <c r="AD178" s="349">
        <v>8191</v>
      </c>
      <c r="AE178" s="349">
        <v>56</v>
      </c>
      <c r="AF178" s="349">
        <v>39</v>
      </c>
      <c r="AG178" s="349">
        <v>95</v>
      </c>
    </row>
    <row r="179" spans="1:33" x14ac:dyDescent="0.25">
      <c r="A179" s="344" t="s">
        <v>414</v>
      </c>
      <c r="B179" s="350" t="s">
        <v>415</v>
      </c>
      <c r="C179" s="346">
        <v>3491</v>
      </c>
      <c r="D179" s="346">
        <v>11</v>
      </c>
      <c r="E179" s="346">
        <v>219</v>
      </c>
      <c r="F179" s="346">
        <v>682</v>
      </c>
      <c r="G179" s="346">
        <v>298</v>
      </c>
      <c r="H179" s="346">
        <v>4701</v>
      </c>
      <c r="I179" s="345">
        <v>4403</v>
      </c>
      <c r="J179" s="345">
        <v>0</v>
      </c>
      <c r="K179" s="347">
        <v>110.92</v>
      </c>
      <c r="L179" s="347">
        <v>112.43</v>
      </c>
      <c r="M179" s="347">
        <v>4.66</v>
      </c>
      <c r="N179" s="347">
        <v>114.18</v>
      </c>
      <c r="O179" s="348">
        <v>2996</v>
      </c>
      <c r="P179" s="345">
        <v>99.06</v>
      </c>
      <c r="Q179" s="345">
        <v>99.67</v>
      </c>
      <c r="R179" s="345">
        <v>40.21</v>
      </c>
      <c r="S179" s="345">
        <v>138.11000000000001</v>
      </c>
      <c r="T179" s="345">
        <v>726</v>
      </c>
      <c r="U179" s="345">
        <v>155.9</v>
      </c>
      <c r="V179" s="345">
        <v>470</v>
      </c>
      <c r="W179" s="345">
        <v>0</v>
      </c>
      <c r="X179" s="345">
        <v>0</v>
      </c>
      <c r="Y179" s="345">
        <v>0</v>
      </c>
      <c r="Z179" s="345">
        <v>2</v>
      </c>
      <c r="AA179" s="345">
        <v>1</v>
      </c>
      <c r="AB179" s="345">
        <v>3</v>
      </c>
      <c r="AC179" s="345">
        <v>5</v>
      </c>
      <c r="AD179" s="349">
        <v>3488</v>
      </c>
      <c r="AE179" s="349">
        <v>36</v>
      </c>
      <c r="AF179" s="349">
        <v>43</v>
      </c>
      <c r="AG179" s="349">
        <v>79</v>
      </c>
    </row>
    <row r="180" spans="1:33" x14ac:dyDescent="0.25">
      <c r="A180" s="344" t="s">
        <v>416</v>
      </c>
      <c r="B180" s="350" t="s">
        <v>417</v>
      </c>
      <c r="C180" s="346">
        <v>2812</v>
      </c>
      <c r="D180" s="346">
        <v>8</v>
      </c>
      <c r="E180" s="346">
        <v>290</v>
      </c>
      <c r="F180" s="346">
        <v>323</v>
      </c>
      <c r="G180" s="346">
        <v>371</v>
      </c>
      <c r="H180" s="346">
        <v>3804</v>
      </c>
      <c r="I180" s="345">
        <v>3433</v>
      </c>
      <c r="J180" s="345">
        <v>0</v>
      </c>
      <c r="K180" s="347">
        <v>110.73</v>
      </c>
      <c r="L180" s="347">
        <v>108.61</v>
      </c>
      <c r="M180" s="347">
        <v>4.1100000000000003</v>
      </c>
      <c r="N180" s="347">
        <v>113.96</v>
      </c>
      <c r="O180" s="348">
        <v>2377</v>
      </c>
      <c r="P180" s="345">
        <v>100.92</v>
      </c>
      <c r="Q180" s="345">
        <v>92.62</v>
      </c>
      <c r="R180" s="345">
        <v>31.16</v>
      </c>
      <c r="S180" s="345">
        <v>130.35</v>
      </c>
      <c r="T180" s="345">
        <v>485</v>
      </c>
      <c r="U180" s="345">
        <v>141.09</v>
      </c>
      <c r="V180" s="345">
        <v>269</v>
      </c>
      <c r="W180" s="345">
        <v>138.77000000000001</v>
      </c>
      <c r="X180" s="345">
        <v>4</v>
      </c>
      <c r="Y180" s="345">
        <v>6</v>
      </c>
      <c r="Z180" s="345">
        <v>0</v>
      </c>
      <c r="AA180" s="345">
        <v>2</v>
      </c>
      <c r="AB180" s="345">
        <v>12</v>
      </c>
      <c r="AC180" s="345">
        <v>7</v>
      </c>
      <c r="AD180" s="349">
        <v>2720</v>
      </c>
      <c r="AE180" s="349">
        <v>8</v>
      </c>
      <c r="AF180" s="349">
        <v>6</v>
      </c>
      <c r="AG180" s="349">
        <v>14</v>
      </c>
    </row>
    <row r="181" spans="1:33" x14ac:dyDescent="0.25">
      <c r="A181" s="344" t="s">
        <v>418</v>
      </c>
      <c r="B181" s="350" t="s">
        <v>419</v>
      </c>
      <c r="C181" s="346">
        <v>1952</v>
      </c>
      <c r="D181" s="346">
        <v>0</v>
      </c>
      <c r="E181" s="346">
        <v>317</v>
      </c>
      <c r="F181" s="346">
        <v>263</v>
      </c>
      <c r="G181" s="346">
        <v>334</v>
      </c>
      <c r="H181" s="346">
        <v>2866</v>
      </c>
      <c r="I181" s="345">
        <v>2532</v>
      </c>
      <c r="J181" s="345">
        <v>0</v>
      </c>
      <c r="K181" s="347">
        <v>85.74</v>
      </c>
      <c r="L181" s="347">
        <v>82.69</v>
      </c>
      <c r="M181" s="347">
        <v>4.04</v>
      </c>
      <c r="N181" s="347">
        <v>88.02</v>
      </c>
      <c r="O181" s="348">
        <v>1571</v>
      </c>
      <c r="P181" s="345">
        <v>105.19</v>
      </c>
      <c r="Q181" s="345">
        <v>77.73</v>
      </c>
      <c r="R181" s="345">
        <v>69.67</v>
      </c>
      <c r="S181" s="345">
        <v>174.86</v>
      </c>
      <c r="T181" s="345">
        <v>435</v>
      </c>
      <c r="U181" s="345">
        <v>93.6</v>
      </c>
      <c r="V181" s="345">
        <v>310</v>
      </c>
      <c r="W181" s="345">
        <v>0</v>
      </c>
      <c r="X181" s="345">
        <v>0</v>
      </c>
      <c r="Y181" s="345">
        <v>0</v>
      </c>
      <c r="Z181" s="345">
        <v>7</v>
      </c>
      <c r="AA181" s="345">
        <v>13</v>
      </c>
      <c r="AB181" s="345">
        <v>52</v>
      </c>
      <c r="AC181" s="345">
        <v>6</v>
      </c>
      <c r="AD181" s="349">
        <v>1952</v>
      </c>
      <c r="AE181" s="349">
        <v>12</v>
      </c>
      <c r="AF181" s="349">
        <v>67</v>
      </c>
      <c r="AG181" s="349">
        <v>79</v>
      </c>
    </row>
    <row r="182" spans="1:33" x14ac:dyDescent="0.25">
      <c r="A182" s="344" t="s">
        <v>420</v>
      </c>
      <c r="B182" s="350" t="s">
        <v>421</v>
      </c>
      <c r="C182" s="346">
        <v>7324</v>
      </c>
      <c r="D182" s="346">
        <v>137</v>
      </c>
      <c r="E182" s="346">
        <v>1397</v>
      </c>
      <c r="F182" s="346">
        <v>1515</v>
      </c>
      <c r="G182" s="346">
        <v>331</v>
      </c>
      <c r="H182" s="346">
        <v>10704</v>
      </c>
      <c r="I182" s="345">
        <v>10373</v>
      </c>
      <c r="J182" s="345">
        <v>39</v>
      </c>
      <c r="K182" s="347">
        <v>76.77</v>
      </c>
      <c r="L182" s="347">
        <v>74.83</v>
      </c>
      <c r="M182" s="347">
        <v>9.6199999999999992</v>
      </c>
      <c r="N182" s="347">
        <v>84.83</v>
      </c>
      <c r="O182" s="348">
        <v>5748</v>
      </c>
      <c r="P182" s="345">
        <v>83.52</v>
      </c>
      <c r="Q182" s="345">
        <v>72.67</v>
      </c>
      <c r="R182" s="345">
        <v>64.3</v>
      </c>
      <c r="S182" s="345">
        <v>145.76</v>
      </c>
      <c r="T182" s="345">
        <v>2157</v>
      </c>
      <c r="U182" s="345">
        <v>98.92</v>
      </c>
      <c r="V182" s="345">
        <v>1175</v>
      </c>
      <c r="W182" s="345">
        <v>186.62</v>
      </c>
      <c r="X182" s="345">
        <v>363</v>
      </c>
      <c r="Y182" s="345">
        <v>248</v>
      </c>
      <c r="Z182" s="345">
        <v>9</v>
      </c>
      <c r="AA182" s="345">
        <v>4</v>
      </c>
      <c r="AB182" s="345">
        <v>4</v>
      </c>
      <c r="AC182" s="345">
        <v>8</v>
      </c>
      <c r="AD182" s="349">
        <v>6752</v>
      </c>
      <c r="AE182" s="349">
        <v>66</v>
      </c>
      <c r="AF182" s="349">
        <v>62</v>
      </c>
      <c r="AG182" s="349">
        <v>128</v>
      </c>
    </row>
    <row r="183" spans="1:33" x14ac:dyDescent="0.25">
      <c r="A183" s="344" t="s">
        <v>422</v>
      </c>
      <c r="B183" s="350" t="s">
        <v>423</v>
      </c>
      <c r="C183" s="346">
        <v>8777</v>
      </c>
      <c r="D183" s="346">
        <v>9</v>
      </c>
      <c r="E183" s="346">
        <v>122</v>
      </c>
      <c r="F183" s="346">
        <v>876</v>
      </c>
      <c r="G183" s="346">
        <v>232</v>
      </c>
      <c r="H183" s="346">
        <v>10016</v>
      </c>
      <c r="I183" s="345">
        <v>9784</v>
      </c>
      <c r="J183" s="345">
        <v>15</v>
      </c>
      <c r="K183" s="347">
        <v>76.25</v>
      </c>
      <c r="L183" s="347">
        <v>78.56</v>
      </c>
      <c r="M183" s="347">
        <v>4.17</v>
      </c>
      <c r="N183" s="347">
        <v>80.180000000000007</v>
      </c>
      <c r="O183" s="348">
        <v>8195</v>
      </c>
      <c r="P183" s="345">
        <v>75.180000000000007</v>
      </c>
      <c r="Q183" s="345">
        <v>77.61</v>
      </c>
      <c r="R183" s="345">
        <v>26.39</v>
      </c>
      <c r="S183" s="345">
        <v>101.57</v>
      </c>
      <c r="T183" s="345">
        <v>815</v>
      </c>
      <c r="U183" s="345">
        <v>96.06</v>
      </c>
      <c r="V183" s="345">
        <v>544</v>
      </c>
      <c r="W183" s="345">
        <v>223.73</v>
      </c>
      <c r="X183" s="345">
        <v>98</v>
      </c>
      <c r="Y183" s="345">
        <v>26</v>
      </c>
      <c r="Z183" s="345">
        <v>53</v>
      </c>
      <c r="AA183" s="345">
        <v>41</v>
      </c>
      <c r="AB183" s="345">
        <v>9</v>
      </c>
      <c r="AC183" s="345">
        <v>7</v>
      </c>
      <c r="AD183" s="349">
        <v>8777</v>
      </c>
      <c r="AE183" s="349">
        <v>34</v>
      </c>
      <c r="AF183" s="349">
        <v>180</v>
      </c>
      <c r="AG183" s="349">
        <v>214</v>
      </c>
    </row>
    <row r="184" spans="1:33" x14ac:dyDescent="0.25">
      <c r="A184" s="344" t="s">
        <v>424</v>
      </c>
      <c r="B184" s="350" t="s">
        <v>425</v>
      </c>
      <c r="C184" s="346">
        <v>12341</v>
      </c>
      <c r="D184" s="346">
        <v>22</v>
      </c>
      <c r="E184" s="346">
        <v>797</v>
      </c>
      <c r="F184" s="346">
        <v>950</v>
      </c>
      <c r="G184" s="346">
        <v>2483</v>
      </c>
      <c r="H184" s="346">
        <v>16593</v>
      </c>
      <c r="I184" s="345">
        <v>14110</v>
      </c>
      <c r="J184" s="345">
        <v>53</v>
      </c>
      <c r="K184" s="347">
        <v>121.7</v>
      </c>
      <c r="L184" s="347">
        <v>115.4</v>
      </c>
      <c r="M184" s="347">
        <v>11.85</v>
      </c>
      <c r="N184" s="347">
        <v>128.1</v>
      </c>
      <c r="O184" s="348">
        <v>9527</v>
      </c>
      <c r="P184" s="345">
        <v>102.78</v>
      </c>
      <c r="Q184" s="345">
        <v>98.08</v>
      </c>
      <c r="R184" s="345">
        <v>41.73</v>
      </c>
      <c r="S184" s="345">
        <v>141.44</v>
      </c>
      <c r="T184" s="345">
        <v>1559</v>
      </c>
      <c r="U184" s="345">
        <v>198.86</v>
      </c>
      <c r="V184" s="345">
        <v>1167</v>
      </c>
      <c r="W184" s="345">
        <v>175.92</v>
      </c>
      <c r="X184" s="345">
        <v>12</v>
      </c>
      <c r="Y184" s="345">
        <v>4</v>
      </c>
      <c r="Z184" s="345">
        <v>0</v>
      </c>
      <c r="AA184" s="345">
        <v>27</v>
      </c>
      <c r="AB184" s="345">
        <v>173</v>
      </c>
      <c r="AC184" s="345">
        <v>92</v>
      </c>
      <c r="AD184" s="349">
        <v>11571</v>
      </c>
      <c r="AE184" s="349">
        <v>140</v>
      </c>
      <c r="AF184" s="349">
        <v>35</v>
      </c>
      <c r="AG184" s="349">
        <v>175</v>
      </c>
    </row>
    <row r="185" spans="1:33" x14ac:dyDescent="0.25">
      <c r="A185" s="344" t="s">
        <v>426</v>
      </c>
      <c r="B185" s="350" t="s">
        <v>427</v>
      </c>
      <c r="C185" s="346">
        <v>3938</v>
      </c>
      <c r="D185" s="346">
        <v>0</v>
      </c>
      <c r="E185" s="346">
        <v>75</v>
      </c>
      <c r="F185" s="346">
        <v>799</v>
      </c>
      <c r="G185" s="346">
        <v>392</v>
      </c>
      <c r="H185" s="346">
        <v>5204</v>
      </c>
      <c r="I185" s="345">
        <v>4812</v>
      </c>
      <c r="J185" s="345">
        <v>18</v>
      </c>
      <c r="K185" s="347">
        <v>83.54</v>
      </c>
      <c r="L185" s="347">
        <v>82.84</v>
      </c>
      <c r="M185" s="347">
        <v>4.0199999999999996</v>
      </c>
      <c r="N185" s="347">
        <v>86.14</v>
      </c>
      <c r="O185" s="348">
        <v>3413</v>
      </c>
      <c r="P185" s="345">
        <v>74.87</v>
      </c>
      <c r="Q185" s="345">
        <v>73.67</v>
      </c>
      <c r="R185" s="345">
        <v>19.59</v>
      </c>
      <c r="S185" s="345">
        <v>93.99</v>
      </c>
      <c r="T185" s="345">
        <v>757</v>
      </c>
      <c r="U185" s="345">
        <v>113.68</v>
      </c>
      <c r="V185" s="345">
        <v>493</v>
      </c>
      <c r="W185" s="345">
        <v>132.93</v>
      </c>
      <c r="X185" s="345">
        <v>28</v>
      </c>
      <c r="Y185" s="345">
        <v>0</v>
      </c>
      <c r="Z185" s="345">
        <v>10</v>
      </c>
      <c r="AA185" s="345">
        <v>14</v>
      </c>
      <c r="AB185" s="345">
        <v>32</v>
      </c>
      <c r="AC185" s="345">
        <v>4</v>
      </c>
      <c r="AD185" s="349">
        <v>3938</v>
      </c>
      <c r="AE185" s="349">
        <v>5</v>
      </c>
      <c r="AF185" s="349">
        <v>20</v>
      </c>
      <c r="AG185" s="349">
        <v>25</v>
      </c>
    </row>
    <row r="186" spans="1:33" x14ac:dyDescent="0.25">
      <c r="A186" s="344" t="s">
        <v>428</v>
      </c>
      <c r="B186" s="350" t="s">
        <v>429</v>
      </c>
      <c r="C186" s="346">
        <v>892</v>
      </c>
      <c r="D186" s="346">
        <v>0</v>
      </c>
      <c r="E186" s="346">
        <v>84</v>
      </c>
      <c r="F186" s="346">
        <v>119</v>
      </c>
      <c r="G186" s="346">
        <v>138</v>
      </c>
      <c r="H186" s="346">
        <v>1233</v>
      </c>
      <c r="I186" s="345">
        <v>1095</v>
      </c>
      <c r="J186" s="345">
        <v>1</v>
      </c>
      <c r="K186" s="347">
        <v>88.62</v>
      </c>
      <c r="L186" s="347">
        <v>86.6</v>
      </c>
      <c r="M186" s="347">
        <v>3.78</v>
      </c>
      <c r="N186" s="347">
        <v>90.33</v>
      </c>
      <c r="O186" s="348">
        <v>531</v>
      </c>
      <c r="P186" s="345">
        <v>100.28</v>
      </c>
      <c r="Q186" s="345">
        <v>87.6</v>
      </c>
      <c r="R186" s="345">
        <v>38.799999999999997</v>
      </c>
      <c r="S186" s="345">
        <v>135.99</v>
      </c>
      <c r="T186" s="345">
        <v>201</v>
      </c>
      <c r="U186" s="345">
        <v>96.52</v>
      </c>
      <c r="V186" s="345">
        <v>336</v>
      </c>
      <c r="W186" s="345">
        <v>0</v>
      </c>
      <c r="X186" s="345">
        <v>0</v>
      </c>
      <c r="Y186" s="345">
        <v>77</v>
      </c>
      <c r="Z186" s="345">
        <v>4</v>
      </c>
      <c r="AA186" s="345">
        <v>1</v>
      </c>
      <c r="AB186" s="345">
        <v>10</v>
      </c>
      <c r="AC186" s="345">
        <v>6</v>
      </c>
      <c r="AD186" s="349">
        <v>697</v>
      </c>
      <c r="AE186" s="349">
        <v>4</v>
      </c>
      <c r="AF186" s="349">
        <v>3</v>
      </c>
      <c r="AG186" s="349">
        <v>7</v>
      </c>
    </row>
    <row r="187" spans="1:33" x14ac:dyDescent="0.25">
      <c r="A187" s="344" t="s">
        <v>430</v>
      </c>
      <c r="B187" s="350" t="s">
        <v>431</v>
      </c>
      <c r="C187" s="346">
        <v>7960</v>
      </c>
      <c r="D187" s="346">
        <v>0</v>
      </c>
      <c r="E187" s="346">
        <v>373</v>
      </c>
      <c r="F187" s="346">
        <v>1143</v>
      </c>
      <c r="G187" s="346">
        <v>249</v>
      </c>
      <c r="H187" s="346">
        <v>9725</v>
      </c>
      <c r="I187" s="345">
        <v>9476</v>
      </c>
      <c r="J187" s="345">
        <v>0</v>
      </c>
      <c r="K187" s="347">
        <v>76.94</v>
      </c>
      <c r="L187" s="347">
        <v>76.95</v>
      </c>
      <c r="M187" s="347">
        <v>2.5</v>
      </c>
      <c r="N187" s="347">
        <v>79.28</v>
      </c>
      <c r="O187" s="348">
        <v>7891</v>
      </c>
      <c r="P187" s="345">
        <v>90.99</v>
      </c>
      <c r="Q187" s="345">
        <v>74.34</v>
      </c>
      <c r="R187" s="345">
        <v>31.84</v>
      </c>
      <c r="S187" s="345">
        <v>122.81</v>
      </c>
      <c r="T187" s="345">
        <v>1387</v>
      </c>
      <c r="U187" s="345">
        <v>90.86</v>
      </c>
      <c r="V187" s="345">
        <v>53</v>
      </c>
      <c r="W187" s="345">
        <v>0</v>
      </c>
      <c r="X187" s="345">
        <v>0</v>
      </c>
      <c r="Y187" s="345">
        <v>0</v>
      </c>
      <c r="Z187" s="345">
        <v>22</v>
      </c>
      <c r="AA187" s="345">
        <v>21</v>
      </c>
      <c r="AB187" s="345">
        <v>24</v>
      </c>
      <c r="AC187" s="345">
        <v>3</v>
      </c>
      <c r="AD187" s="349">
        <v>7958</v>
      </c>
      <c r="AE187" s="349">
        <v>72</v>
      </c>
      <c r="AF187" s="349">
        <v>126</v>
      </c>
      <c r="AG187" s="349">
        <v>198</v>
      </c>
    </row>
    <row r="188" spans="1:33" x14ac:dyDescent="0.25">
      <c r="A188" s="344" t="s">
        <v>432</v>
      </c>
      <c r="B188" s="350" t="s">
        <v>433</v>
      </c>
      <c r="C188" s="346">
        <v>9395</v>
      </c>
      <c r="D188" s="346">
        <v>0</v>
      </c>
      <c r="E188" s="346">
        <v>250</v>
      </c>
      <c r="F188" s="346">
        <v>964</v>
      </c>
      <c r="G188" s="346">
        <v>564</v>
      </c>
      <c r="H188" s="346">
        <v>11173</v>
      </c>
      <c r="I188" s="345">
        <v>10609</v>
      </c>
      <c r="J188" s="345">
        <v>464</v>
      </c>
      <c r="K188" s="347">
        <v>107.26</v>
      </c>
      <c r="L188" s="347">
        <v>113.64</v>
      </c>
      <c r="M188" s="347">
        <v>4.83</v>
      </c>
      <c r="N188" s="347">
        <v>108.79</v>
      </c>
      <c r="O188" s="348">
        <v>9085</v>
      </c>
      <c r="P188" s="345">
        <v>95.55</v>
      </c>
      <c r="Q188" s="345">
        <v>95.89</v>
      </c>
      <c r="R188" s="345">
        <v>19.45</v>
      </c>
      <c r="S188" s="345">
        <v>114.66</v>
      </c>
      <c r="T188" s="345">
        <v>1192</v>
      </c>
      <c r="U188" s="345">
        <v>136.49</v>
      </c>
      <c r="V188" s="345">
        <v>237</v>
      </c>
      <c r="W188" s="345">
        <v>0</v>
      </c>
      <c r="X188" s="345">
        <v>0</v>
      </c>
      <c r="Y188" s="345">
        <v>0</v>
      </c>
      <c r="Z188" s="345">
        <v>20</v>
      </c>
      <c r="AA188" s="345">
        <v>0</v>
      </c>
      <c r="AB188" s="345">
        <v>12</v>
      </c>
      <c r="AC188" s="345">
        <v>8</v>
      </c>
      <c r="AD188" s="349">
        <v>9343</v>
      </c>
      <c r="AE188" s="349">
        <v>29</v>
      </c>
      <c r="AF188" s="349">
        <v>20</v>
      </c>
      <c r="AG188" s="349">
        <v>49</v>
      </c>
    </row>
    <row r="189" spans="1:33" x14ac:dyDescent="0.25">
      <c r="A189" s="344" t="s">
        <v>434</v>
      </c>
      <c r="B189" s="350" t="s">
        <v>435</v>
      </c>
      <c r="C189" s="346">
        <v>1157</v>
      </c>
      <c r="D189" s="346">
        <v>0</v>
      </c>
      <c r="E189" s="346">
        <v>126</v>
      </c>
      <c r="F189" s="346">
        <v>98</v>
      </c>
      <c r="G189" s="346">
        <v>449</v>
      </c>
      <c r="H189" s="346">
        <v>1830</v>
      </c>
      <c r="I189" s="345">
        <v>1381</v>
      </c>
      <c r="J189" s="345">
        <v>0</v>
      </c>
      <c r="K189" s="347">
        <v>86.54</v>
      </c>
      <c r="L189" s="347">
        <v>85.86</v>
      </c>
      <c r="M189" s="347">
        <v>4.41</v>
      </c>
      <c r="N189" s="347">
        <v>90.11</v>
      </c>
      <c r="O189" s="348">
        <v>772</v>
      </c>
      <c r="P189" s="345">
        <v>105.95</v>
      </c>
      <c r="Q189" s="345">
        <v>84.1</v>
      </c>
      <c r="R189" s="345">
        <v>69.06</v>
      </c>
      <c r="S189" s="345">
        <v>175.01</v>
      </c>
      <c r="T189" s="345">
        <v>210</v>
      </c>
      <c r="U189" s="345">
        <v>99.81</v>
      </c>
      <c r="V189" s="345">
        <v>274</v>
      </c>
      <c r="W189" s="345">
        <v>114.26</v>
      </c>
      <c r="X189" s="345">
        <v>1</v>
      </c>
      <c r="Y189" s="345">
        <v>0</v>
      </c>
      <c r="Z189" s="345">
        <v>3</v>
      </c>
      <c r="AA189" s="345">
        <v>1</v>
      </c>
      <c r="AB189" s="345">
        <v>76</v>
      </c>
      <c r="AC189" s="345">
        <v>8</v>
      </c>
      <c r="AD189" s="349">
        <v>1074</v>
      </c>
      <c r="AE189" s="349">
        <v>6</v>
      </c>
      <c r="AF189" s="349">
        <v>0</v>
      </c>
      <c r="AG189" s="349">
        <v>6</v>
      </c>
    </row>
    <row r="190" spans="1:33" x14ac:dyDescent="0.25">
      <c r="A190" s="344" t="s">
        <v>436</v>
      </c>
      <c r="B190" s="350" t="s">
        <v>437</v>
      </c>
      <c r="C190" s="346">
        <v>10848</v>
      </c>
      <c r="D190" s="346">
        <v>2</v>
      </c>
      <c r="E190" s="346">
        <v>237</v>
      </c>
      <c r="F190" s="346">
        <v>317</v>
      </c>
      <c r="G190" s="346">
        <v>80</v>
      </c>
      <c r="H190" s="346">
        <v>11484</v>
      </c>
      <c r="I190" s="345">
        <v>11404</v>
      </c>
      <c r="J190" s="345">
        <v>4</v>
      </c>
      <c r="K190" s="347">
        <v>78.41</v>
      </c>
      <c r="L190" s="347">
        <v>78.319999999999993</v>
      </c>
      <c r="M190" s="347">
        <v>3.14</v>
      </c>
      <c r="N190" s="347">
        <v>79.98</v>
      </c>
      <c r="O190" s="348">
        <v>10354</v>
      </c>
      <c r="P190" s="345">
        <v>99</v>
      </c>
      <c r="Q190" s="345">
        <v>81.19</v>
      </c>
      <c r="R190" s="345">
        <v>59.69</v>
      </c>
      <c r="S190" s="345">
        <v>154.72</v>
      </c>
      <c r="T190" s="345">
        <v>496</v>
      </c>
      <c r="U190" s="345">
        <v>95.18</v>
      </c>
      <c r="V190" s="345">
        <v>451</v>
      </c>
      <c r="W190" s="345">
        <v>203.18</v>
      </c>
      <c r="X190" s="345">
        <v>50</v>
      </c>
      <c r="Y190" s="345">
        <v>0</v>
      </c>
      <c r="Z190" s="345">
        <v>44</v>
      </c>
      <c r="AA190" s="345">
        <v>0</v>
      </c>
      <c r="AB190" s="345">
        <v>3</v>
      </c>
      <c r="AC190" s="345">
        <v>1</v>
      </c>
      <c r="AD190" s="349">
        <v>10809</v>
      </c>
      <c r="AE190" s="349">
        <v>123</v>
      </c>
      <c r="AF190" s="349">
        <v>20</v>
      </c>
      <c r="AG190" s="349">
        <v>143</v>
      </c>
    </row>
    <row r="191" spans="1:33" x14ac:dyDescent="0.25">
      <c r="A191" s="344" t="s">
        <v>438</v>
      </c>
      <c r="B191" s="350" t="s">
        <v>439</v>
      </c>
      <c r="C191" s="346">
        <v>5475</v>
      </c>
      <c r="D191" s="346">
        <v>0</v>
      </c>
      <c r="E191" s="346">
        <v>156</v>
      </c>
      <c r="F191" s="346">
        <v>654</v>
      </c>
      <c r="G191" s="346">
        <v>201</v>
      </c>
      <c r="H191" s="346">
        <v>6486</v>
      </c>
      <c r="I191" s="345">
        <v>6285</v>
      </c>
      <c r="J191" s="345">
        <v>2</v>
      </c>
      <c r="K191" s="347">
        <v>87.03</v>
      </c>
      <c r="L191" s="347">
        <v>86.25</v>
      </c>
      <c r="M191" s="347">
        <v>2.37</v>
      </c>
      <c r="N191" s="347">
        <v>88.7</v>
      </c>
      <c r="O191" s="348">
        <v>4806</v>
      </c>
      <c r="P191" s="345">
        <v>83</v>
      </c>
      <c r="Q191" s="345">
        <v>74.27</v>
      </c>
      <c r="R191" s="345">
        <v>22.25</v>
      </c>
      <c r="S191" s="345">
        <v>103.95</v>
      </c>
      <c r="T191" s="345">
        <v>775</v>
      </c>
      <c r="U191" s="345">
        <v>103.99</v>
      </c>
      <c r="V191" s="345">
        <v>652</v>
      </c>
      <c r="W191" s="345">
        <v>155.12</v>
      </c>
      <c r="X191" s="345">
        <v>30</v>
      </c>
      <c r="Y191" s="345">
        <v>0</v>
      </c>
      <c r="Z191" s="345">
        <v>7</v>
      </c>
      <c r="AA191" s="345">
        <v>45</v>
      </c>
      <c r="AB191" s="345">
        <v>12</v>
      </c>
      <c r="AC191" s="345">
        <v>3</v>
      </c>
      <c r="AD191" s="349">
        <v>5464</v>
      </c>
      <c r="AE191" s="349">
        <v>17</v>
      </c>
      <c r="AF191" s="349">
        <v>40</v>
      </c>
      <c r="AG191" s="349">
        <v>57</v>
      </c>
    </row>
    <row r="192" spans="1:33" x14ac:dyDescent="0.25">
      <c r="A192" s="351" t="s">
        <v>799</v>
      </c>
      <c r="B192" s="351" t="s">
        <v>797</v>
      </c>
      <c r="C192" s="345">
        <v>13718</v>
      </c>
      <c r="D192" s="345">
        <v>198</v>
      </c>
      <c r="E192" s="345">
        <v>744</v>
      </c>
      <c r="F192" s="345">
        <v>1003</v>
      </c>
      <c r="G192" s="345">
        <v>1546</v>
      </c>
      <c r="H192" s="345">
        <v>17209</v>
      </c>
      <c r="I192" s="345">
        <v>15663</v>
      </c>
      <c r="J192" s="345">
        <v>2</v>
      </c>
      <c r="K192" s="345">
        <v>88.22</v>
      </c>
      <c r="L192" s="345">
        <v>88.45</v>
      </c>
      <c r="M192" s="345">
        <v>6.49</v>
      </c>
      <c r="N192" s="345">
        <v>91.18</v>
      </c>
      <c r="O192" s="345">
        <v>11789</v>
      </c>
      <c r="P192" s="345">
        <v>89.48</v>
      </c>
      <c r="Q192" s="345">
        <v>81.239999999999995</v>
      </c>
      <c r="R192" s="345">
        <v>48.39</v>
      </c>
      <c r="S192" s="345">
        <v>135.53</v>
      </c>
      <c r="T192" s="345">
        <v>1629</v>
      </c>
      <c r="U192" s="345">
        <v>104.06</v>
      </c>
      <c r="V192" s="345">
        <v>1542</v>
      </c>
      <c r="W192" s="345">
        <v>158.22</v>
      </c>
      <c r="X192" s="345">
        <v>7</v>
      </c>
      <c r="Y192" s="345">
        <v>0</v>
      </c>
      <c r="Z192" s="345">
        <v>56</v>
      </c>
      <c r="AA192" s="345">
        <v>15</v>
      </c>
      <c r="AB192" s="345">
        <v>106</v>
      </c>
      <c r="AC192" s="345">
        <v>15</v>
      </c>
      <c r="AD192" s="345">
        <v>13634</v>
      </c>
      <c r="AE192" s="345">
        <v>95</v>
      </c>
      <c r="AF192" s="345">
        <v>73</v>
      </c>
      <c r="AG192" s="345">
        <v>168</v>
      </c>
    </row>
    <row r="193" spans="1:33" x14ac:dyDescent="0.25">
      <c r="A193" s="344" t="s">
        <v>440</v>
      </c>
      <c r="B193" s="350" t="s">
        <v>441</v>
      </c>
      <c r="C193" s="346">
        <v>8372</v>
      </c>
      <c r="D193" s="346">
        <v>66</v>
      </c>
      <c r="E193" s="346">
        <v>350</v>
      </c>
      <c r="F193" s="346">
        <v>632</v>
      </c>
      <c r="G193" s="346">
        <v>553</v>
      </c>
      <c r="H193" s="346">
        <v>9973</v>
      </c>
      <c r="I193" s="345">
        <v>9420</v>
      </c>
      <c r="J193" s="345">
        <v>13</v>
      </c>
      <c r="K193" s="347">
        <v>92.59</v>
      </c>
      <c r="L193" s="347">
        <v>92.26</v>
      </c>
      <c r="M193" s="347">
        <v>5.75</v>
      </c>
      <c r="N193" s="347">
        <v>98.16</v>
      </c>
      <c r="O193" s="348">
        <v>7340</v>
      </c>
      <c r="P193" s="345">
        <v>99.01</v>
      </c>
      <c r="Q193" s="345">
        <v>90.77</v>
      </c>
      <c r="R193" s="345">
        <v>66.87</v>
      </c>
      <c r="S193" s="345">
        <v>165.54</v>
      </c>
      <c r="T193" s="345">
        <v>800</v>
      </c>
      <c r="U193" s="345">
        <v>124.11</v>
      </c>
      <c r="V193" s="345">
        <v>907</v>
      </c>
      <c r="W193" s="345">
        <v>179.77</v>
      </c>
      <c r="X193" s="345">
        <v>48</v>
      </c>
      <c r="Y193" s="345">
        <v>0</v>
      </c>
      <c r="Z193" s="345">
        <v>21</v>
      </c>
      <c r="AA193" s="345">
        <v>3</v>
      </c>
      <c r="AB193" s="345">
        <v>41</v>
      </c>
      <c r="AC193" s="345">
        <v>9</v>
      </c>
      <c r="AD193" s="349">
        <v>8255</v>
      </c>
      <c r="AE193" s="349">
        <v>39</v>
      </c>
      <c r="AF193" s="349">
        <v>76</v>
      </c>
      <c r="AG193" s="349">
        <v>115</v>
      </c>
    </row>
    <row r="194" spans="1:33" x14ac:dyDescent="0.25">
      <c r="A194" s="344" t="s">
        <v>442</v>
      </c>
      <c r="B194" s="350" t="s">
        <v>443</v>
      </c>
      <c r="C194" s="346">
        <v>4343</v>
      </c>
      <c r="D194" s="346">
        <v>0</v>
      </c>
      <c r="E194" s="346">
        <v>523</v>
      </c>
      <c r="F194" s="346">
        <v>1279</v>
      </c>
      <c r="G194" s="346">
        <v>374</v>
      </c>
      <c r="H194" s="346">
        <v>6519</v>
      </c>
      <c r="I194" s="345">
        <v>6145</v>
      </c>
      <c r="J194" s="345">
        <v>0</v>
      </c>
      <c r="K194" s="347">
        <v>80.400000000000006</v>
      </c>
      <c r="L194" s="347">
        <v>76.98</v>
      </c>
      <c r="M194" s="347">
        <v>8.0399999999999991</v>
      </c>
      <c r="N194" s="347">
        <v>86.81</v>
      </c>
      <c r="O194" s="348">
        <v>3242</v>
      </c>
      <c r="P194" s="345">
        <v>90.77</v>
      </c>
      <c r="Q194" s="345">
        <v>75.239999999999995</v>
      </c>
      <c r="R194" s="345">
        <v>50.91</v>
      </c>
      <c r="S194" s="345">
        <v>141.11000000000001</v>
      </c>
      <c r="T194" s="345">
        <v>1540</v>
      </c>
      <c r="U194" s="345">
        <v>99.26</v>
      </c>
      <c r="V194" s="345">
        <v>900</v>
      </c>
      <c r="W194" s="345">
        <v>158.26</v>
      </c>
      <c r="X194" s="345">
        <v>131</v>
      </c>
      <c r="Y194" s="345">
        <v>0</v>
      </c>
      <c r="Z194" s="345">
        <v>0</v>
      </c>
      <c r="AA194" s="345">
        <v>2</v>
      </c>
      <c r="AB194" s="345">
        <v>48</v>
      </c>
      <c r="AC194" s="345">
        <v>4</v>
      </c>
      <c r="AD194" s="349">
        <v>4163</v>
      </c>
      <c r="AE194" s="349">
        <v>53</v>
      </c>
      <c r="AF194" s="349">
        <v>20</v>
      </c>
      <c r="AG194" s="349">
        <v>73</v>
      </c>
    </row>
    <row r="195" spans="1:33" x14ac:dyDescent="0.25">
      <c r="A195" s="344" t="s">
        <v>444</v>
      </c>
      <c r="B195" s="350" t="s">
        <v>445</v>
      </c>
      <c r="C195" s="346">
        <v>1076</v>
      </c>
      <c r="D195" s="346">
        <v>0</v>
      </c>
      <c r="E195" s="346">
        <v>13</v>
      </c>
      <c r="F195" s="346">
        <v>46</v>
      </c>
      <c r="G195" s="346">
        <v>235</v>
      </c>
      <c r="H195" s="346">
        <v>1370</v>
      </c>
      <c r="I195" s="345">
        <v>1135</v>
      </c>
      <c r="J195" s="345">
        <v>0</v>
      </c>
      <c r="K195" s="347">
        <v>96.13</v>
      </c>
      <c r="L195" s="347">
        <v>94.31</v>
      </c>
      <c r="M195" s="347">
        <v>5.59</v>
      </c>
      <c r="N195" s="347">
        <v>99.31</v>
      </c>
      <c r="O195" s="348">
        <v>846</v>
      </c>
      <c r="P195" s="345">
        <v>86.8</v>
      </c>
      <c r="Q195" s="345">
        <v>85.87</v>
      </c>
      <c r="R195" s="345">
        <v>28.05</v>
      </c>
      <c r="S195" s="345">
        <v>111.61</v>
      </c>
      <c r="T195" s="345">
        <v>52</v>
      </c>
      <c r="U195" s="345">
        <v>110.45</v>
      </c>
      <c r="V195" s="345">
        <v>227</v>
      </c>
      <c r="W195" s="345">
        <v>0</v>
      </c>
      <c r="X195" s="345">
        <v>0</v>
      </c>
      <c r="Y195" s="345">
        <v>0</v>
      </c>
      <c r="Z195" s="345">
        <v>3</v>
      </c>
      <c r="AA195" s="345">
        <v>0</v>
      </c>
      <c r="AB195" s="345">
        <v>3</v>
      </c>
      <c r="AC195" s="345">
        <v>3</v>
      </c>
      <c r="AD195" s="349">
        <v>1072</v>
      </c>
      <c r="AE195" s="349">
        <v>6</v>
      </c>
      <c r="AF195" s="349">
        <v>1</v>
      </c>
      <c r="AG195" s="349">
        <v>7</v>
      </c>
    </row>
    <row r="196" spans="1:33" x14ac:dyDescent="0.25">
      <c r="A196" s="344" t="s">
        <v>446</v>
      </c>
      <c r="B196" s="350" t="s">
        <v>447</v>
      </c>
      <c r="C196" s="346">
        <v>1989</v>
      </c>
      <c r="D196" s="346">
        <v>2</v>
      </c>
      <c r="E196" s="346">
        <v>61</v>
      </c>
      <c r="F196" s="346">
        <v>113</v>
      </c>
      <c r="G196" s="346">
        <v>447</v>
      </c>
      <c r="H196" s="346">
        <v>2612</v>
      </c>
      <c r="I196" s="345">
        <v>2165</v>
      </c>
      <c r="J196" s="345">
        <v>0</v>
      </c>
      <c r="K196" s="347">
        <v>86.08</v>
      </c>
      <c r="L196" s="347">
        <v>85.72</v>
      </c>
      <c r="M196" s="347">
        <v>6.42</v>
      </c>
      <c r="N196" s="347">
        <v>91.47</v>
      </c>
      <c r="O196" s="348">
        <v>1420</v>
      </c>
      <c r="P196" s="345">
        <v>88.18</v>
      </c>
      <c r="Q196" s="345">
        <v>95.24</v>
      </c>
      <c r="R196" s="345">
        <v>59.21</v>
      </c>
      <c r="S196" s="345">
        <v>145.08000000000001</v>
      </c>
      <c r="T196" s="345">
        <v>154</v>
      </c>
      <c r="U196" s="345">
        <v>101.39</v>
      </c>
      <c r="V196" s="345">
        <v>550</v>
      </c>
      <c r="W196" s="345">
        <v>0</v>
      </c>
      <c r="X196" s="345">
        <v>0</v>
      </c>
      <c r="Y196" s="345">
        <v>0</v>
      </c>
      <c r="Z196" s="345">
        <v>1</v>
      </c>
      <c r="AA196" s="345">
        <v>0</v>
      </c>
      <c r="AB196" s="345">
        <v>5</v>
      </c>
      <c r="AC196" s="345">
        <v>7</v>
      </c>
      <c r="AD196" s="349">
        <v>1989</v>
      </c>
      <c r="AE196" s="349">
        <v>21</v>
      </c>
      <c r="AF196" s="349">
        <v>11</v>
      </c>
      <c r="AG196" s="349">
        <v>32</v>
      </c>
    </row>
    <row r="197" spans="1:33" x14ac:dyDescent="0.25">
      <c r="A197" s="344" t="s">
        <v>448</v>
      </c>
      <c r="B197" s="350" t="s">
        <v>449</v>
      </c>
      <c r="C197" s="346">
        <v>14608</v>
      </c>
      <c r="D197" s="346">
        <v>8</v>
      </c>
      <c r="E197" s="346">
        <v>402</v>
      </c>
      <c r="F197" s="346">
        <v>2870</v>
      </c>
      <c r="G197" s="346">
        <v>528</v>
      </c>
      <c r="H197" s="346">
        <v>18416</v>
      </c>
      <c r="I197" s="345">
        <v>17888</v>
      </c>
      <c r="J197" s="345">
        <v>0</v>
      </c>
      <c r="K197" s="347">
        <v>73.97</v>
      </c>
      <c r="L197" s="347">
        <v>71.400000000000006</v>
      </c>
      <c r="M197" s="347">
        <v>2.37</v>
      </c>
      <c r="N197" s="347">
        <v>75.14</v>
      </c>
      <c r="O197" s="348">
        <v>13057</v>
      </c>
      <c r="P197" s="345">
        <v>75.08</v>
      </c>
      <c r="Q197" s="345">
        <v>66.540000000000006</v>
      </c>
      <c r="R197" s="345">
        <v>27.16</v>
      </c>
      <c r="S197" s="345">
        <v>98.35</v>
      </c>
      <c r="T197" s="345">
        <v>3126</v>
      </c>
      <c r="U197" s="345">
        <v>96.99</v>
      </c>
      <c r="V197" s="345">
        <v>1292</v>
      </c>
      <c r="W197" s="345">
        <v>135.13999999999999</v>
      </c>
      <c r="X197" s="345">
        <v>80</v>
      </c>
      <c r="Y197" s="345">
        <v>0</v>
      </c>
      <c r="Z197" s="345">
        <v>47</v>
      </c>
      <c r="AA197" s="345">
        <v>1</v>
      </c>
      <c r="AB197" s="345">
        <v>71</v>
      </c>
      <c r="AC197" s="345">
        <v>6</v>
      </c>
      <c r="AD197" s="349">
        <v>14350</v>
      </c>
      <c r="AE197" s="349">
        <v>209</v>
      </c>
      <c r="AF197" s="349">
        <v>96</v>
      </c>
      <c r="AG197" s="349">
        <v>305</v>
      </c>
    </row>
    <row r="198" spans="1:33" x14ac:dyDescent="0.25">
      <c r="A198" s="344" t="s">
        <v>450</v>
      </c>
      <c r="B198" s="350" t="s">
        <v>451</v>
      </c>
      <c r="C198" s="346">
        <v>4052</v>
      </c>
      <c r="D198" s="346">
        <v>0</v>
      </c>
      <c r="E198" s="346">
        <v>519</v>
      </c>
      <c r="F198" s="346">
        <v>1172</v>
      </c>
      <c r="G198" s="346">
        <v>275</v>
      </c>
      <c r="H198" s="346">
        <v>6018</v>
      </c>
      <c r="I198" s="345">
        <v>5743</v>
      </c>
      <c r="J198" s="345">
        <v>0</v>
      </c>
      <c r="K198" s="347">
        <v>87.2</v>
      </c>
      <c r="L198" s="347">
        <v>86.85</v>
      </c>
      <c r="M198" s="347">
        <v>6.61</v>
      </c>
      <c r="N198" s="347">
        <v>92.52</v>
      </c>
      <c r="O198" s="348">
        <v>3486</v>
      </c>
      <c r="P198" s="345">
        <v>89.15</v>
      </c>
      <c r="Q198" s="345">
        <v>80.56</v>
      </c>
      <c r="R198" s="345">
        <v>43.84</v>
      </c>
      <c r="S198" s="345">
        <v>131.36000000000001</v>
      </c>
      <c r="T198" s="345">
        <v>996</v>
      </c>
      <c r="U198" s="345">
        <v>105.89</v>
      </c>
      <c r="V198" s="345">
        <v>471</v>
      </c>
      <c r="W198" s="345">
        <v>227.05</v>
      </c>
      <c r="X198" s="345">
        <v>2</v>
      </c>
      <c r="Y198" s="345">
        <v>42</v>
      </c>
      <c r="Z198" s="345">
        <v>0</v>
      </c>
      <c r="AA198" s="345">
        <v>3</v>
      </c>
      <c r="AB198" s="345">
        <v>11</v>
      </c>
      <c r="AC198" s="345">
        <v>8</v>
      </c>
      <c r="AD198" s="349">
        <v>4037</v>
      </c>
      <c r="AE198" s="349">
        <v>25</v>
      </c>
      <c r="AF198" s="349">
        <v>60</v>
      </c>
      <c r="AG198" s="349">
        <v>85</v>
      </c>
    </row>
    <row r="199" spans="1:33" x14ac:dyDescent="0.25">
      <c r="A199" s="344" t="s">
        <v>452</v>
      </c>
      <c r="B199" s="350" t="s">
        <v>453</v>
      </c>
      <c r="C199" s="346">
        <v>6684</v>
      </c>
      <c r="D199" s="346">
        <v>150</v>
      </c>
      <c r="E199" s="346">
        <v>1266</v>
      </c>
      <c r="F199" s="346">
        <v>2245</v>
      </c>
      <c r="G199" s="346">
        <v>301</v>
      </c>
      <c r="H199" s="346">
        <v>10646</v>
      </c>
      <c r="I199" s="345">
        <v>10345</v>
      </c>
      <c r="J199" s="345">
        <v>25</v>
      </c>
      <c r="K199" s="347">
        <v>83.68</v>
      </c>
      <c r="L199" s="347">
        <v>80.87</v>
      </c>
      <c r="M199" s="347">
        <v>6.54</v>
      </c>
      <c r="N199" s="347">
        <v>87.96</v>
      </c>
      <c r="O199" s="348">
        <v>5756</v>
      </c>
      <c r="P199" s="345">
        <v>83.51</v>
      </c>
      <c r="Q199" s="345">
        <v>77.02</v>
      </c>
      <c r="R199" s="345">
        <v>77.290000000000006</v>
      </c>
      <c r="S199" s="345">
        <v>158.88999999999999</v>
      </c>
      <c r="T199" s="345">
        <v>2874</v>
      </c>
      <c r="U199" s="345">
        <v>101.93</v>
      </c>
      <c r="V199" s="345">
        <v>488</v>
      </c>
      <c r="W199" s="345">
        <v>188.44</v>
      </c>
      <c r="X199" s="345">
        <v>178</v>
      </c>
      <c r="Y199" s="345">
        <v>0</v>
      </c>
      <c r="Z199" s="345">
        <v>62</v>
      </c>
      <c r="AA199" s="345">
        <v>29</v>
      </c>
      <c r="AB199" s="345">
        <v>0</v>
      </c>
      <c r="AC199" s="345">
        <v>13</v>
      </c>
      <c r="AD199" s="349">
        <v>6612</v>
      </c>
      <c r="AE199" s="349">
        <v>39</v>
      </c>
      <c r="AF199" s="349">
        <v>34</v>
      </c>
      <c r="AG199" s="349">
        <v>73</v>
      </c>
    </row>
    <row r="200" spans="1:33" x14ac:dyDescent="0.25">
      <c r="A200" s="344" t="s">
        <v>454</v>
      </c>
      <c r="B200" s="350" t="s">
        <v>455</v>
      </c>
      <c r="C200" s="346">
        <v>2252</v>
      </c>
      <c r="D200" s="346">
        <v>0</v>
      </c>
      <c r="E200" s="346">
        <v>230</v>
      </c>
      <c r="F200" s="346">
        <v>332</v>
      </c>
      <c r="G200" s="346">
        <v>387</v>
      </c>
      <c r="H200" s="346">
        <v>3201</v>
      </c>
      <c r="I200" s="345">
        <v>2814</v>
      </c>
      <c r="J200" s="345">
        <v>10</v>
      </c>
      <c r="K200" s="347">
        <v>94.45</v>
      </c>
      <c r="L200" s="347">
        <v>92.29</v>
      </c>
      <c r="M200" s="347">
        <v>7.4</v>
      </c>
      <c r="N200" s="347">
        <v>100.6</v>
      </c>
      <c r="O200" s="348">
        <v>1668</v>
      </c>
      <c r="P200" s="345">
        <v>113.09</v>
      </c>
      <c r="Q200" s="345">
        <v>85.89</v>
      </c>
      <c r="R200" s="345">
        <v>55.67</v>
      </c>
      <c r="S200" s="345">
        <v>167.2</v>
      </c>
      <c r="T200" s="345">
        <v>429</v>
      </c>
      <c r="U200" s="345">
        <v>113.95</v>
      </c>
      <c r="V200" s="345">
        <v>566</v>
      </c>
      <c r="W200" s="345">
        <v>181.03</v>
      </c>
      <c r="X200" s="345">
        <v>60</v>
      </c>
      <c r="Y200" s="345">
        <v>0</v>
      </c>
      <c r="Z200" s="345">
        <v>12</v>
      </c>
      <c r="AA200" s="345">
        <v>0</v>
      </c>
      <c r="AB200" s="345">
        <v>39</v>
      </c>
      <c r="AC200" s="345">
        <v>13</v>
      </c>
      <c r="AD200" s="349">
        <v>2252</v>
      </c>
      <c r="AE200" s="349">
        <v>24</v>
      </c>
      <c r="AF200" s="349">
        <v>13</v>
      </c>
      <c r="AG200" s="349">
        <v>37</v>
      </c>
    </row>
    <row r="201" spans="1:33" x14ac:dyDescent="0.25">
      <c r="A201" s="344" t="s">
        <v>456</v>
      </c>
      <c r="B201" s="350" t="s">
        <v>457</v>
      </c>
      <c r="C201" s="346">
        <v>516</v>
      </c>
      <c r="D201" s="346">
        <v>0</v>
      </c>
      <c r="E201" s="346">
        <v>64</v>
      </c>
      <c r="F201" s="346">
        <v>95</v>
      </c>
      <c r="G201" s="346">
        <v>117</v>
      </c>
      <c r="H201" s="346">
        <v>792</v>
      </c>
      <c r="I201" s="345">
        <v>675</v>
      </c>
      <c r="J201" s="345">
        <v>1</v>
      </c>
      <c r="K201" s="347">
        <v>90.2</v>
      </c>
      <c r="L201" s="347">
        <v>88.66</v>
      </c>
      <c r="M201" s="347">
        <v>5.18</v>
      </c>
      <c r="N201" s="347">
        <v>93.08</v>
      </c>
      <c r="O201" s="348">
        <v>281</v>
      </c>
      <c r="P201" s="345">
        <v>109.73</v>
      </c>
      <c r="Q201" s="345">
        <v>84.65</v>
      </c>
      <c r="R201" s="345">
        <v>46.12</v>
      </c>
      <c r="S201" s="345">
        <v>155.85</v>
      </c>
      <c r="T201" s="345">
        <v>141</v>
      </c>
      <c r="U201" s="345">
        <v>108.07</v>
      </c>
      <c r="V201" s="345">
        <v>142</v>
      </c>
      <c r="W201" s="345">
        <v>0</v>
      </c>
      <c r="X201" s="345">
        <v>0</v>
      </c>
      <c r="Y201" s="345">
        <v>0</v>
      </c>
      <c r="Z201" s="345">
        <v>1</v>
      </c>
      <c r="AA201" s="345">
        <v>0</v>
      </c>
      <c r="AB201" s="345">
        <v>5</v>
      </c>
      <c r="AC201" s="345">
        <v>2</v>
      </c>
      <c r="AD201" s="349">
        <v>481</v>
      </c>
      <c r="AE201" s="349">
        <v>4</v>
      </c>
      <c r="AF201" s="349">
        <v>2</v>
      </c>
      <c r="AG201" s="349">
        <v>6</v>
      </c>
    </row>
    <row r="202" spans="1:33" x14ac:dyDescent="0.25">
      <c r="A202" s="344" t="s">
        <v>458</v>
      </c>
      <c r="B202" s="350" t="s">
        <v>459</v>
      </c>
      <c r="C202" s="346">
        <v>17187</v>
      </c>
      <c r="D202" s="346">
        <v>2</v>
      </c>
      <c r="E202" s="346">
        <v>568</v>
      </c>
      <c r="F202" s="346">
        <v>749</v>
      </c>
      <c r="G202" s="346">
        <v>269</v>
      </c>
      <c r="H202" s="346">
        <v>18775</v>
      </c>
      <c r="I202" s="345">
        <v>18506</v>
      </c>
      <c r="J202" s="345">
        <v>106</v>
      </c>
      <c r="K202" s="347">
        <v>76.099999999999994</v>
      </c>
      <c r="L202" s="347">
        <v>75.989999999999995</v>
      </c>
      <c r="M202" s="347">
        <v>4.54</v>
      </c>
      <c r="N202" s="347">
        <v>78.45</v>
      </c>
      <c r="O202" s="348">
        <v>15183</v>
      </c>
      <c r="P202" s="345">
        <v>77.02</v>
      </c>
      <c r="Q202" s="345">
        <v>75.23</v>
      </c>
      <c r="R202" s="345">
        <v>28.94</v>
      </c>
      <c r="S202" s="345">
        <v>103.32</v>
      </c>
      <c r="T202" s="345">
        <v>1260</v>
      </c>
      <c r="U202" s="345">
        <v>96.69</v>
      </c>
      <c r="V202" s="345">
        <v>1403</v>
      </c>
      <c r="W202" s="345">
        <v>0</v>
      </c>
      <c r="X202" s="345">
        <v>0</v>
      </c>
      <c r="Y202" s="345">
        <v>0</v>
      </c>
      <c r="Z202" s="345">
        <v>86</v>
      </c>
      <c r="AA202" s="345">
        <v>4</v>
      </c>
      <c r="AB202" s="345">
        <v>31</v>
      </c>
      <c r="AC202" s="345">
        <v>2</v>
      </c>
      <c r="AD202" s="349">
        <v>16536</v>
      </c>
      <c r="AE202" s="349">
        <v>47</v>
      </c>
      <c r="AF202" s="349">
        <v>101</v>
      </c>
      <c r="AG202" s="349">
        <v>148</v>
      </c>
    </row>
    <row r="203" spans="1:33" x14ac:dyDescent="0.25">
      <c r="A203" s="344" t="s">
        <v>460</v>
      </c>
      <c r="B203" s="350" t="s">
        <v>461</v>
      </c>
      <c r="C203" s="346">
        <v>3093</v>
      </c>
      <c r="D203" s="346">
        <v>2</v>
      </c>
      <c r="E203" s="346">
        <v>459</v>
      </c>
      <c r="F203" s="346">
        <v>858</v>
      </c>
      <c r="G203" s="346">
        <v>682</v>
      </c>
      <c r="H203" s="346">
        <v>5094</v>
      </c>
      <c r="I203" s="345">
        <v>4412</v>
      </c>
      <c r="J203" s="345">
        <v>7</v>
      </c>
      <c r="K203" s="347">
        <v>112.45</v>
      </c>
      <c r="L203" s="347">
        <v>107.93</v>
      </c>
      <c r="M203" s="347">
        <v>7</v>
      </c>
      <c r="N203" s="347">
        <v>117.84</v>
      </c>
      <c r="O203" s="348">
        <v>2932</v>
      </c>
      <c r="P203" s="345">
        <v>103.96</v>
      </c>
      <c r="Q203" s="345">
        <v>93.42</v>
      </c>
      <c r="R203" s="345">
        <v>48.12</v>
      </c>
      <c r="S203" s="345">
        <v>151.22999999999999</v>
      </c>
      <c r="T203" s="345">
        <v>1262</v>
      </c>
      <c r="U203" s="345">
        <v>165.92</v>
      </c>
      <c r="V203" s="345">
        <v>76</v>
      </c>
      <c r="W203" s="345">
        <v>0</v>
      </c>
      <c r="X203" s="345">
        <v>0</v>
      </c>
      <c r="Y203" s="345">
        <v>0</v>
      </c>
      <c r="Z203" s="345">
        <v>1</v>
      </c>
      <c r="AA203" s="345">
        <v>97</v>
      </c>
      <c r="AB203" s="345">
        <v>20</v>
      </c>
      <c r="AC203" s="345">
        <v>11</v>
      </c>
      <c r="AD203" s="349">
        <v>3021</v>
      </c>
      <c r="AE203" s="349">
        <v>16</v>
      </c>
      <c r="AF203" s="349">
        <v>57</v>
      </c>
      <c r="AG203" s="349">
        <v>73</v>
      </c>
    </row>
    <row r="204" spans="1:33" x14ac:dyDescent="0.25">
      <c r="A204" s="344" t="s">
        <v>462</v>
      </c>
      <c r="B204" s="350" t="s">
        <v>463</v>
      </c>
      <c r="C204" s="346">
        <v>4224</v>
      </c>
      <c r="D204" s="346">
        <v>0</v>
      </c>
      <c r="E204" s="346">
        <v>237</v>
      </c>
      <c r="F204" s="346">
        <v>198</v>
      </c>
      <c r="G204" s="346">
        <v>12</v>
      </c>
      <c r="H204" s="346">
        <v>4671</v>
      </c>
      <c r="I204" s="345">
        <v>4659</v>
      </c>
      <c r="J204" s="345">
        <v>5</v>
      </c>
      <c r="K204" s="347">
        <v>72.459999999999994</v>
      </c>
      <c r="L204" s="347">
        <v>69.77</v>
      </c>
      <c r="M204" s="347">
        <v>1.79</v>
      </c>
      <c r="N204" s="347">
        <v>74.069999999999993</v>
      </c>
      <c r="O204" s="348">
        <v>3742</v>
      </c>
      <c r="P204" s="345">
        <v>94.82</v>
      </c>
      <c r="Q204" s="345">
        <v>75.849999999999994</v>
      </c>
      <c r="R204" s="345">
        <v>48.05</v>
      </c>
      <c r="S204" s="345">
        <v>142.56</v>
      </c>
      <c r="T204" s="345">
        <v>311</v>
      </c>
      <c r="U204" s="345">
        <v>92.68</v>
      </c>
      <c r="V204" s="345">
        <v>467</v>
      </c>
      <c r="W204" s="345">
        <v>179.9</v>
      </c>
      <c r="X204" s="345">
        <v>24</v>
      </c>
      <c r="Y204" s="345">
        <v>0</v>
      </c>
      <c r="Z204" s="345">
        <v>17</v>
      </c>
      <c r="AA204" s="345">
        <v>10</v>
      </c>
      <c r="AB204" s="345">
        <v>5</v>
      </c>
      <c r="AC204" s="345">
        <v>0</v>
      </c>
      <c r="AD204" s="349">
        <v>4220</v>
      </c>
      <c r="AE204" s="349">
        <v>47</v>
      </c>
      <c r="AF204" s="349">
        <v>21</v>
      </c>
      <c r="AG204" s="349">
        <v>68</v>
      </c>
    </row>
    <row r="205" spans="1:33" x14ac:dyDescent="0.25">
      <c r="A205" s="344" t="s">
        <v>464</v>
      </c>
      <c r="B205" s="350" t="s">
        <v>465</v>
      </c>
      <c r="C205" s="346">
        <v>13094</v>
      </c>
      <c r="D205" s="346">
        <v>29</v>
      </c>
      <c r="E205" s="346">
        <v>595</v>
      </c>
      <c r="F205" s="346">
        <v>2293</v>
      </c>
      <c r="G205" s="346">
        <v>1016</v>
      </c>
      <c r="H205" s="346">
        <v>17027</v>
      </c>
      <c r="I205" s="345">
        <v>16011</v>
      </c>
      <c r="J205" s="345">
        <v>8</v>
      </c>
      <c r="K205" s="347">
        <v>85.02</v>
      </c>
      <c r="L205" s="347">
        <v>85.33</v>
      </c>
      <c r="M205" s="347">
        <v>6.09</v>
      </c>
      <c r="N205" s="347">
        <v>88.08</v>
      </c>
      <c r="O205" s="348">
        <v>11204</v>
      </c>
      <c r="P205" s="345">
        <v>90.92</v>
      </c>
      <c r="Q205" s="345">
        <v>85.36</v>
      </c>
      <c r="R205" s="345">
        <v>36.44</v>
      </c>
      <c r="S205" s="345">
        <v>125.78</v>
      </c>
      <c r="T205" s="345">
        <v>2557</v>
      </c>
      <c r="U205" s="345">
        <v>105.73</v>
      </c>
      <c r="V205" s="345">
        <v>1616</v>
      </c>
      <c r="W205" s="345">
        <v>199.76</v>
      </c>
      <c r="X205" s="345">
        <v>87</v>
      </c>
      <c r="Y205" s="345">
        <v>0</v>
      </c>
      <c r="Z205" s="345">
        <v>50</v>
      </c>
      <c r="AA205" s="345">
        <v>2</v>
      </c>
      <c r="AB205" s="345">
        <v>75</v>
      </c>
      <c r="AC205" s="345">
        <v>23</v>
      </c>
      <c r="AD205" s="349">
        <v>13094</v>
      </c>
      <c r="AE205" s="349">
        <v>79</v>
      </c>
      <c r="AF205" s="349">
        <v>37</v>
      </c>
      <c r="AG205" s="349">
        <v>116</v>
      </c>
    </row>
    <row r="206" spans="1:33" x14ac:dyDescent="0.25">
      <c r="A206" s="344" t="s">
        <v>466</v>
      </c>
      <c r="B206" s="350" t="s">
        <v>467</v>
      </c>
      <c r="C206" s="346">
        <v>19323</v>
      </c>
      <c r="D206" s="346">
        <v>0</v>
      </c>
      <c r="E206" s="346">
        <v>2442</v>
      </c>
      <c r="F206" s="346">
        <v>1063</v>
      </c>
      <c r="G206" s="346">
        <v>1207</v>
      </c>
      <c r="H206" s="346">
        <v>24035</v>
      </c>
      <c r="I206" s="345">
        <v>22828</v>
      </c>
      <c r="J206" s="345">
        <v>231</v>
      </c>
      <c r="K206" s="347">
        <v>74.33</v>
      </c>
      <c r="L206" s="347">
        <v>73.87</v>
      </c>
      <c r="M206" s="347">
        <v>6.79</v>
      </c>
      <c r="N206" s="347">
        <v>78.569999999999993</v>
      </c>
      <c r="O206" s="348">
        <v>14550</v>
      </c>
      <c r="P206" s="345">
        <v>70.88</v>
      </c>
      <c r="Q206" s="345">
        <v>69.16</v>
      </c>
      <c r="R206" s="345">
        <v>27.77</v>
      </c>
      <c r="S206" s="345">
        <v>96.51</v>
      </c>
      <c r="T206" s="345">
        <v>2967</v>
      </c>
      <c r="U206" s="345">
        <v>105.35</v>
      </c>
      <c r="V206" s="345">
        <v>4134</v>
      </c>
      <c r="W206" s="345">
        <v>101.28</v>
      </c>
      <c r="X206" s="345">
        <v>435</v>
      </c>
      <c r="Y206" s="345">
        <v>0</v>
      </c>
      <c r="Z206" s="345">
        <v>59</v>
      </c>
      <c r="AA206" s="345">
        <v>41</v>
      </c>
      <c r="AB206" s="345">
        <v>78</v>
      </c>
      <c r="AC206" s="345">
        <v>36</v>
      </c>
      <c r="AD206" s="349">
        <v>18743</v>
      </c>
      <c r="AE206" s="349">
        <v>143</v>
      </c>
      <c r="AF206" s="349">
        <v>407</v>
      </c>
      <c r="AG206" s="349">
        <v>550</v>
      </c>
    </row>
    <row r="207" spans="1:33" x14ac:dyDescent="0.25">
      <c r="A207" s="344" t="s">
        <v>468</v>
      </c>
      <c r="B207" s="350" t="s">
        <v>469</v>
      </c>
      <c r="C207" s="346">
        <v>4854</v>
      </c>
      <c r="D207" s="346">
        <v>36</v>
      </c>
      <c r="E207" s="346">
        <v>445</v>
      </c>
      <c r="F207" s="346">
        <v>1062</v>
      </c>
      <c r="G207" s="346">
        <v>650</v>
      </c>
      <c r="H207" s="346">
        <v>7047</v>
      </c>
      <c r="I207" s="345">
        <v>6397</v>
      </c>
      <c r="J207" s="345">
        <v>8</v>
      </c>
      <c r="K207" s="347">
        <v>97.53</v>
      </c>
      <c r="L207" s="347">
        <v>94.16</v>
      </c>
      <c r="M207" s="347">
        <v>9.2799999999999994</v>
      </c>
      <c r="N207" s="347">
        <v>104.82</v>
      </c>
      <c r="O207" s="348">
        <v>3746</v>
      </c>
      <c r="P207" s="345">
        <v>86.12</v>
      </c>
      <c r="Q207" s="345">
        <v>76.61</v>
      </c>
      <c r="R207" s="345">
        <v>28.58</v>
      </c>
      <c r="S207" s="345">
        <v>114</v>
      </c>
      <c r="T207" s="345">
        <v>570</v>
      </c>
      <c r="U207" s="345">
        <v>128.24</v>
      </c>
      <c r="V207" s="345">
        <v>823</v>
      </c>
      <c r="W207" s="345">
        <v>176.02</v>
      </c>
      <c r="X207" s="345">
        <v>275</v>
      </c>
      <c r="Y207" s="345">
        <v>2</v>
      </c>
      <c r="Z207" s="345">
        <v>2</v>
      </c>
      <c r="AA207" s="345">
        <v>1</v>
      </c>
      <c r="AB207" s="345">
        <v>15</v>
      </c>
      <c r="AC207" s="345">
        <v>27</v>
      </c>
      <c r="AD207" s="349">
        <v>4762</v>
      </c>
      <c r="AE207" s="349">
        <v>33</v>
      </c>
      <c r="AF207" s="349">
        <v>15</v>
      </c>
      <c r="AG207" s="349">
        <v>48</v>
      </c>
    </row>
    <row r="208" spans="1:33" x14ac:dyDescent="0.25">
      <c r="A208" s="344" t="s">
        <v>470</v>
      </c>
      <c r="B208" s="350" t="s">
        <v>471</v>
      </c>
      <c r="C208" s="346">
        <v>10203</v>
      </c>
      <c r="D208" s="346">
        <v>6</v>
      </c>
      <c r="E208" s="346">
        <v>585</v>
      </c>
      <c r="F208" s="346">
        <v>911</v>
      </c>
      <c r="G208" s="346">
        <v>515</v>
      </c>
      <c r="H208" s="346">
        <v>12220</v>
      </c>
      <c r="I208" s="345">
        <v>11705</v>
      </c>
      <c r="J208" s="345">
        <v>28</v>
      </c>
      <c r="K208" s="347">
        <v>77.489999999999995</v>
      </c>
      <c r="L208" s="347">
        <v>77.02</v>
      </c>
      <c r="M208" s="347">
        <v>6.63</v>
      </c>
      <c r="N208" s="347">
        <v>81.05</v>
      </c>
      <c r="O208" s="348">
        <v>9103</v>
      </c>
      <c r="P208" s="345">
        <v>80.290000000000006</v>
      </c>
      <c r="Q208" s="345">
        <v>70.69</v>
      </c>
      <c r="R208" s="345">
        <v>50.44</v>
      </c>
      <c r="S208" s="345">
        <v>125.04</v>
      </c>
      <c r="T208" s="345">
        <v>1411</v>
      </c>
      <c r="U208" s="345">
        <v>101.14</v>
      </c>
      <c r="V208" s="345">
        <v>1069</v>
      </c>
      <c r="W208" s="345">
        <v>0</v>
      </c>
      <c r="X208" s="345">
        <v>0</v>
      </c>
      <c r="Y208" s="345">
        <v>0</v>
      </c>
      <c r="Z208" s="345">
        <v>43</v>
      </c>
      <c r="AA208" s="345">
        <v>32</v>
      </c>
      <c r="AB208" s="345">
        <v>14</v>
      </c>
      <c r="AC208" s="345">
        <v>7</v>
      </c>
      <c r="AD208" s="349">
        <v>10181</v>
      </c>
      <c r="AE208" s="349">
        <v>70</v>
      </c>
      <c r="AF208" s="349">
        <v>131</v>
      </c>
      <c r="AG208" s="349">
        <v>201</v>
      </c>
    </row>
    <row r="209" spans="1:33" x14ac:dyDescent="0.25">
      <c r="A209" s="344" t="s">
        <v>472</v>
      </c>
      <c r="B209" s="350" t="s">
        <v>473</v>
      </c>
      <c r="C209" s="346">
        <v>3698</v>
      </c>
      <c r="D209" s="346">
        <v>47</v>
      </c>
      <c r="E209" s="346">
        <v>309</v>
      </c>
      <c r="F209" s="346">
        <v>493</v>
      </c>
      <c r="G209" s="346">
        <v>937</v>
      </c>
      <c r="H209" s="346">
        <v>5484</v>
      </c>
      <c r="I209" s="345">
        <v>4547</v>
      </c>
      <c r="J209" s="345">
        <v>13</v>
      </c>
      <c r="K209" s="347">
        <v>116.31</v>
      </c>
      <c r="L209" s="347">
        <v>113.99</v>
      </c>
      <c r="M209" s="347">
        <v>9.56</v>
      </c>
      <c r="N209" s="347">
        <v>125.33</v>
      </c>
      <c r="O209" s="348">
        <v>2857</v>
      </c>
      <c r="P209" s="345">
        <v>107.27</v>
      </c>
      <c r="Q209" s="345">
        <v>99.65</v>
      </c>
      <c r="R209" s="345">
        <v>76.78</v>
      </c>
      <c r="S209" s="345">
        <v>180.7</v>
      </c>
      <c r="T209" s="345">
        <v>641</v>
      </c>
      <c r="U209" s="345">
        <v>176.25</v>
      </c>
      <c r="V209" s="345">
        <v>490</v>
      </c>
      <c r="W209" s="345">
        <v>145.15</v>
      </c>
      <c r="X209" s="345">
        <v>33</v>
      </c>
      <c r="Y209" s="345">
        <v>0</v>
      </c>
      <c r="Z209" s="345">
        <v>1</v>
      </c>
      <c r="AA209" s="345">
        <v>9</v>
      </c>
      <c r="AB209" s="345">
        <v>19</v>
      </c>
      <c r="AC209" s="345">
        <v>42</v>
      </c>
      <c r="AD209" s="349">
        <v>3574</v>
      </c>
      <c r="AE209" s="349">
        <v>24</v>
      </c>
      <c r="AF209" s="349">
        <v>11</v>
      </c>
      <c r="AG209" s="349">
        <v>35</v>
      </c>
    </row>
    <row r="210" spans="1:33" x14ac:dyDescent="0.25">
      <c r="A210" s="344" t="s">
        <v>474</v>
      </c>
      <c r="B210" s="350" t="s">
        <v>475</v>
      </c>
      <c r="C210" s="346">
        <v>3493</v>
      </c>
      <c r="D210" s="346">
        <v>0</v>
      </c>
      <c r="E210" s="346">
        <v>332</v>
      </c>
      <c r="F210" s="346">
        <v>1096</v>
      </c>
      <c r="G210" s="346">
        <v>824</v>
      </c>
      <c r="H210" s="346">
        <v>5745</v>
      </c>
      <c r="I210" s="345">
        <v>4921</v>
      </c>
      <c r="J210" s="345">
        <v>1</v>
      </c>
      <c r="K210" s="347">
        <v>122.43</v>
      </c>
      <c r="L210" s="347">
        <v>120.73</v>
      </c>
      <c r="M210" s="347">
        <v>11.52</v>
      </c>
      <c r="N210" s="347">
        <v>129.11000000000001</v>
      </c>
      <c r="O210" s="348">
        <v>2860</v>
      </c>
      <c r="P210" s="345">
        <v>103.02</v>
      </c>
      <c r="Q210" s="345">
        <v>99.71</v>
      </c>
      <c r="R210" s="345">
        <v>39.25</v>
      </c>
      <c r="S210" s="345">
        <v>141.13</v>
      </c>
      <c r="T210" s="345">
        <v>1243</v>
      </c>
      <c r="U210" s="345">
        <v>186.69</v>
      </c>
      <c r="V210" s="345">
        <v>360</v>
      </c>
      <c r="W210" s="345">
        <v>95.98</v>
      </c>
      <c r="X210" s="345">
        <v>53</v>
      </c>
      <c r="Y210" s="345">
        <v>12</v>
      </c>
      <c r="Z210" s="345">
        <v>1</v>
      </c>
      <c r="AA210" s="345">
        <v>1</v>
      </c>
      <c r="AB210" s="345">
        <v>146</v>
      </c>
      <c r="AC210" s="345">
        <v>21</v>
      </c>
      <c r="AD210" s="349">
        <v>3370</v>
      </c>
      <c r="AE210" s="349">
        <v>23</v>
      </c>
      <c r="AF210" s="349">
        <v>8</v>
      </c>
      <c r="AG210" s="349">
        <v>31</v>
      </c>
    </row>
    <row r="211" spans="1:33" x14ac:dyDescent="0.25">
      <c r="A211" s="344" t="s">
        <v>476</v>
      </c>
      <c r="B211" s="350" t="s">
        <v>477</v>
      </c>
      <c r="C211" s="346">
        <v>11388</v>
      </c>
      <c r="D211" s="346">
        <v>0</v>
      </c>
      <c r="E211" s="346">
        <v>214</v>
      </c>
      <c r="F211" s="346">
        <v>629</v>
      </c>
      <c r="G211" s="346">
        <v>292</v>
      </c>
      <c r="H211" s="346">
        <v>12523</v>
      </c>
      <c r="I211" s="345">
        <v>12231</v>
      </c>
      <c r="J211" s="345">
        <v>71</v>
      </c>
      <c r="K211" s="347">
        <v>85.8</v>
      </c>
      <c r="L211" s="347">
        <v>85.98</v>
      </c>
      <c r="M211" s="347">
        <v>5.21</v>
      </c>
      <c r="N211" s="347">
        <v>88.46</v>
      </c>
      <c r="O211" s="348">
        <v>10840</v>
      </c>
      <c r="P211" s="345">
        <v>83.88</v>
      </c>
      <c r="Q211" s="345">
        <v>76.650000000000006</v>
      </c>
      <c r="R211" s="345">
        <v>51.55</v>
      </c>
      <c r="S211" s="345">
        <v>135.34</v>
      </c>
      <c r="T211" s="345">
        <v>642</v>
      </c>
      <c r="U211" s="345">
        <v>103.48</v>
      </c>
      <c r="V211" s="345">
        <v>347</v>
      </c>
      <c r="W211" s="345">
        <v>137.53</v>
      </c>
      <c r="X211" s="345">
        <v>153</v>
      </c>
      <c r="Y211" s="345">
        <v>0</v>
      </c>
      <c r="Z211" s="345">
        <v>45</v>
      </c>
      <c r="AA211" s="345">
        <v>0</v>
      </c>
      <c r="AB211" s="345">
        <v>42</v>
      </c>
      <c r="AC211" s="345">
        <v>6</v>
      </c>
      <c r="AD211" s="349">
        <v>11385</v>
      </c>
      <c r="AE211" s="349">
        <v>95</v>
      </c>
      <c r="AF211" s="349">
        <v>90</v>
      </c>
      <c r="AG211" s="349">
        <v>185</v>
      </c>
    </row>
    <row r="212" spans="1:33" x14ac:dyDescent="0.25">
      <c r="A212" s="344" t="s">
        <v>478</v>
      </c>
      <c r="B212" s="350" t="s">
        <v>479</v>
      </c>
      <c r="C212" s="346">
        <v>1871</v>
      </c>
      <c r="D212" s="346">
        <v>0</v>
      </c>
      <c r="E212" s="346">
        <v>158</v>
      </c>
      <c r="F212" s="346">
        <v>181</v>
      </c>
      <c r="G212" s="346">
        <v>244</v>
      </c>
      <c r="H212" s="346">
        <v>2454</v>
      </c>
      <c r="I212" s="345">
        <v>2210</v>
      </c>
      <c r="J212" s="345">
        <v>0</v>
      </c>
      <c r="K212" s="347">
        <v>89.38</v>
      </c>
      <c r="L212" s="347">
        <v>87.84</v>
      </c>
      <c r="M212" s="347">
        <v>4.8600000000000003</v>
      </c>
      <c r="N212" s="347">
        <v>93.51</v>
      </c>
      <c r="O212" s="348">
        <v>1465</v>
      </c>
      <c r="P212" s="345">
        <v>102.67</v>
      </c>
      <c r="Q212" s="345">
        <v>98.38</v>
      </c>
      <c r="R212" s="345">
        <v>60.22</v>
      </c>
      <c r="S212" s="345">
        <v>161.88999999999999</v>
      </c>
      <c r="T212" s="345">
        <v>242</v>
      </c>
      <c r="U212" s="345">
        <v>117.71</v>
      </c>
      <c r="V212" s="345">
        <v>197</v>
      </c>
      <c r="W212" s="345">
        <v>209.51</v>
      </c>
      <c r="X212" s="345">
        <v>44</v>
      </c>
      <c r="Y212" s="345">
        <v>0</v>
      </c>
      <c r="Z212" s="345">
        <v>5</v>
      </c>
      <c r="AA212" s="345">
        <v>1</v>
      </c>
      <c r="AB212" s="345">
        <v>23</v>
      </c>
      <c r="AC212" s="345">
        <v>3</v>
      </c>
      <c r="AD212" s="349">
        <v>1706</v>
      </c>
      <c r="AE212" s="349">
        <v>11</v>
      </c>
      <c r="AF212" s="349">
        <v>1</v>
      </c>
      <c r="AG212" s="349">
        <v>12</v>
      </c>
    </row>
    <row r="213" spans="1:33" x14ac:dyDescent="0.25">
      <c r="A213" s="344" t="s">
        <v>480</v>
      </c>
      <c r="B213" s="350" t="s">
        <v>481</v>
      </c>
      <c r="C213" s="346">
        <v>6168</v>
      </c>
      <c r="D213" s="346">
        <v>0</v>
      </c>
      <c r="E213" s="346">
        <v>390</v>
      </c>
      <c r="F213" s="346">
        <v>532</v>
      </c>
      <c r="G213" s="346">
        <v>828</v>
      </c>
      <c r="H213" s="346">
        <v>7918</v>
      </c>
      <c r="I213" s="345">
        <v>7090</v>
      </c>
      <c r="J213" s="345">
        <v>5</v>
      </c>
      <c r="K213" s="347">
        <v>116.83</v>
      </c>
      <c r="L213" s="347">
        <v>117</v>
      </c>
      <c r="M213" s="347">
        <v>4.67</v>
      </c>
      <c r="N213" s="347">
        <v>121.26</v>
      </c>
      <c r="O213" s="348">
        <v>5145</v>
      </c>
      <c r="P213" s="345">
        <v>112.27</v>
      </c>
      <c r="Q213" s="345">
        <v>99.91</v>
      </c>
      <c r="R213" s="345">
        <v>31.05</v>
      </c>
      <c r="S213" s="345">
        <v>142.21</v>
      </c>
      <c r="T213" s="345">
        <v>643</v>
      </c>
      <c r="U213" s="345">
        <v>150.65</v>
      </c>
      <c r="V213" s="345">
        <v>907</v>
      </c>
      <c r="W213" s="345">
        <v>213.4</v>
      </c>
      <c r="X213" s="345">
        <v>63</v>
      </c>
      <c r="Y213" s="345">
        <v>10</v>
      </c>
      <c r="Z213" s="345">
        <v>14</v>
      </c>
      <c r="AA213" s="345">
        <v>2</v>
      </c>
      <c r="AB213" s="345">
        <v>36</v>
      </c>
      <c r="AC213" s="345">
        <v>28</v>
      </c>
      <c r="AD213" s="349">
        <v>6168</v>
      </c>
      <c r="AE213" s="349">
        <v>20</v>
      </c>
      <c r="AF213" s="349">
        <v>34</v>
      </c>
      <c r="AG213" s="349">
        <v>54</v>
      </c>
    </row>
    <row r="214" spans="1:33" x14ac:dyDescent="0.25">
      <c r="A214" s="344" t="s">
        <v>482</v>
      </c>
      <c r="B214" s="350" t="s">
        <v>483</v>
      </c>
      <c r="C214" s="346">
        <v>1303</v>
      </c>
      <c r="D214" s="346">
        <v>0</v>
      </c>
      <c r="E214" s="346">
        <v>87</v>
      </c>
      <c r="F214" s="346">
        <v>749</v>
      </c>
      <c r="G214" s="346">
        <v>377</v>
      </c>
      <c r="H214" s="346">
        <v>2516</v>
      </c>
      <c r="I214" s="345">
        <v>2139</v>
      </c>
      <c r="J214" s="345">
        <v>35</v>
      </c>
      <c r="K214" s="347">
        <v>83.87</v>
      </c>
      <c r="L214" s="347">
        <v>83.44</v>
      </c>
      <c r="M214" s="347">
        <v>3.65</v>
      </c>
      <c r="N214" s="347">
        <v>86.39</v>
      </c>
      <c r="O214" s="348">
        <v>957</v>
      </c>
      <c r="P214" s="345">
        <v>72.87</v>
      </c>
      <c r="Q214" s="345">
        <v>69.41</v>
      </c>
      <c r="R214" s="345">
        <v>19.03</v>
      </c>
      <c r="S214" s="345">
        <v>91.31</v>
      </c>
      <c r="T214" s="345">
        <v>777</v>
      </c>
      <c r="U214" s="345">
        <v>102.28</v>
      </c>
      <c r="V214" s="345">
        <v>342</v>
      </c>
      <c r="W214" s="345">
        <v>132.18</v>
      </c>
      <c r="X214" s="345">
        <v>12</v>
      </c>
      <c r="Y214" s="345">
        <v>10</v>
      </c>
      <c r="Z214" s="345">
        <v>6</v>
      </c>
      <c r="AA214" s="345">
        <v>0</v>
      </c>
      <c r="AB214" s="345">
        <v>13</v>
      </c>
      <c r="AC214" s="345">
        <v>11</v>
      </c>
      <c r="AD214" s="349">
        <v>1303</v>
      </c>
      <c r="AE214" s="349">
        <v>18</v>
      </c>
      <c r="AF214" s="349">
        <v>13</v>
      </c>
      <c r="AG214" s="349">
        <v>31</v>
      </c>
    </row>
    <row r="215" spans="1:33" x14ac:dyDescent="0.25">
      <c r="A215" s="344" t="s">
        <v>484</v>
      </c>
      <c r="B215" s="350" t="s">
        <v>485</v>
      </c>
      <c r="C215" s="346">
        <v>8784</v>
      </c>
      <c r="D215" s="346">
        <v>5</v>
      </c>
      <c r="E215" s="346">
        <v>310</v>
      </c>
      <c r="F215" s="346">
        <v>820</v>
      </c>
      <c r="G215" s="346">
        <v>465</v>
      </c>
      <c r="H215" s="346">
        <v>10384</v>
      </c>
      <c r="I215" s="345">
        <v>9919</v>
      </c>
      <c r="J215" s="345">
        <v>7</v>
      </c>
      <c r="K215" s="347">
        <v>120.06</v>
      </c>
      <c r="L215" s="347">
        <v>131.77000000000001</v>
      </c>
      <c r="M215" s="347">
        <v>10.42</v>
      </c>
      <c r="N215" s="347">
        <v>127.31</v>
      </c>
      <c r="O215" s="348">
        <v>7831</v>
      </c>
      <c r="P215" s="345">
        <v>118.45</v>
      </c>
      <c r="Q215" s="345">
        <v>117.59</v>
      </c>
      <c r="R215" s="345">
        <v>50.92</v>
      </c>
      <c r="S215" s="345">
        <v>165.42</v>
      </c>
      <c r="T215" s="345">
        <v>1047</v>
      </c>
      <c r="U215" s="345">
        <v>195.26</v>
      </c>
      <c r="V215" s="345">
        <v>831</v>
      </c>
      <c r="W215" s="345">
        <v>0</v>
      </c>
      <c r="X215" s="345">
        <v>0</v>
      </c>
      <c r="Y215" s="345">
        <v>0</v>
      </c>
      <c r="Z215" s="345">
        <v>6</v>
      </c>
      <c r="AA215" s="345">
        <v>13</v>
      </c>
      <c r="AB215" s="345">
        <v>7</v>
      </c>
      <c r="AC215" s="345">
        <v>16</v>
      </c>
      <c r="AD215" s="349">
        <v>8755</v>
      </c>
      <c r="AE215" s="349">
        <v>21</v>
      </c>
      <c r="AF215" s="349">
        <v>43</v>
      </c>
      <c r="AG215" s="349">
        <v>64</v>
      </c>
    </row>
    <row r="216" spans="1:33" x14ac:dyDescent="0.25">
      <c r="A216" s="344" t="s">
        <v>486</v>
      </c>
      <c r="B216" s="350" t="s">
        <v>487</v>
      </c>
      <c r="C216" s="346">
        <v>733</v>
      </c>
      <c r="D216" s="346">
        <v>0</v>
      </c>
      <c r="E216" s="346">
        <v>118</v>
      </c>
      <c r="F216" s="346">
        <v>96</v>
      </c>
      <c r="G216" s="346">
        <v>57</v>
      </c>
      <c r="H216" s="346">
        <v>1004</v>
      </c>
      <c r="I216" s="345">
        <v>947</v>
      </c>
      <c r="J216" s="345">
        <v>3</v>
      </c>
      <c r="K216" s="347">
        <v>89.91</v>
      </c>
      <c r="L216" s="347">
        <v>86.11</v>
      </c>
      <c r="M216" s="347">
        <v>3.85</v>
      </c>
      <c r="N216" s="347">
        <v>92.83</v>
      </c>
      <c r="O216" s="348">
        <v>531</v>
      </c>
      <c r="P216" s="345">
        <v>98.37</v>
      </c>
      <c r="Q216" s="345">
        <v>93.63</v>
      </c>
      <c r="R216" s="345">
        <v>111.09</v>
      </c>
      <c r="S216" s="345">
        <v>209.46</v>
      </c>
      <c r="T216" s="345">
        <v>85</v>
      </c>
      <c r="U216" s="345">
        <v>104.2</v>
      </c>
      <c r="V216" s="345">
        <v>175</v>
      </c>
      <c r="W216" s="345">
        <v>206.48</v>
      </c>
      <c r="X216" s="345">
        <v>119</v>
      </c>
      <c r="Y216" s="345">
        <v>0</v>
      </c>
      <c r="Z216" s="345">
        <v>0</v>
      </c>
      <c r="AA216" s="345">
        <v>0</v>
      </c>
      <c r="AB216" s="345">
        <v>2</v>
      </c>
      <c r="AC216" s="345">
        <v>0</v>
      </c>
      <c r="AD216" s="349">
        <v>733</v>
      </c>
      <c r="AE216" s="349">
        <v>2</v>
      </c>
      <c r="AF216" s="349">
        <v>8</v>
      </c>
      <c r="AG216" s="349">
        <v>10</v>
      </c>
    </row>
    <row r="217" spans="1:33" x14ac:dyDescent="0.25">
      <c r="A217" s="344" t="s">
        <v>488</v>
      </c>
      <c r="B217" s="350" t="s">
        <v>489</v>
      </c>
      <c r="C217" s="346">
        <v>18096</v>
      </c>
      <c r="D217" s="346">
        <v>0</v>
      </c>
      <c r="E217" s="346">
        <v>623</v>
      </c>
      <c r="F217" s="346">
        <v>2018</v>
      </c>
      <c r="G217" s="346">
        <v>220</v>
      </c>
      <c r="H217" s="346">
        <v>20957</v>
      </c>
      <c r="I217" s="345">
        <v>20737</v>
      </c>
      <c r="J217" s="345">
        <v>8</v>
      </c>
      <c r="K217" s="347">
        <v>74.36</v>
      </c>
      <c r="L217" s="347">
        <v>74.64</v>
      </c>
      <c r="M217" s="347">
        <v>10.45</v>
      </c>
      <c r="N217" s="347">
        <v>83.79</v>
      </c>
      <c r="O217" s="348">
        <v>16040</v>
      </c>
      <c r="P217" s="345">
        <v>74.739999999999995</v>
      </c>
      <c r="Q217" s="345">
        <v>71.099999999999994</v>
      </c>
      <c r="R217" s="345">
        <v>42.17</v>
      </c>
      <c r="S217" s="345">
        <v>115.14</v>
      </c>
      <c r="T217" s="345">
        <v>2458</v>
      </c>
      <c r="U217" s="345">
        <v>95.83</v>
      </c>
      <c r="V217" s="345">
        <v>1875</v>
      </c>
      <c r="W217" s="345">
        <v>0</v>
      </c>
      <c r="X217" s="345">
        <v>0</v>
      </c>
      <c r="Y217" s="345">
        <v>1</v>
      </c>
      <c r="Z217" s="345">
        <v>154</v>
      </c>
      <c r="AA217" s="345">
        <v>10</v>
      </c>
      <c r="AB217" s="345">
        <v>5</v>
      </c>
      <c r="AC217" s="345">
        <v>5</v>
      </c>
      <c r="AD217" s="349">
        <v>17935</v>
      </c>
      <c r="AE217" s="349">
        <v>86</v>
      </c>
      <c r="AF217" s="349">
        <v>166</v>
      </c>
      <c r="AG217" s="349">
        <v>252</v>
      </c>
    </row>
    <row r="218" spans="1:33" x14ac:dyDescent="0.25">
      <c r="A218" s="344" t="s">
        <v>490</v>
      </c>
      <c r="B218" s="350" t="s">
        <v>491</v>
      </c>
      <c r="C218" s="346">
        <v>2259</v>
      </c>
      <c r="D218" s="346">
        <v>0</v>
      </c>
      <c r="E218" s="346">
        <v>63</v>
      </c>
      <c r="F218" s="346">
        <v>698</v>
      </c>
      <c r="G218" s="346">
        <v>151</v>
      </c>
      <c r="H218" s="346">
        <v>3171</v>
      </c>
      <c r="I218" s="345">
        <v>3020</v>
      </c>
      <c r="J218" s="345">
        <v>2</v>
      </c>
      <c r="K218" s="347">
        <v>98.3</v>
      </c>
      <c r="L218" s="347">
        <v>98.32</v>
      </c>
      <c r="M218" s="347">
        <v>7.52</v>
      </c>
      <c r="N218" s="347">
        <v>102.71</v>
      </c>
      <c r="O218" s="348">
        <v>1763</v>
      </c>
      <c r="P218" s="345">
        <v>86.05</v>
      </c>
      <c r="Q218" s="345">
        <v>86.31</v>
      </c>
      <c r="R218" s="345">
        <v>29.26</v>
      </c>
      <c r="S218" s="345">
        <v>115.15</v>
      </c>
      <c r="T218" s="345">
        <v>755</v>
      </c>
      <c r="U218" s="345">
        <v>142.32</v>
      </c>
      <c r="V218" s="345">
        <v>494</v>
      </c>
      <c r="W218" s="345">
        <v>0</v>
      </c>
      <c r="X218" s="345">
        <v>0</v>
      </c>
      <c r="Y218" s="345">
        <v>0</v>
      </c>
      <c r="Z218" s="345">
        <v>1</v>
      </c>
      <c r="AA218" s="345">
        <v>2</v>
      </c>
      <c r="AB218" s="345">
        <v>9</v>
      </c>
      <c r="AC218" s="345">
        <v>1</v>
      </c>
      <c r="AD218" s="349">
        <v>2259</v>
      </c>
      <c r="AE218" s="349">
        <v>14</v>
      </c>
      <c r="AF218" s="349">
        <v>13</v>
      </c>
      <c r="AG218" s="349">
        <v>27</v>
      </c>
    </row>
    <row r="219" spans="1:33" x14ac:dyDescent="0.25">
      <c r="A219" s="344" t="s">
        <v>492</v>
      </c>
      <c r="B219" s="350" t="s">
        <v>493</v>
      </c>
      <c r="C219" s="346">
        <v>4212</v>
      </c>
      <c r="D219" s="346">
        <v>0</v>
      </c>
      <c r="E219" s="346">
        <v>92</v>
      </c>
      <c r="F219" s="346">
        <v>344</v>
      </c>
      <c r="G219" s="346">
        <v>43</v>
      </c>
      <c r="H219" s="346">
        <v>4691</v>
      </c>
      <c r="I219" s="345">
        <v>4648</v>
      </c>
      <c r="J219" s="345">
        <v>1</v>
      </c>
      <c r="K219" s="347">
        <v>72.709999999999994</v>
      </c>
      <c r="L219" s="347">
        <v>70.42</v>
      </c>
      <c r="M219" s="347">
        <v>4.3499999999999996</v>
      </c>
      <c r="N219" s="347">
        <v>73.209999999999994</v>
      </c>
      <c r="O219" s="348">
        <v>3681</v>
      </c>
      <c r="P219" s="345">
        <v>86.51</v>
      </c>
      <c r="Q219" s="345">
        <v>82</v>
      </c>
      <c r="R219" s="345">
        <v>43.27</v>
      </c>
      <c r="S219" s="345">
        <v>127.11</v>
      </c>
      <c r="T219" s="345">
        <v>389</v>
      </c>
      <c r="U219" s="345">
        <v>89.57</v>
      </c>
      <c r="V219" s="345">
        <v>525</v>
      </c>
      <c r="W219" s="345">
        <v>0</v>
      </c>
      <c r="X219" s="345">
        <v>0</v>
      </c>
      <c r="Y219" s="345">
        <v>0</v>
      </c>
      <c r="Z219" s="345">
        <v>19</v>
      </c>
      <c r="AA219" s="345">
        <v>1</v>
      </c>
      <c r="AB219" s="345">
        <v>0</v>
      </c>
      <c r="AC219" s="345">
        <v>4</v>
      </c>
      <c r="AD219" s="349">
        <v>4211</v>
      </c>
      <c r="AE219" s="349">
        <v>20</v>
      </c>
      <c r="AF219" s="349">
        <v>10</v>
      </c>
      <c r="AG219" s="349">
        <v>30</v>
      </c>
    </row>
    <row r="220" spans="1:33" x14ac:dyDescent="0.25">
      <c r="A220" s="344" t="s">
        <v>494</v>
      </c>
      <c r="B220" s="350" t="s">
        <v>495</v>
      </c>
      <c r="C220" s="346">
        <v>3716</v>
      </c>
      <c r="D220" s="346">
        <v>0</v>
      </c>
      <c r="E220" s="346">
        <v>77</v>
      </c>
      <c r="F220" s="346">
        <v>684</v>
      </c>
      <c r="G220" s="346">
        <v>281</v>
      </c>
      <c r="H220" s="346">
        <v>4758</v>
      </c>
      <c r="I220" s="345">
        <v>4477</v>
      </c>
      <c r="J220" s="345">
        <v>0</v>
      </c>
      <c r="K220" s="347">
        <v>95.11</v>
      </c>
      <c r="L220" s="347">
        <v>94.76</v>
      </c>
      <c r="M220" s="347">
        <v>3.48</v>
      </c>
      <c r="N220" s="347">
        <v>97.98</v>
      </c>
      <c r="O220" s="348">
        <v>3169</v>
      </c>
      <c r="P220" s="345">
        <v>87.1</v>
      </c>
      <c r="Q220" s="345">
        <v>84.32</v>
      </c>
      <c r="R220" s="345">
        <v>37.71</v>
      </c>
      <c r="S220" s="345">
        <v>124.69</v>
      </c>
      <c r="T220" s="345">
        <v>618</v>
      </c>
      <c r="U220" s="345">
        <v>116.4</v>
      </c>
      <c r="V220" s="345">
        <v>542</v>
      </c>
      <c r="W220" s="345">
        <v>128.08000000000001</v>
      </c>
      <c r="X220" s="345">
        <v>13</v>
      </c>
      <c r="Y220" s="345">
        <v>0</v>
      </c>
      <c r="Z220" s="345">
        <v>3</v>
      </c>
      <c r="AA220" s="345">
        <v>1</v>
      </c>
      <c r="AB220" s="345">
        <v>16</v>
      </c>
      <c r="AC220" s="345">
        <v>4</v>
      </c>
      <c r="AD220" s="349">
        <v>3716</v>
      </c>
      <c r="AE220" s="349">
        <v>14</v>
      </c>
      <c r="AF220" s="349">
        <v>10</v>
      </c>
      <c r="AG220" s="349">
        <v>24</v>
      </c>
    </row>
    <row r="221" spans="1:33" x14ac:dyDescent="0.25">
      <c r="A221" s="344" t="s">
        <v>496</v>
      </c>
      <c r="B221" s="350" t="s">
        <v>497</v>
      </c>
      <c r="C221" s="346">
        <v>3413</v>
      </c>
      <c r="D221" s="346">
        <v>0</v>
      </c>
      <c r="E221" s="346">
        <v>420</v>
      </c>
      <c r="F221" s="346">
        <v>860</v>
      </c>
      <c r="G221" s="346">
        <v>321</v>
      </c>
      <c r="H221" s="346">
        <v>5014</v>
      </c>
      <c r="I221" s="345">
        <v>4693</v>
      </c>
      <c r="J221" s="345">
        <v>1</v>
      </c>
      <c r="K221" s="347">
        <v>80.5</v>
      </c>
      <c r="L221" s="347">
        <v>78.78</v>
      </c>
      <c r="M221" s="347">
        <v>7.94</v>
      </c>
      <c r="N221" s="347">
        <v>84.69</v>
      </c>
      <c r="O221" s="348">
        <v>2795</v>
      </c>
      <c r="P221" s="345">
        <v>87.75</v>
      </c>
      <c r="Q221" s="345">
        <v>74.540000000000006</v>
      </c>
      <c r="R221" s="345">
        <v>39.71</v>
      </c>
      <c r="S221" s="345">
        <v>125.32</v>
      </c>
      <c r="T221" s="345">
        <v>1244</v>
      </c>
      <c r="U221" s="345">
        <v>96.8</v>
      </c>
      <c r="V221" s="345">
        <v>508</v>
      </c>
      <c r="W221" s="345">
        <v>142.96</v>
      </c>
      <c r="X221" s="345">
        <v>25</v>
      </c>
      <c r="Y221" s="345">
        <v>0</v>
      </c>
      <c r="Z221" s="345">
        <v>0</v>
      </c>
      <c r="AA221" s="345">
        <v>38</v>
      </c>
      <c r="AB221" s="345">
        <v>18</v>
      </c>
      <c r="AC221" s="345">
        <v>7</v>
      </c>
      <c r="AD221" s="349">
        <v>3356</v>
      </c>
      <c r="AE221" s="349">
        <v>42</v>
      </c>
      <c r="AF221" s="349">
        <v>14</v>
      </c>
      <c r="AG221" s="349">
        <v>56</v>
      </c>
    </row>
    <row r="222" spans="1:33" x14ac:dyDescent="0.25">
      <c r="A222" s="344" t="s">
        <v>498</v>
      </c>
      <c r="B222" s="350" t="s">
        <v>499</v>
      </c>
      <c r="C222" s="346">
        <v>2473</v>
      </c>
      <c r="D222" s="346">
        <v>0</v>
      </c>
      <c r="E222" s="346">
        <v>51</v>
      </c>
      <c r="F222" s="346">
        <v>244</v>
      </c>
      <c r="G222" s="346">
        <v>609</v>
      </c>
      <c r="H222" s="346">
        <v>3377</v>
      </c>
      <c r="I222" s="345">
        <v>2768</v>
      </c>
      <c r="J222" s="345">
        <v>0</v>
      </c>
      <c r="K222" s="347">
        <v>98.06</v>
      </c>
      <c r="L222" s="347">
        <v>97.41</v>
      </c>
      <c r="M222" s="347">
        <v>5.99</v>
      </c>
      <c r="N222" s="347">
        <v>102.48</v>
      </c>
      <c r="O222" s="348">
        <v>2176</v>
      </c>
      <c r="P222" s="345">
        <v>82.41</v>
      </c>
      <c r="Q222" s="345">
        <v>84.23</v>
      </c>
      <c r="R222" s="345">
        <v>33.33</v>
      </c>
      <c r="S222" s="345">
        <v>114.85</v>
      </c>
      <c r="T222" s="345">
        <v>150</v>
      </c>
      <c r="U222" s="345">
        <v>117.15</v>
      </c>
      <c r="V222" s="345">
        <v>256</v>
      </c>
      <c r="W222" s="345">
        <v>199.95</v>
      </c>
      <c r="X222" s="345">
        <v>76</v>
      </c>
      <c r="Y222" s="345">
        <v>0</v>
      </c>
      <c r="Z222" s="345">
        <v>29</v>
      </c>
      <c r="AA222" s="345">
        <v>11</v>
      </c>
      <c r="AB222" s="345">
        <v>56</v>
      </c>
      <c r="AC222" s="345">
        <v>13</v>
      </c>
      <c r="AD222" s="349">
        <v>2436</v>
      </c>
      <c r="AE222" s="349">
        <v>39</v>
      </c>
      <c r="AF222" s="349">
        <v>29</v>
      </c>
      <c r="AG222" s="349">
        <v>68</v>
      </c>
    </row>
    <row r="223" spans="1:33" x14ac:dyDescent="0.25">
      <c r="A223" s="344" t="s">
        <v>500</v>
      </c>
      <c r="B223" s="350" t="s">
        <v>501</v>
      </c>
      <c r="C223" s="346">
        <v>1330</v>
      </c>
      <c r="D223" s="346">
        <v>282</v>
      </c>
      <c r="E223" s="346">
        <v>67</v>
      </c>
      <c r="F223" s="346">
        <v>285</v>
      </c>
      <c r="G223" s="346">
        <v>422</v>
      </c>
      <c r="H223" s="346">
        <v>2386</v>
      </c>
      <c r="I223" s="345">
        <v>1964</v>
      </c>
      <c r="J223" s="345">
        <v>1</v>
      </c>
      <c r="K223" s="347">
        <v>120.03</v>
      </c>
      <c r="L223" s="347">
        <v>116.25</v>
      </c>
      <c r="M223" s="347">
        <v>9.66</v>
      </c>
      <c r="N223" s="347">
        <v>128.03</v>
      </c>
      <c r="O223" s="348">
        <v>880</v>
      </c>
      <c r="P223" s="345">
        <v>113.64</v>
      </c>
      <c r="Q223" s="345">
        <v>109.51</v>
      </c>
      <c r="R223" s="345">
        <v>25.16</v>
      </c>
      <c r="S223" s="345">
        <v>138.72</v>
      </c>
      <c r="T223" s="345">
        <v>318</v>
      </c>
      <c r="U223" s="345">
        <v>196.21</v>
      </c>
      <c r="V223" s="345">
        <v>245</v>
      </c>
      <c r="W223" s="345">
        <v>127.46</v>
      </c>
      <c r="X223" s="345">
        <v>33</v>
      </c>
      <c r="Y223" s="345">
        <v>0</v>
      </c>
      <c r="Z223" s="345">
        <v>0</v>
      </c>
      <c r="AA223" s="345">
        <v>2</v>
      </c>
      <c r="AB223" s="345">
        <v>17</v>
      </c>
      <c r="AC223" s="345">
        <v>3</v>
      </c>
      <c r="AD223" s="349">
        <v>1274</v>
      </c>
      <c r="AE223" s="349">
        <v>20</v>
      </c>
      <c r="AF223" s="349">
        <v>3</v>
      </c>
      <c r="AG223" s="349">
        <v>23</v>
      </c>
    </row>
    <row r="224" spans="1:33" x14ac:dyDescent="0.25">
      <c r="A224" s="344" t="s">
        <v>502</v>
      </c>
      <c r="B224" s="350" t="s">
        <v>503</v>
      </c>
      <c r="C224" s="346">
        <v>2953</v>
      </c>
      <c r="D224" s="346">
        <v>0</v>
      </c>
      <c r="E224" s="346">
        <v>88</v>
      </c>
      <c r="F224" s="346">
        <v>1385</v>
      </c>
      <c r="G224" s="346">
        <v>443</v>
      </c>
      <c r="H224" s="346">
        <v>4869</v>
      </c>
      <c r="I224" s="345">
        <v>4426</v>
      </c>
      <c r="J224" s="345">
        <v>2</v>
      </c>
      <c r="K224" s="347">
        <v>94.11</v>
      </c>
      <c r="L224" s="347">
        <v>94.76</v>
      </c>
      <c r="M224" s="347">
        <v>4.45</v>
      </c>
      <c r="N224" s="347">
        <v>95.86</v>
      </c>
      <c r="O224" s="348">
        <v>2651</v>
      </c>
      <c r="P224" s="345">
        <v>93.01</v>
      </c>
      <c r="Q224" s="345">
        <v>90.92</v>
      </c>
      <c r="R224" s="345">
        <v>19.420000000000002</v>
      </c>
      <c r="S224" s="345">
        <v>112.17</v>
      </c>
      <c r="T224" s="345">
        <v>1467</v>
      </c>
      <c r="U224" s="345">
        <v>106.56</v>
      </c>
      <c r="V224" s="345">
        <v>286</v>
      </c>
      <c r="W224" s="345">
        <v>151.9</v>
      </c>
      <c r="X224" s="345">
        <v>5</v>
      </c>
      <c r="Y224" s="345">
        <v>0</v>
      </c>
      <c r="Z224" s="345">
        <v>6</v>
      </c>
      <c r="AA224" s="345">
        <v>0</v>
      </c>
      <c r="AB224" s="345">
        <v>31</v>
      </c>
      <c r="AC224" s="345">
        <v>12</v>
      </c>
      <c r="AD224" s="349">
        <v>2941</v>
      </c>
      <c r="AE224" s="349">
        <v>11</v>
      </c>
      <c r="AF224" s="349">
        <v>10</v>
      </c>
      <c r="AG224" s="349">
        <v>21</v>
      </c>
    </row>
    <row r="225" spans="1:33" x14ac:dyDescent="0.25">
      <c r="A225" s="344" t="s">
        <v>504</v>
      </c>
      <c r="B225" s="350" t="s">
        <v>505</v>
      </c>
      <c r="C225" s="346">
        <v>5645</v>
      </c>
      <c r="D225" s="346">
        <v>17</v>
      </c>
      <c r="E225" s="346">
        <v>228</v>
      </c>
      <c r="F225" s="346">
        <v>647</v>
      </c>
      <c r="G225" s="346">
        <v>578</v>
      </c>
      <c r="H225" s="346">
        <v>7115</v>
      </c>
      <c r="I225" s="345">
        <v>6537</v>
      </c>
      <c r="J225" s="345">
        <v>0</v>
      </c>
      <c r="K225" s="347">
        <v>109.23</v>
      </c>
      <c r="L225" s="347">
        <v>105</v>
      </c>
      <c r="M225" s="347">
        <v>9.06</v>
      </c>
      <c r="N225" s="347">
        <v>114.22</v>
      </c>
      <c r="O225" s="348">
        <v>4425</v>
      </c>
      <c r="P225" s="345">
        <v>97.59</v>
      </c>
      <c r="Q225" s="345">
        <v>88.87</v>
      </c>
      <c r="R225" s="345">
        <v>41.91</v>
      </c>
      <c r="S225" s="345">
        <v>139.35</v>
      </c>
      <c r="T225" s="345">
        <v>827</v>
      </c>
      <c r="U225" s="345">
        <v>153.65</v>
      </c>
      <c r="V225" s="345">
        <v>1066</v>
      </c>
      <c r="W225" s="345">
        <v>147.51</v>
      </c>
      <c r="X225" s="345">
        <v>39</v>
      </c>
      <c r="Y225" s="345">
        <v>26</v>
      </c>
      <c r="Z225" s="345">
        <v>1</v>
      </c>
      <c r="AA225" s="345">
        <v>0</v>
      </c>
      <c r="AB225" s="345">
        <v>2</v>
      </c>
      <c r="AC225" s="345">
        <v>21</v>
      </c>
      <c r="AD225" s="349">
        <v>5393</v>
      </c>
      <c r="AE225" s="349">
        <v>32</v>
      </c>
      <c r="AF225" s="349">
        <v>46</v>
      </c>
      <c r="AG225" s="349">
        <v>78</v>
      </c>
    </row>
    <row r="226" spans="1:33" x14ac:dyDescent="0.25">
      <c r="A226" s="344" t="s">
        <v>506</v>
      </c>
      <c r="B226" s="350" t="s">
        <v>507</v>
      </c>
      <c r="C226" s="346">
        <v>1512</v>
      </c>
      <c r="D226" s="346">
        <v>0</v>
      </c>
      <c r="E226" s="346">
        <v>32</v>
      </c>
      <c r="F226" s="346">
        <v>287</v>
      </c>
      <c r="G226" s="346">
        <v>203</v>
      </c>
      <c r="H226" s="346">
        <v>2034</v>
      </c>
      <c r="I226" s="345">
        <v>1831</v>
      </c>
      <c r="J226" s="345">
        <v>4</v>
      </c>
      <c r="K226" s="347">
        <v>88.28</v>
      </c>
      <c r="L226" s="347">
        <v>95.92</v>
      </c>
      <c r="M226" s="347">
        <v>5.81</v>
      </c>
      <c r="N226" s="347">
        <v>90.65</v>
      </c>
      <c r="O226" s="348">
        <v>1264</v>
      </c>
      <c r="P226" s="345">
        <v>85.44</v>
      </c>
      <c r="Q226" s="345">
        <v>85.37</v>
      </c>
      <c r="R226" s="345">
        <v>32.450000000000003</v>
      </c>
      <c r="S226" s="345">
        <v>111.75</v>
      </c>
      <c r="T226" s="345">
        <v>217</v>
      </c>
      <c r="U226" s="345">
        <v>110.1</v>
      </c>
      <c r="V226" s="345">
        <v>217</v>
      </c>
      <c r="W226" s="345">
        <v>0</v>
      </c>
      <c r="X226" s="345">
        <v>0</v>
      </c>
      <c r="Y226" s="345">
        <v>0</v>
      </c>
      <c r="Z226" s="345">
        <v>2</v>
      </c>
      <c r="AA226" s="345">
        <v>1</v>
      </c>
      <c r="AB226" s="345">
        <v>21</v>
      </c>
      <c r="AC226" s="345">
        <v>5</v>
      </c>
      <c r="AD226" s="349">
        <v>1499</v>
      </c>
      <c r="AE226" s="349">
        <v>13</v>
      </c>
      <c r="AF226" s="349">
        <v>6</v>
      </c>
      <c r="AG226" s="349">
        <v>19</v>
      </c>
    </row>
    <row r="227" spans="1:33" x14ac:dyDescent="0.25">
      <c r="A227" s="344" t="s">
        <v>508</v>
      </c>
      <c r="B227" s="350" t="s">
        <v>509</v>
      </c>
      <c r="C227" s="346">
        <v>3067</v>
      </c>
      <c r="D227" s="346">
        <v>3</v>
      </c>
      <c r="E227" s="346">
        <v>38</v>
      </c>
      <c r="F227" s="346">
        <v>135</v>
      </c>
      <c r="G227" s="346">
        <v>81</v>
      </c>
      <c r="H227" s="346">
        <v>3324</v>
      </c>
      <c r="I227" s="345">
        <v>3243</v>
      </c>
      <c r="J227" s="345">
        <v>3</v>
      </c>
      <c r="K227" s="347">
        <v>88.81</v>
      </c>
      <c r="L227" s="347">
        <v>84.69</v>
      </c>
      <c r="M227" s="347">
        <v>4.22</v>
      </c>
      <c r="N227" s="347">
        <v>90.4</v>
      </c>
      <c r="O227" s="348">
        <v>2014</v>
      </c>
      <c r="P227" s="345">
        <v>74.59</v>
      </c>
      <c r="Q227" s="345">
        <v>70.58</v>
      </c>
      <c r="R227" s="345">
        <v>47.4</v>
      </c>
      <c r="S227" s="345">
        <v>121.29</v>
      </c>
      <c r="T227" s="345">
        <v>136</v>
      </c>
      <c r="U227" s="345">
        <v>96.75</v>
      </c>
      <c r="V227" s="345">
        <v>986</v>
      </c>
      <c r="W227" s="345">
        <v>171.01</v>
      </c>
      <c r="X227" s="345">
        <v>21</v>
      </c>
      <c r="Y227" s="345">
        <v>0</v>
      </c>
      <c r="Z227" s="345">
        <v>2</v>
      </c>
      <c r="AA227" s="345">
        <v>1</v>
      </c>
      <c r="AB227" s="345">
        <v>23</v>
      </c>
      <c r="AC227" s="345">
        <v>3</v>
      </c>
      <c r="AD227" s="349">
        <v>3042</v>
      </c>
      <c r="AE227" s="349">
        <v>45</v>
      </c>
      <c r="AF227" s="349">
        <v>11</v>
      </c>
      <c r="AG227" s="349">
        <v>56</v>
      </c>
    </row>
    <row r="228" spans="1:33" x14ac:dyDescent="0.25">
      <c r="A228" s="344" t="s">
        <v>510</v>
      </c>
      <c r="B228" s="350" t="s">
        <v>511</v>
      </c>
      <c r="C228" s="346">
        <v>26853</v>
      </c>
      <c r="D228" s="346">
        <v>14</v>
      </c>
      <c r="E228" s="346">
        <v>1555</v>
      </c>
      <c r="F228" s="346">
        <v>1364</v>
      </c>
      <c r="G228" s="346">
        <v>399</v>
      </c>
      <c r="H228" s="346">
        <v>30185</v>
      </c>
      <c r="I228" s="345">
        <v>29786</v>
      </c>
      <c r="J228" s="345">
        <v>39</v>
      </c>
      <c r="K228" s="347">
        <v>76.95</v>
      </c>
      <c r="L228" s="347">
        <v>77.03</v>
      </c>
      <c r="M228" s="347">
        <v>7.44</v>
      </c>
      <c r="N228" s="347">
        <v>80.37</v>
      </c>
      <c r="O228" s="348">
        <v>24391</v>
      </c>
      <c r="P228" s="345">
        <v>79.42</v>
      </c>
      <c r="Q228" s="345">
        <v>74.47</v>
      </c>
      <c r="R228" s="345">
        <v>36.19</v>
      </c>
      <c r="S228" s="345">
        <v>114.71</v>
      </c>
      <c r="T228" s="345">
        <v>2623</v>
      </c>
      <c r="U228" s="345">
        <v>108.25</v>
      </c>
      <c r="V228" s="345">
        <v>2227</v>
      </c>
      <c r="W228" s="345">
        <v>159.41999999999999</v>
      </c>
      <c r="X228" s="345">
        <v>65</v>
      </c>
      <c r="Y228" s="345">
        <v>20</v>
      </c>
      <c r="Z228" s="345">
        <v>186</v>
      </c>
      <c r="AA228" s="345">
        <v>10</v>
      </c>
      <c r="AB228" s="345">
        <v>69</v>
      </c>
      <c r="AC228" s="345">
        <v>11</v>
      </c>
      <c r="AD228" s="349">
        <v>26748</v>
      </c>
      <c r="AE228" s="349">
        <v>113</v>
      </c>
      <c r="AF228" s="349">
        <v>225</v>
      </c>
      <c r="AG228" s="349">
        <v>338</v>
      </c>
    </row>
    <row r="229" spans="1:33" x14ac:dyDescent="0.25">
      <c r="A229" s="344" t="s">
        <v>512</v>
      </c>
      <c r="B229" s="350" t="s">
        <v>513</v>
      </c>
      <c r="C229" s="346">
        <v>5720</v>
      </c>
      <c r="D229" s="346">
        <v>13</v>
      </c>
      <c r="E229" s="346">
        <v>438</v>
      </c>
      <c r="F229" s="346">
        <v>1038</v>
      </c>
      <c r="G229" s="346">
        <v>541</v>
      </c>
      <c r="H229" s="346">
        <v>7750</v>
      </c>
      <c r="I229" s="345">
        <v>7209</v>
      </c>
      <c r="J229" s="345">
        <v>0</v>
      </c>
      <c r="K229" s="347">
        <v>88.09</v>
      </c>
      <c r="L229" s="347">
        <v>85.67</v>
      </c>
      <c r="M229" s="347">
        <v>7.58</v>
      </c>
      <c r="N229" s="347">
        <v>93.91</v>
      </c>
      <c r="O229" s="348">
        <v>4495</v>
      </c>
      <c r="P229" s="345">
        <v>90.57</v>
      </c>
      <c r="Q229" s="345">
        <v>83.57</v>
      </c>
      <c r="R229" s="345">
        <v>47.74</v>
      </c>
      <c r="S229" s="345">
        <v>134.27000000000001</v>
      </c>
      <c r="T229" s="345">
        <v>1052</v>
      </c>
      <c r="U229" s="345">
        <v>108.81</v>
      </c>
      <c r="V229" s="345">
        <v>718</v>
      </c>
      <c r="W229" s="345">
        <v>194.72</v>
      </c>
      <c r="X229" s="345">
        <v>289</v>
      </c>
      <c r="Y229" s="345">
        <v>0</v>
      </c>
      <c r="Z229" s="345">
        <v>44</v>
      </c>
      <c r="AA229" s="345">
        <v>22</v>
      </c>
      <c r="AB229" s="345">
        <v>0</v>
      </c>
      <c r="AC229" s="345">
        <v>10</v>
      </c>
      <c r="AD229" s="349">
        <v>5491</v>
      </c>
      <c r="AE229" s="349">
        <v>28</v>
      </c>
      <c r="AF229" s="349">
        <v>23</v>
      </c>
      <c r="AG229" s="349">
        <v>51</v>
      </c>
    </row>
    <row r="230" spans="1:33" x14ac:dyDescent="0.25">
      <c r="A230" s="344" t="s">
        <v>514</v>
      </c>
      <c r="B230" s="350" t="s">
        <v>515</v>
      </c>
      <c r="C230" s="346">
        <v>6177</v>
      </c>
      <c r="D230" s="346">
        <v>0</v>
      </c>
      <c r="E230" s="346">
        <v>145</v>
      </c>
      <c r="F230" s="346">
        <v>628</v>
      </c>
      <c r="G230" s="346">
        <v>335</v>
      </c>
      <c r="H230" s="346">
        <v>7285</v>
      </c>
      <c r="I230" s="345">
        <v>6950</v>
      </c>
      <c r="J230" s="345">
        <v>34</v>
      </c>
      <c r="K230" s="347">
        <v>82.62</v>
      </c>
      <c r="L230" s="347">
        <v>82.18</v>
      </c>
      <c r="M230" s="347">
        <v>3.27</v>
      </c>
      <c r="N230" s="347">
        <v>83.98</v>
      </c>
      <c r="O230" s="348">
        <v>5423</v>
      </c>
      <c r="P230" s="345">
        <v>86.01</v>
      </c>
      <c r="Q230" s="345">
        <v>85.17</v>
      </c>
      <c r="R230" s="345">
        <v>35.64</v>
      </c>
      <c r="S230" s="345">
        <v>120.65</v>
      </c>
      <c r="T230" s="345">
        <v>604</v>
      </c>
      <c r="U230" s="345">
        <v>100.05</v>
      </c>
      <c r="V230" s="345">
        <v>739</v>
      </c>
      <c r="W230" s="345">
        <v>202.82</v>
      </c>
      <c r="X230" s="345">
        <v>67</v>
      </c>
      <c r="Y230" s="345">
        <v>0</v>
      </c>
      <c r="Z230" s="345">
        <v>19</v>
      </c>
      <c r="AA230" s="345">
        <v>0</v>
      </c>
      <c r="AB230" s="345">
        <v>6</v>
      </c>
      <c r="AC230" s="345">
        <v>5</v>
      </c>
      <c r="AD230" s="349">
        <v>6134</v>
      </c>
      <c r="AE230" s="349">
        <v>51</v>
      </c>
      <c r="AF230" s="349">
        <v>26</v>
      </c>
      <c r="AG230" s="349">
        <v>77</v>
      </c>
    </row>
    <row r="231" spans="1:33" x14ac:dyDescent="0.25">
      <c r="A231" s="344" t="s">
        <v>516</v>
      </c>
      <c r="B231" s="350" t="s">
        <v>517</v>
      </c>
      <c r="C231" s="346">
        <v>2904</v>
      </c>
      <c r="D231" s="346">
        <v>0</v>
      </c>
      <c r="E231" s="346">
        <v>312</v>
      </c>
      <c r="F231" s="346">
        <v>89</v>
      </c>
      <c r="G231" s="346">
        <v>309</v>
      </c>
      <c r="H231" s="346">
        <v>3614</v>
      </c>
      <c r="I231" s="345">
        <v>3305</v>
      </c>
      <c r="J231" s="345">
        <v>0</v>
      </c>
      <c r="K231" s="347">
        <v>90.14</v>
      </c>
      <c r="L231" s="347">
        <v>88.31</v>
      </c>
      <c r="M231" s="347">
        <v>4.29</v>
      </c>
      <c r="N231" s="347">
        <v>93.86</v>
      </c>
      <c r="O231" s="348">
        <v>1512</v>
      </c>
      <c r="P231" s="345">
        <v>79.94</v>
      </c>
      <c r="Q231" s="345">
        <v>76.959999999999994</v>
      </c>
      <c r="R231" s="345">
        <v>49.93</v>
      </c>
      <c r="S231" s="345">
        <v>129.87</v>
      </c>
      <c r="T231" s="345">
        <v>214</v>
      </c>
      <c r="U231" s="345">
        <v>112.55</v>
      </c>
      <c r="V231" s="345">
        <v>618</v>
      </c>
      <c r="W231" s="345">
        <v>0</v>
      </c>
      <c r="X231" s="345">
        <v>0</v>
      </c>
      <c r="Y231" s="345">
        <v>0</v>
      </c>
      <c r="Z231" s="345">
        <v>0</v>
      </c>
      <c r="AA231" s="345">
        <v>0</v>
      </c>
      <c r="AB231" s="345">
        <v>17</v>
      </c>
      <c r="AC231" s="345">
        <v>4</v>
      </c>
      <c r="AD231" s="349">
        <v>2065</v>
      </c>
      <c r="AE231" s="349">
        <v>6</v>
      </c>
      <c r="AF231" s="349">
        <v>1</v>
      </c>
      <c r="AG231" s="349">
        <v>7</v>
      </c>
    </row>
    <row r="232" spans="1:33" x14ac:dyDescent="0.25">
      <c r="A232" s="344" t="s">
        <v>518</v>
      </c>
      <c r="B232" s="350" t="s">
        <v>519</v>
      </c>
      <c r="C232" s="346">
        <v>15519</v>
      </c>
      <c r="D232" s="346">
        <v>8</v>
      </c>
      <c r="E232" s="346">
        <v>1649</v>
      </c>
      <c r="F232" s="346">
        <v>1632</v>
      </c>
      <c r="G232" s="346">
        <v>578</v>
      </c>
      <c r="H232" s="346">
        <v>19386</v>
      </c>
      <c r="I232" s="345">
        <v>18808</v>
      </c>
      <c r="J232" s="345">
        <v>35</v>
      </c>
      <c r="K232" s="347">
        <v>85.58</v>
      </c>
      <c r="L232" s="347">
        <v>82.65</v>
      </c>
      <c r="M232" s="347">
        <v>8.67</v>
      </c>
      <c r="N232" s="347">
        <v>88.77</v>
      </c>
      <c r="O232" s="348">
        <v>13821</v>
      </c>
      <c r="P232" s="345">
        <v>80</v>
      </c>
      <c r="Q232" s="345">
        <v>75.150000000000006</v>
      </c>
      <c r="R232" s="345">
        <v>36.83</v>
      </c>
      <c r="S232" s="345">
        <v>116.03</v>
      </c>
      <c r="T232" s="345">
        <v>2758</v>
      </c>
      <c r="U232" s="345">
        <v>98.8</v>
      </c>
      <c r="V232" s="345">
        <v>1100</v>
      </c>
      <c r="W232" s="345">
        <v>124.82</v>
      </c>
      <c r="X232" s="345">
        <v>19</v>
      </c>
      <c r="Y232" s="345">
        <v>0</v>
      </c>
      <c r="Z232" s="345">
        <v>55</v>
      </c>
      <c r="AA232" s="345">
        <v>5</v>
      </c>
      <c r="AB232" s="345">
        <v>14</v>
      </c>
      <c r="AC232" s="345">
        <v>5</v>
      </c>
      <c r="AD232" s="349">
        <v>14977</v>
      </c>
      <c r="AE232" s="349">
        <v>54</v>
      </c>
      <c r="AF232" s="349">
        <v>71</v>
      </c>
      <c r="AG232" s="349">
        <v>125</v>
      </c>
    </row>
    <row r="233" spans="1:33" x14ac:dyDescent="0.25">
      <c r="A233" s="344" t="s">
        <v>520</v>
      </c>
      <c r="B233" s="350" t="s">
        <v>521</v>
      </c>
      <c r="C233" s="346">
        <v>1725</v>
      </c>
      <c r="D233" s="346">
        <v>0</v>
      </c>
      <c r="E233" s="346">
        <v>40</v>
      </c>
      <c r="F233" s="346">
        <v>195</v>
      </c>
      <c r="G233" s="346">
        <v>324</v>
      </c>
      <c r="H233" s="346">
        <v>2284</v>
      </c>
      <c r="I233" s="345">
        <v>1960</v>
      </c>
      <c r="J233" s="345">
        <v>4</v>
      </c>
      <c r="K233" s="347">
        <v>91.49</v>
      </c>
      <c r="L233" s="347">
        <v>85.33</v>
      </c>
      <c r="M233" s="347">
        <v>5.53</v>
      </c>
      <c r="N233" s="347">
        <v>95.38</v>
      </c>
      <c r="O233" s="348">
        <v>1139</v>
      </c>
      <c r="P233" s="345">
        <v>103.18</v>
      </c>
      <c r="Q233" s="345">
        <v>99.36</v>
      </c>
      <c r="R233" s="345">
        <v>59.05</v>
      </c>
      <c r="S233" s="345">
        <v>161.72</v>
      </c>
      <c r="T233" s="345">
        <v>233</v>
      </c>
      <c r="U233" s="345">
        <v>109.02</v>
      </c>
      <c r="V233" s="345">
        <v>415</v>
      </c>
      <c r="W233" s="345">
        <v>0</v>
      </c>
      <c r="X233" s="345">
        <v>0</v>
      </c>
      <c r="Y233" s="345">
        <v>0</v>
      </c>
      <c r="Z233" s="345">
        <v>1</v>
      </c>
      <c r="AA233" s="345">
        <v>5</v>
      </c>
      <c r="AB233" s="345">
        <v>35</v>
      </c>
      <c r="AC233" s="345">
        <v>8</v>
      </c>
      <c r="AD233" s="349">
        <v>1693</v>
      </c>
      <c r="AE233" s="349">
        <v>16</v>
      </c>
      <c r="AF233" s="349">
        <v>10</v>
      </c>
      <c r="AG233" s="349">
        <v>26</v>
      </c>
    </row>
    <row r="234" spans="1:33" x14ac:dyDescent="0.25">
      <c r="A234" s="344" t="s">
        <v>522</v>
      </c>
      <c r="B234" s="350" t="s">
        <v>523</v>
      </c>
      <c r="C234" s="346">
        <v>5532</v>
      </c>
      <c r="D234" s="346">
        <v>0</v>
      </c>
      <c r="E234" s="346">
        <v>84</v>
      </c>
      <c r="F234" s="346">
        <v>1071</v>
      </c>
      <c r="G234" s="346">
        <v>855</v>
      </c>
      <c r="H234" s="346">
        <v>7542</v>
      </c>
      <c r="I234" s="345">
        <v>6687</v>
      </c>
      <c r="J234" s="345">
        <v>101</v>
      </c>
      <c r="K234" s="347">
        <v>105.28</v>
      </c>
      <c r="L234" s="347">
        <v>101.83</v>
      </c>
      <c r="M234" s="347">
        <v>3.99</v>
      </c>
      <c r="N234" s="347">
        <v>107.85</v>
      </c>
      <c r="O234" s="348">
        <v>5181</v>
      </c>
      <c r="P234" s="345">
        <v>90.82</v>
      </c>
      <c r="Q234" s="345">
        <v>87</v>
      </c>
      <c r="R234" s="345">
        <v>22.38</v>
      </c>
      <c r="S234" s="345">
        <v>113.02</v>
      </c>
      <c r="T234" s="345">
        <v>903</v>
      </c>
      <c r="U234" s="345">
        <v>159.97</v>
      </c>
      <c r="V234" s="345">
        <v>316</v>
      </c>
      <c r="W234" s="345">
        <v>137.56</v>
      </c>
      <c r="X234" s="345">
        <v>102</v>
      </c>
      <c r="Y234" s="345">
        <v>0</v>
      </c>
      <c r="Z234" s="345">
        <v>2</v>
      </c>
      <c r="AA234" s="345">
        <v>0</v>
      </c>
      <c r="AB234" s="345">
        <v>51</v>
      </c>
      <c r="AC234" s="345">
        <v>16</v>
      </c>
      <c r="AD234" s="349">
        <v>5520</v>
      </c>
      <c r="AE234" s="349">
        <v>27</v>
      </c>
      <c r="AF234" s="349">
        <v>15</v>
      </c>
      <c r="AG234" s="349">
        <v>42</v>
      </c>
    </row>
    <row r="235" spans="1:33" x14ac:dyDescent="0.25">
      <c r="A235" s="344" t="s">
        <v>524</v>
      </c>
      <c r="B235" s="350" t="s">
        <v>525</v>
      </c>
      <c r="C235" s="346">
        <v>15456</v>
      </c>
      <c r="D235" s="346">
        <v>6</v>
      </c>
      <c r="E235" s="346">
        <v>1369</v>
      </c>
      <c r="F235" s="346">
        <v>1039</v>
      </c>
      <c r="G235" s="346">
        <v>443</v>
      </c>
      <c r="H235" s="346">
        <v>18313</v>
      </c>
      <c r="I235" s="345">
        <v>17870</v>
      </c>
      <c r="J235" s="345">
        <v>177</v>
      </c>
      <c r="K235" s="347">
        <v>79.069999999999993</v>
      </c>
      <c r="L235" s="347">
        <v>76.84</v>
      </c>
      <c r="M235" s="347">
        <v>7.78</v>
      </c>
      <c r="N235" s="347">
        <v>81.7</v>
      </c>
      <c r="O235" s="348">
        <v>13063</v>
      </c>
      <c r="P235" s="345">
        <v>84.65</v>
      </c>
      <c r="Q235" s="345">
        <v>77.180000000000007</v>
      </c>
      <c r="R235" s="345">
        <v>54.85</v>
      </c>
      <c r="S235" s="345">
        <v>138.55000000000001</v>
      </c>
      <c r="T235" s="345">
        <v>2135</v>
      </c>
      <c r="U235" s="345">
        <v>95.02</v>
      </c>
      <c r="V235" s="345">
        <v>2115</v>
      </c>
      <c r="W235" s="345">
        <v>98.75</v>
      </c>
      <c r="X235" s="345">
        <v>9</v>
      </c>
      <c r="Y235" s="345">
        <v>0</v>
      </c>
      <c r="Z235" s="345">
        <v>41</v>
      </c>
      <c r="AA235" s="345">
        <v>14</v>
      </c>
      <c r="AB235" s="345">
        <v>0</v>
      </c>
      <c r="AC235" s="345">
        <v>16</v>
      </c>
      <c r="AD235" s="349">
        <v>15343</v>
      </c>
      <c r="AE235" s="349">
        <v>88</v>
      </c>
      <c r="AF235" s="349">
        <v>98</v>
      </c>
      <c r="AG235" s="349">
        <v>186</v>
      </c>
    </row>
    <row r="236" spans="1:33" x14ac:dyDescent="0.25">
      <c r="A236" s="344" t="s">
        <v>526</v>
      </c>
      <c r="B236" s="350" t="s">
        <v>527</v>
      </c>
      <c r="C236" s="346">
        <v>12633</v>
      </c>
      <c r="D236" s="346">
        <v>25</v>
      </c>
      <c r="E236" s="346">
        <v>445</v>
      </c>
      <c r="F236" s="346">
        <v>1623</v>
      </c>
      <c r="G236" s="346">
        <v>924</v>
      </c>
      <c r="H236" s="346">
        <v>15650</v>
      </c>
      <c r="I236" s="345">
        <v>14726</v>
      </c>
      <c r="J236" s="345">
        <v>81</v>
      </c>
      <c r="K236" s="347">
        <v>87.07</v>
      </c>
      <c r="L236" s="347">
        <v>86.22</v>
      </c>
      <c r="M236" s="347">
        <v>3.71</v>
      </c>
      <c r="N236" s="347">
        <v>89.07</v>
      </c>
      <c r="O236" s="348">
        <v>10235</v>
      </c>
      <c r="P236" s="345">
        <v>86.76</v>
      </c>
      <c r="Q236" s="345">
        <v>80.3</v>
      </c>
      <c r="R236" s="345">
        <v>21.82</v>
      </c>
      <c r="S236" s="345">
        <v>108.46</v>
      </c>
      <c r="T236" s="345">
        <v>1645</v>
      </c>
      <c r="U236" s="345">
        <v>104.42</v>
      </c>
      <c r="V236" s="345">
        <v>1652</v>
      </c>
      <c r="W236" s="345">
        <v>201.07</v>
      </c>
      <c r="X236" s="345">
        <v>348</v>
      </c>
      <c r="Y236" s="345">
        <v>0</v>
      </c>
      <c r="Z236" s="345">
        <v>50</v>
      </c>
      <c r="AA236" s="345">
        <v>21</v>
      </c>
      <c r="AB236" s="345">
        <v>43</v>
      </c>
      <c r="AC236" s="345">
        <v>17</v>
      </c>
      <c r="AD236" s="349">
        <v>12345</v>
      </c>
      <c r="AE236" s="349">
        <v>242</v>
      </c>
      <c r="AF236" s="349">
        <v>37</v>
      </c>
      <c r="AG236" s="349">
        <v>279</v>
      </c>
    </row>
    <row r="237" spans="1:33" x14ac:dyDescent="0.25">
      <c r="A237" s="344" t="s">
        <v>528</v>
      </c>
      <c r="B237" s="350" t="s">
        <v>529</v>
      </c>
      <c r="C237" s="346">
        <v>3572</v>
      </c>
      <c r="D237" s="346">
        <v>24</v>
      </c>
      <c r="E237" s="346">
        <v>379</v>
      </c>
      <c r="F237" s="346">
        <v>230</v>
      </c>
      <c r="G237" s="346">
        <v>476</v>
      </c>
      <c r="H237" s="346">
        <v>4681</v>
      </c>
      <c r="I237" s="345">
        <v>4205</v>
      </c>
      <c r="J237" s="345">
        <v>9</v>
      </c>
      <c r="K237" s="347">
        <v>118.75</v>
      </c>
      <c r="L237" s="347">
        <v>117.24</v>
      </c>
      <c r="M237" s="347">
        <v>7.2</v>
      </c>
      <c r="N237" s="347">
        <v>124.97</v>
      </c>
      <c r="O237" s="348">
        <v>3182</v>
      </c>
      <c r="P237" s="345">
        <v>103.94</v>
      </c>
      <c r="Q237" s="345">
        <v>101.22</v>
      </c>
      <c r="R237" s="345">
        <v>57.1</v>
      </c>
      <c r="S237" s="345">
        <v>146.93</v>
      </c>
      <c r="T237" s="345">
        <v>498</v>
      </c>
      <c r="U237" s="345">
        <v>146.49</v>
      </c>
      <c r="V237" s="345">
        <v>175</v>
      </c>
      <c r="W237" s="345">
        <v>0</v>
      </c>
      <c r="X237" s="345">
        <v>0</v>
      </c>
      <c r="Y237" s="345">
        <v>16</v>
      </c>
      <c r="Z237" s="345">
        <v>5</v>
      </c>
      <c r="AA237" s="345">
        <v>1</v>
      </c>
      <c r="AB237" s="345">
        <v>3</v>
      </c>
      <c r="AC237" s="345">
        <v>15</v>
      </c>
      <c r="AD237" s="349">
        <v>3411</v>
      </c>
      <c r="AE237" s="349">
        <v>17</v>
      </c>
      <c r="AF237" s="349">
        <v>12</v>
      </c>
      <c r="AG237" s="349">
        <v>29</v>
      </c>
    </row>
    <row r="238" spans="1:33" x14ac:dyDescent="0.25">
      <c r="A238" s="344" t="s">
        <v>530</v>
      </c>
      <c r="B238" s="350" t="s">
        <v>531</v>
      </c>
      <c r="C238" s="346">
        <v>2513</v>
      </c>
      <c r="D238" s="346">
        <v>0</v>
      </c>
      <c r="E238" s="346">
        <v>248</v>
      </c>
      <c r="F238" s="346">
        <v>601</v>
      </c>
      <c r="G238" s="346">
        <v>615</v>
      </c>
      <c r="H238" s="346">
        <v>3977</v>
      </c>
      <c r="I238" s="345">
        <v>3362</v>
      </c>
      <c r="J238" s="345">
        <v>0</v>
      </c>
      <c r="K238" s="347">
        <v>101.1</v>
      </c>
      <c r="L238" s="347">
        <v>99.53</v>
      </c>
      <c r="M238" s="347">
        <v>5.36</v>
      </c>
      <c r="N238" s="347">
        <v>105.29</v>
      </c>
      <c r="O238" s="348">
        <v>1960</v>
      </c>
      <c r="P238" s="345">
        <v>89.39</v>
      </c>
      <c r="Q238" s="345">
        <v>84.35</v>
      </c>
      <c r="R238" s="345">
        <v>58.48</v>
      </c>
      <c r="S238" s="345">
        <v>143.57</v>
      </c>
      <c r="T238" s="345">
        <v>490</v>
      </c>
      <c r="U238" s="345">
        <v>112.23</v>
      </c>
      <c r="V238" s="345">
        <v>517</v>
      </c>
      <c r="W238" s="345">
        <v>141.06</v>
      </c>
      <c r="X238" s="345">
        <v>107</v>
      </c>
      <c r="Y238" s="345">
        <v>0</v>
      </c>
      <c r="Z238" s="345">
        <v>13</v>
      </c>
      <c r="AA238" s="345">
        <v>0</v>
      </c>
      <c r="AB238" s="345">
        <v>76</v>
      </c>
      <c r="AC238" s="345">
        <v>11</v>
      </c>
      <c r="AD238" s="349">
        <v>2505</v>
      </c>
      <c r="AE238" s="349">
        <v>12</v>
      </c>
      <c r="AF238" s="349">
        <v>1</v>
      </c>
      <c r="AG238" s="349">
        <v>13</v>
      </c>
    </row>
    <row r="239" spans="1:33" x14ac:dyDescent="0.25">
      <c r="A239" s="344" t="s">
        <v>532</v>
      </c>
      <c r="B239" s="350" t="s">
        <v>533</v>
      </c>
      <c r="C239" s="345">
        <v>4114</v>
      </c>
      <c r="D239" s="345">
        <v>0</v>
      </c>
      <c r="E239" s="345">
        <v>475</v>
      </c>
      <c r="F239" s="345">
        <v>848</v>
      </c>
      <c r="G239" s="345">
        <v>588</v>
      </c>
      <c r="H239" s="345">
        <v>6025</v>
      </c>
      <c r="I239" s="345">
        <v>5437</v>
      </c>
      <c r="J239" s="345">
        <v>0</v>
      </c>
      <c r="K239" s="345">
        <v>94.26</v>
      </c>
      <c r="L239" s="347">
        <v>93.22</v>
      </c>
      <c r="M239" s="347">
        <v>4.6399999999999997</v>
      </c>
      <c r="N239" s="347">
        <v>98.05</v>
      </c>
      <c r="O239" s="348">
        <v>3360</v>
      </c>
      <c r="P239" s="345">
        <v>90.07</v>
      </c>
      <c r="Q239" s="345">
        <v>89.3</v>
      </c>
      <c r="R239" s="345">
        <v>39.08</v>
      </c>
      <c r="S239" s="345">
        <v>128.07</v>
      </c>
      <c r="T239" s="345">
        <v>1010</v>
      </c>
      <c r="U239" s="345">
        <v>111.36</v>
      </c>
      <c r="V239" s="345">
        <v>385</v>
      </c>
      <c r="W239" s="345">
        <v>147.02000000000001</v>
      </c>
      <c r="X239" s="345">
        <v>78</v>
      </c>
      <c r="Y239" s="345">
        <v>12</v>
      </c>
      <c r="Z239" s="345">
        <v>5</v>
      </c>
      <c r="AA239" s="345">
        <v>11</v>
      </c>
      <c r="AB239" s="345">
        <v>38</v>
      </c>
      <c r="AC239" s="345">
        <v>12</v>
      </c>
      <c r="AD239" s="345">
        <v>3728</v>
      </c>
      <c r="AE239" s="345">
        <v>26</v>
      </c>
      <c r="AF239" s="345">
        <v>2</v>
      </c>
      <c r="AG239" s="345">
        <v>28</v>
      </c>
    </row>
    <row r="240" spans="1:33" x14ac:dyDescent="0.25">
      <c r="A240" s="344" t="s">
        <v>534</v>
      </c>
      <c r="B240" s="350" t="s">
        <v>535</v>
      </c>
      <c r="C240" s="346">
        <v>3508</v>
      </c>
      <c r="D240" s="346">
        <v>0</v>
      </c>
      <c r="E240" s="346">
        <v>371</v>
      </c>
      <c r="F240" s="346">
        <v>206</v>
      </c>
      <c r="G240" s="346">
        <v>1255</v>
      </c>
      <c r="H240" s="346">
        <v>5340</v>
      </c>
      <c r="I240" s="345">
        <v>4085</v>
      </c>
      <c r="J240" s="345">
        <v>60</v>
      </c>
      <c r="K240" s="347">
        <v>109.66</v>
      </c>
      <c r="L240" s="347">
        <v>108.85</v>
      </c>
      <c r="M240" s="347">
        <v>3.17</v>
      </c>
      <c r="N240" s="347">
        <v>112.43</v>
      </c>
      <c r="O240" s="348">
        <v>2376</v>
      </c>
      <c r="P240" s="345">
        <v>102.84</v>
      </c>
      <c r="Q240" s="345">
        <v>101.98</v>
      </c>
      <c r="R240" s="345">
        <v>48.88</v>
      </c>
      <c r="S240" s="345">
        <v>151.53</v>
      </c>
      <c r="T240" s="345">
        <v>265</v>
      </c>
      <c r="U240" s="345">
        <v>147.59</v>
      </c>
      <c r="V240" s="345">
        <v>763</v>
      </c>
      <c r="W240" s="345">
        <v>170.47</v>
      </c>
      <c r="X240" s="345">
        <v>79</v>
      </c>
      <c r="Y240" s="345">
        <v>0</v>
      </c>
      <c r="Z240" s="345">
        <v>0</v>
      </c>
      <c r="AA240" s="345">
        <v>0</v>
      </c>
      <c r="AB240" s="345">
        <v>77</v>
      </c>
      <c r="AC240" s="345">
        <v>26</v>
      </c>
      <c r="AD240" s="349">
        <v>3279</v>
      </c>
      <c r="AE240" s="349">
        <v>33</v>
      </c>
      <c r="AF240" s="349">
        <v>10</v>
      </c>
      <c r="AG240" s="349">
        <v>43</v>
      </c>
    </row>
    <row r="241" spans="1:33" x14ac:dyDescent="0.25">
      <c r="A241" s="344" t="s">
        <v>536</v>
      </c>
      <c r="B241" s="350" t="s">
        <v>537</v>
      </c>
      <c r="C241" s="346">
        <v>1623</v>
      </c>
      <c r="D241" s="346">
        <v>0</v>
      </c>
      <c r="E241" s="346">
        <v>140</v>
      </c>
      <c r="F241" s="346">
        <v>44</v>
      </c>
      <c r="G241" s="346">
        <v>311</v>
      </c>
      <c r="H241" s="346">
        <v>2118</v>
      </c>
      <c r="I241" s="345">
        <v>1807</v>
      </c>
      <c r="J241" s="345">
        <v>0</v>
      </c>
      <c r="K241" s="347">
        <v>91.54</v>
      </c>
      <c r="L241" s="347">
        <v>90.53</v>
      </c>
      <c r="M241" s="347">
        <v>4.58</v>
      </c>
      <c r="N241" s="347">
        <v>94.77</v>
      </c>
      <c r="O241" s="348">
        <v>1276</v>
      </c>
      <c r="P241" s="345">
        <v>107.94</v>
      </c>
      <c r="Q241" s="345">
        <v>110.83</v>
      </c>
      <c r="R241" s="345">
        <v>97.83</v>
      </c>
      <c r="S241" s="345">
        <v>185.5</v>
      </c>
      <c r="T241" s="345">
        <v>111</v>
      </c>
      <c r="U241" s="345">
        <v>103.27</v>
      </c>
      <c r="V241" s="345">
        <v>338</v>
      </c>
      <c r="W241" s="345">
        <v>189.53</v>
      </c>
      <c r="X241" s="345">
        <v>48</v>
      </c>
      <c r="Y241" s="345">
        <v>0</v>
      </c>
      <c r="Z241" s="345">
        <v>4</v>
      </c>
      <c r="AA241" s="345">
        <v>0</v>
      </c>
      <c r="AB241" s="345">
        <v>49</v>
      </c>
      <c r="AC241" s="345">
        <v>6</v>
      </c>
      <c r="AD241" s="349">
        <v>1607</v>
      </c>
      <c r="AE241" s="349">
        <v>77</v>
      </c>
      <c r="AF241" s="349">
        <v>2</v>
      </c>
      <c r="AG241" s="349">
        <v>79</v>
      </c>
    </row>
    <row r="242" spans="1:33" x14ac:dyDescent="0.25">
      <c r="A242" s="344" t="s">
        <v>538</v>
      </c>
      <c r="B242" s="350" t="s">
        <v>539</v>
      </c>
      <c r="C242" s="346">
        <v>11016</v>
      </c>
      <c r="D242" s="346">
        <v>0</v>
      </c>
      <c r="E242" s="346">
        <v>323</v>
      </c>
      <c r="F242" s="346">
        <v>1799</v>
      </c>
      <c r="G242" s="346">
        <v>966</v>
      </c>
      <c r="H242" s="346">
        <v>14104</v>
      </c>
      <c r="I242" s="345">
        <v>13138</v>
      </c>
      <c r="J242" s="345">
        <v>1</v>
      </c>
      <c r="K242" s="347">
        <v>97.02</v>
      </c>
      <c r="L242" s="347">
        <v>97.73</v>
      </c>
      <c r="M242" s="347">
        <v>5.5</v>
      </c>
      <c r="N242" s="347">
        <v>100.23</v>
      </c>
      <c r="O242" s="348">
        <v>9957</v>
      </c>
      <c r="P242" s="345">
        <v>88.24</v>
      </c>
      <c r="Q242" s="345">
        <v>84.01</v>
      </c>
      <c r="R242" s="345">
        <v>31.78</v>
      </c>
      <c r="S242" s="345">
        <v>119.94</v>
      </c>
      <c r="T242" s="345">
        <v>1871</v>
      </c>
      <c r="U242" s="345">
        <v>137.74</v>
      </c>
      <c r="V242" s="345">
        <v>684</v>
      </c>
      <c r="W242" s="345">
        <v>199.63</v>
      </c>
      <c r="X242" s="345">
        <v>94</v>
      </c>
      <c r="Y242" s="345">
        <v>0</v>
      </c>
      <c r="Z242" s="345">
        <v>16</v>
      </c>
      <c r="AA242" s="345">
        <v>0</v>
      </c>
      <c r="AB242" s="345">
        <v>84</v>
      </c>
      <c r="AC242" s="345">
        <v>10</v>
      </c>
      <c r="AD242" s="349">
        <v>10697</v>
      </c>
      <c r="AE242" s="349">
        <v>96</v>
      </c>
      <c r="AF242" s="349">
        <v>76</v>
      </c>
      <c r="AG242" s="349">
        <v>172</v>
      </c>
    </row>
    <row r="243" spans="1:33" x14ac:dyDescent="0.25">
      <c r="A243" s="344" t="s">
        <v>540</v>
      </c>
      <c r="B243" s="350" t="s">
        <v>541</v>
      </c>
      <c r="C243" s="346">
        <v>3942</v>
      </c>
      <c r="D243" s="346">
        <v>0</v>
      </c>
      <c r="E243" s="346">
        <v>88</v>
      </c>
      <c r="F243" s="346">
        <v>598</v>
      </c>
      <c r="G243" s="346">
        <v>576</v>
      </c>
      <c r="H243" s="346">
        <v>5204</v>
      </c>
      <c r="I243" s="345">
        <v>4628</v>
      </c>
      <c r="J243" s="345">
        <v>3</v>
      </c>
      <c r="K243" s="347">
        <v>92.45</v>
      </c>
      <c r="L243" s="347">
        <v>88.89</v>
      </c>
      <c r="M243" s="347">
        <v>2.13</v>
      </c>
      <c r="N243" s="347">
        <v>94.48</v>
      </c>
      <c r="O243" s="348">
        <v>3280</v>
      </c>
      <c r="P243" s="345">
        <v>81.94</v>
      </c>
      <c r="Q243" s="345">
        <v>73.28</v>
      </c>
      <c r="R243" s="345">
        <v>32.909999999999997</v>
      </c>
      <c r="S243" s="345">
        <v>113.5</v>
      </c>
      <c r="T243" s="345">
        <v>558</v>
      </c>
      <c r="U243" s="345">
        <v>123.21</v>
      </c>
      <c r="V243" s="345">
        <v>328</v>
      </c>
      <c r="W243" s="345">
        <v>216.65</v>
      </c>
      <c r="X243" s="345">
        <v>41</v>
      </c>
      <c r="Y243" s="345">
        <v>0</v>
      </c>
      <c r="Z243" s="345">
        <v>3</v>
      </c>
      <c r="AA243" s="345">
        <v>3</v>
      </c>
      <c r="AB243" s="345">
        <v>58</v>
      </c>
      <c r="AC243" s="345">
        <v>7</v>
      </c>
      <c r="AD243" s="349">
        <v>3671</v>
      </c>
      <c r="AE243" s="349">
        <v>13</v>
      </c>
      <c r="AF243" s="349">
        <v>10</v>
      </c>
      <c r="AG243" s="349">
        <v>23</v>
      </c>
    </row>
    <row r="244" spans="1:33" x14ac:dyDescent="0.25">
      <c r="A244" s="344" t="s">
        <v>542</v>
      </c>
      <c r="B244" s="350" t="s">
        <v>543</v>
      </c>
      <c r="C244" s="346">
        <v>1023</v>
      </c>
      <c r="D244" s="346">
        <v>0</v>
      </c>
      <c r="E244" s="346">
        <v>110</v>
      </c>
      <c r="F244" s="346">
        <v>0</v>
      </c>
      <c r="G244" s="346">
        <v>312</v>
      </c>
      <c r="H244" s="346">
        <v>1445</v>
      </c>
      <c r="I244" s="345">
        <v>1133</v>
      </c>
      <c r="J244" s="345">
        <v>0</v>
      </c>
      <c r="K244" s="347">
        <v>83.98</v>
      </c>
      <c r="L244" s="347">
        <v>85.61</v>
      </c>
      <c r="M244" s="347">
        <v>4.8899999999999997</v>
      </c>
      <c r="N244" s="347">
        <v>87.89</v>
      </c>
      <c r="O244" s="348">
        <v>751</v>
      </c>
      <c r="P244" s="345">
        <v>115.05</v>
      </c>
      <c r="Q244" s="345">
        <v>70.2</v>
      </c>
      <c r="R244" s="345">
        <v>103.53</v>
      </c>
      <c r="S244" s="345">
        <v>218.58</v>
      </c>
      <c r="T244" s="345">
        <v>96</v>
      </c>
      <c r="U244" s="345">
        <v>104.17</v>
      </c>
      <c r="V244" s="345">
        <v>165</v>
      </c>
      <c r="W244" s="345">
        <v>0</v>
      </c>
      <c r="X244" s="345">
        <v>0</v>
      </c>
      <c r="Y244" s="345">
        <v>0</v>
      </c>
      <c r="Z244" s="345">
        <v>0</v>
      </c>
      <c r="AA244" s="345">
        <v>0</v>
      </c>
      <c r="AB244" s="345">
        <v>3</v>
      </c>
      <c r="AC244" s="345">
        <v>3</v>
      </c>
      <c r="AD244" s="349">
        <v>958</v>
      </c>
      <c r="AE244" s="349">
        <v>6</v>
      </c>
      <c r="AF244" s="349">
        <v>0</v>
      </c>
      <c r="AG244" s="349">
        <v>6</v>
      </c>
    </row>
    <row r="245" spans="1:33" x14ac:dyDescent="0.25">
      <c r="A245" s="344" t="s">
        <v>544</v>
      </c>
      <c r="B245" s="350" t="s">
        <v>545</v>
      </c>
      <c r="C245" s="346">
        <v>1788</v>
      </c>
      <c r="D245" s="346">
        <v>0</v>
      </c>
      <c r="E245" s="346">
        <v>148</v>
      </c>
      <c r="F245" s="346">
        <v>269</v>
      </c>
      <c r="G245" s="346">
        <v>510</v>
      </c>
      <c r="H245" s="346">
        <v>2715</v>
      </c>
      <c r="I245" s="345">
        <v>2205</v>
      </c>
      <c r="J245" s="345">
        <v>1</v>
      </c>
      <c r="K245" s="347">
        <v>86.91</v>
      </c>
      <c r="L245" s="347">
        <v>86.77</v>
      </c>
      <c r="M245" s="347">
        <v>5.37</v>
      </c>
      <c r="N245" s="347">
        <v>91.64</v>
      </c>
      <c r="O245" s="348">
        <v>1242</v>
      </c>
      <c r="P245" s="345">
        <v>94.31</v>
      </c>
      <c r="Q245" s="345">
        <v>76.37</v>
      </c>
      <c r="R245" s="345">
        <v>45.02</v>
      </c>
      <c r="S245" s="345">
        <v>133.9</v>
      </c>
      <c r="T245" s="345">
        <v>282</v>
      </c>
      <c r="U245" s="345">
        <v>102.94</v>
      </c>
      <c r="V245" s="345">
        <v>257</v>
      </c>
      <c r="W245" s="345">
        <v>0</v>
      </c>
      <c r="X245" s="345">
        <v>0</v>
      </c>
      <c r="Y245" s="345">
        <v>0</v>
      </c>
      <c r="Z245" s="345">
        <v>1</v>
      </c>
      <c r="AA245" s="345">
        <v>1</v>
      </c>
      <c r="AB245" s="345">
        <v>26</v>
      </c>
      <c r="AC245" s="345">
        <v>11</v>
      </c>
      <c r="AD245" s="349">
        <v>1712</v>
      </c>
      <c r="AE245" s="349">
        <v>18</v>
      </c>
      <c r="AF245" s="349">
        <v>3</v>
      </c>
      <c r="AG245" s="349">
        <v>21</v>
      </c>
    </row>
    <row r="246" spans="1:33" x14ac:dyDescent="0.25">
      <c r="A246" s="344" t="s">
        <v>546</v>
      </c>
      <c r="B246" s="350" t="s">
        <v>547</v>
      </c>
      <c r="C246" s="346">
        <v>4114</v>
      </c>
      <c r="D246" s="346">
        <v>0</v>
      </c>
      <c r="E246" s="346">
        <v>232</v>
      </c>
      <c r="F246" s="346">
        <v>543</v>
      </c>
      <c r="G246" s="346">
        <v>181</v>
      </c>
      <c r="H246" s="346">
        <v>5070</v>
      </c>
      <c r="I246" s="345">
        <v>4889</v>
      </c>
      <c r="J246" s="345">
        <v>0</v>
      </c>
      <c r="K246" s="347">
        <v>90.47</v>
      </c>
      <c r="L246" s="347">
        <v>90.41</v>
      </c>
      <c r="M246" s="347">
        <v>4.17</v>
      </c>
      <c r="N246" s="347">
        <v>91.65</v>
      </c>
      <c r="O246" s="348">
        <v>3563</v>
      </c>
      <c r="P246" s="345">
        <v>84.5</v>
      </c>
      <c r="Q246" s="345">
        <v>81.05</v>
      </c>
      <c r="R246" s="345">
        <v>43.01</v>
      </c>
      <c r="S246" s="345">
        <v>127</v>
      </c>
      <c r="T246" s="345">
        <v>678</v>
      </c>
      <c r="U246" s="345">
        <v>113.76</v>
      </c>
      <c r="V246" s="345">
        <v>468</v>
      </c>
      <c r="W246" s="345">
        <v>202.68</v>
      </c>
      <c r="X246" s="345">
        <v>8</v>
      </c>
      <c r="Y246" s="345">
        <v>0</v>
      </c>
      <c r="Z246" s="345">
        <v>22</v>
      </c>
      <c r="AA246" s="345">
        <v>0</v>
      </c>
      <c r="AB246" s="345">
        <v>0</v>
      </c>
      <c r="AC246" s="345">
        <v>0</v>
      </c>
      <c r="AD246" s="349">
        <v>4028</v>
      </c>
      <c r="AE246" s="349">
        <v>4</v>
      </c>
      <c r="AF246" s="349">
        <v>24</v>
      </c>
      <c r="AG246" s="349">
        <v>28</v>
      </c>
    </row>
    <row r="247" spans="1:33" x14ac:dyDescent="0.25">
      <c r="A247" s="344" t="s">
        <v>548</v>
      </c>
      <c r="B247" s="350" t="s">
        <v>549</v>
      </c>
      <c r="C247" s="346">
        <v>6455</v>
      </c>
      <c r="D247" s="346">
        <v>0</v>
      </c>
      <c r="E247" s="346">
        <v>238</v>
      </c>
      <c r="F247" s="346">
        <v>924</v>
      </c>
      <c r="G247" s="346">
        <v>670</v>
      </c>
      <c r="H247" s="346">
        <v>8287</v>
      </c>
      <c r="I247" s="345">
        <v>7617</v>
      </c>
      <c r="J247" s="345">
        <v>1</v>
      </c>
      <c r="K247" s="347">
        <v>87.26</v>
      </c>
      <c r="L247" s="347">
        <v>86.91</v>
      </c>
      <c r="M247" s="347">
        <v>5.1100000000000003</v>
      </c>
      <c r="N247" s="347">
        <v>88.74</v>
      </c>
      <c r="O247" s="348">
        <v>4369</v>
      </c>
      <c r="P247" s="345">
        <v>87.69</v>
      </c>
      <c r="Q247" s="345">
        <v>80.45</v>
      </c>
      <c r="R247" s="345">
        <v>34.11</v>
      </c>
      <c r="S247" s="345">
        <v>120.92</v>
      </c>
      <c r="T247" s="345">
        <v>1118</v>
      </c>
      <c r="U247" s="345">
        <v>111.54</v>
      </c>
      <c r="V247" s="345">
        <v>1883</v>
      </c>
      <c r="W247" s="345">
        <v>0</v>
      </c>
      <c r="X247" s="345">
        <v>0</v>
      </c>
      <c r="Y247" s="345">
        <v>30</v>
      </c>
      <c r="Z247" s="345">
        <v>4</v>
      </c>
      <c r="AA247" s="345">
        <v>5</v>
      </c>
      <c r="AB247" s="345">
        <v>35</v>
      </c>
      <c r="AC247" s="345">
        <v>7</v>
      </c>
      <c r="AD247" s="349">
        <v>6449</v>
      </c>
      <c r="AE247" s="349">
        <v>41</v>
      </c>
      <c r="AF247" s="349">
        <v>32</v>
      </c>
      <c r="AG247" s="349">
        <v>73</v>
      </c>
    </row>
    <row r="248" spans="1:33" x14ac:dyDescent="0.25">
      <c r="A248" s="344" t="s">
        <v>550</v>
      </c>
      <c r="B248" s="350" t="s">
        <v>551</v>
      </c>
      <c r="C248" s="346">
        <v>6468</v>
      </c>
      <c r="D248" s="346">
        <v>0</v>
      </c>
      <c r="E248" s="346">
        <v>227</v>
      </c>
      <c r="F248" s="346">
        <v>710</v>
      </c>
      <c r="G248" s="346">
        <v>1036</v>
      </c>
      <c r="H248" s="346">
        <v>8441</v>
      </c>
      <c r="I248" s="345">
        <v>7405</v>
      </c>
      <c r="J248" s="345">
        <v>2</v>
      </c>
      <c r="K248" s="347">
        <v>109.55</v>
      </c>
      <c r="L248" s="347">
        <v>108.38</v>
      </c>
      <c r="M248" s="347">
        <v>6.73</v>
      </c>
      <c r="N248" s="347">
        <v>111.96</v>
      </c>
      <c r="O248" s="348">
        <v>5261</v>
      </c>
      <c r="P248" s="345">
        <v>93.32</v>
      </c>
      <c r="Q248" s="345">
        <v>90.29</v>
      </c>
      <c r="R248" s="345">
        <v>24.57</v>
      </c>
      <c r="S248" s="345">
        <v>115.75</v>
      </c>
      <c r="T248" s="345">
        <v>767</v>
      </c>
      <c r="U248" s="345">
        <v>176.09</v>
      </c>
      <c r="V248" s="345">
        <v>1067</v>
      </c>
      <c r="W248" s="345">
        <v>160.88</v>
      </c>
      <c r="X248" s="345">
        <v>39</v>
      </c>
      <c r="Y248" s="345">
        <v>0</v>
      </c>
      <c r="Z248" s="345">
        <v>1</v>
      </c>
      <c r="AA248" s="345">
        <v>3</v>
      </c>
      <c r="AB248" s="345">
        <v>142</v>
      </c>
      <c r="AC248" s="345">
        <v>16</v>
      </c>
      <c r="AD248" s="349">
        <v>6338</v>
      </c>
      <c r="AE248" s="349">
        <v>62</v>
      </c>
      <c r="AF248" s="349">
        <v>16</v>
      </c>
      <c r="AG248" s="349">
        <v>78</v>
      </c>
    </row>
    <row r="249" spans="1:33" x14ac:dyDescent="0.25">
      <c r="A249" s="344" t="s">
        <v>552</v>
      </c>
      <c r="B249" s="350" t="s">
        <v>553</v>
      </c>
      <c r="C249" s="346">
        <v>3956</v>
      </c>
      <c r="D249" s="346">
        <v>3</v>
      </c>
      <c r="E249" s="346">
        <v>262</v>
      </c>
      <c r="F249" s="346">
        <v>1066</v>
      </c>
      <c r="G249" s="346">
        <v>235</v>
      </c>
      <c r="H249" s="346">
        <v>5522</v>
      </c>
      <c r="I249" s="345">
        <v>5287</v>
      </c>
      <c r="J249" s="345">
        <v>24</v>
      </c>
      <c r="K249" s="347">
        <v>85.86</v>
      </c>
      <c r="L249" s="347">
        <v>86.19</v>
      </c>
      <c r="M249" s="347">
        <v>2.67</v>
      </c>
      <c r="N249" s="347">
        <v>88.44</v>
      </c>
      <c r="O249" s="348">
        <v>3544</v>
      </c>
      <c r="P249" s="345">
        <v>88.03</v>
      </c>
      <c r="Q249" s="345">
        <v>80.2</v>
      </c>
      <c r="R249" s="345">
        <v>25.03</v>
      </c>
      <c r="S249" s="345">
        <v>112.91</v>
      </c>
      <c r="T249" s="345">
        <v>1242</v>
      </c>
      <c r="U249" s="345">
        <v>101.53</v>
      </c>
      <c r="V249" s="345">
        <v>397</v>
      </c>
      <c r="W249" s="345">
        <v>0</v>
      </c>
      <c r="X249" s="345">
        <v>0</v>
      </c>
      <c r="Y249" s="345">
        <v>0</v>
      </c>
      <c r="Z249" s="345">
        <v>7</v>
      </c>
      <c r="AA249" s="345">
        <v>0</v>
      </c>
      <c r="AB249" s="345">
        <v>10</v>
      </c>
      <c r="AC249" s="345">
        <v>5</v>
      </c>
      <c r="AD249" s="349">
        <v>3954</v>
      </c>
      <c r="AE249" s="349">
        <v>24</v>
      </c>
      <c r="AF249" s="349">
        <v>3</v>
      </c>
      <c r="AG249" s="349">
        <v>27</v>
      </c>
    </row>
    <row r="250" spans="1:33" x14ac:dyDescent="0.25">
      <c r="A250" s="344" t="s">
        <v>554</v>
      </c>
      <c r="B250" s="350" t="s">
        <v>555</v>
      </c>
      <c r="C250" s="346">
        <v>9207</v>
      </c>
      <c r="D250" s="346">
        <v>0</v>
      </c>
      <c r="E250" s="346">
        <v>292</v>
      </c>
      <c r="F250" s="346">
        <v>1696</v>
      </c>
      <c r="G250" s="346">
        <v>723</v>
      </c>
      <c r="H250" s="346">
        <v>11918</v>
      </c>
      <c r="I250" s="345">
        <v>11195</v>
      </c>
      <c r="J250" s="345">
        <v>0</v>
      </c>
      <c r="K250" s="347">
        <v>90.8</v>
      </c>
      <c r="L250" s="347">
        <v>90.22</v>
      </c>
      <c r="M250" s="347">
        <v>4.3899999999999997</v>
      </c>
      <c r="N250" s="347">
        <v>92.18</v>
      </c>
      <c r="O250" s="348">
        <v>8251</v>
      </c>
      <c r="P250" s="345">
        <v>84.57</v>
      </c>
      <c r="Q250" s="345">
        <v>83.54</v>
      </c>
      <c r="R250" s="345">
        <v>26.69</v>
      </c>
      <c r="S250" s="345">
        <v>111.22</v>
      </c>
      <c r="T250" s="345">
        <v>1941</v>
      </c>
      <c r="U250" s="345">
        <v>114.37</v>
      </c>
      <c r="V250" s="345">
        <v>620</v>
      </c>
      <c r="W250" s="345">
        <v>126.18</v>
      </c>
      <c r="X250" s="345">
        <v>30</v>
      </c>
      <c r="Y250" s="345">
        <v>0</v>
      </c>
      <c r="Z250" s="345">
        <v>29</v>
      </c>
      <c r="AA250" s="345">
        <v>5</v>
      </c>
      <c r="AB250" s="345">
        <v>67</v>
      </c>
      <c r="AC250" s="345">
        <v>12</v>
      </c>
      <c r="AD250" s="349">
        <v>9132</v>
      </c>
      <c r="AE250" s="349">
        <v>40</v>
      </c>
      <c r="AF250" s="349">
        <v>38</v>
      </c>
      <c r="AG250" s="349">
        <v>78</v>
      </c>
    </row>
    <row r="251" spans="1:33" x14ac:dyDescent="0.25">
      <c r="A251" s="344" t="s">
        <v>556</v>
      </c>
      <c r="B251" s="350" t="s">
        <v>557</v>
      </c>
      <c r="C251" s="346">
        <v>5710</v>
      </c>
      <c r="D251" s="346">
        <v>0</v>
      </c>
      <c r="E251" s="346">
        <v>301</v>
      </c>
      <c r="F251" s="346">
        <v>664</v>
      </c>
      <c r="G251" s="346">
        <v>346</v>
      </c>
      <c r="H251" s="346">
        <v>7021</v>
      </c>
      <c r="I251" s="345">
        <v>6675</v>
      </c>
      <c r="J251" s="345">
        <v>0</v>
      </c>
      <c r="K251" s="347">
        <v>85.64</v>
      </c>
      <c r="L251" s="347">
        <v>86.32</v>
      </c>
      <c r="M251" s="347">
        <v>5.01</v>
      </c>
      <c r="N251" s="347">
        <v>87.05</v>
      </c>
      <c r="O251" s="348">
        <v>5572</v>
      </c>
      <c r="P251" s="345">
        <v>79.040000000000006</v>
      </c>
      <c r="Q251" s="345">
        <v>79.989999999999995</v>
      </c>
      <c r="R251" s="345">
        <v>40.43</v>
      </c>
      <c r="S251" s="345">
        <v>118.5</v>
      </c>
      <c r="T251" s="345">
        <v>794</v>
      </c>
      <c r="U251" s="345">
        <v>102.88</v>
      </c>
      <c r="V251" s="345">
        <v>100</v>
      </c>
      <c r="W251" s="345">
        <v>177.67</v>
      </c>
      <c r="X251" s="345">
        <v>139</v>
      </c>
      <c r="Y251" s="345">
        <v>0</v>
      </c>
      <c r="Z251" s="345">
        <v>45</v>
      </c>
      <c r="AA251" s="345">
        <v>0</v>
      </c>
      <c r="AB251" s="345">
        <v>57</v>
      </c>
      <c r="AC251" s="345">
        <v>5</v>
      </c>
      <c r="AD251" s="349">
        <v>5710</v>
      </c>
      <c r="AE251" s="349">
        <v>10</v>
      </c>
      <c r="AF251" s="349">
        <v>44</v>
      </c>
      <c r="AG251" s="349">
        <v>54</v>
      </c>
    </row>
    <row r="252" spans="1:33" x14ac:dyDescent="0.25">
      <c r="A252" s="344" t="s">
        <v>558</v>
      </c>
      <c r="B252" s="350" t="s">
        <v>559</v>
      </c>
      <c r="C252" s="346">
        <v>3843</v>
      </c>
      <c r="D252" s="346">
        <v>23</v>
      </c>
      <c r="E252" s="346">
        <v>374</v>
      </c>
      <c r="F252" s="346">
        <v>964</v>
      </c>
      <c r="G252" s="346">
        <v>220</v>
      </c>
      <c r="H252" s="346">
        <v>5424</v>
      </c>
      <c r="I252" s="345">
        <v>5204</v>
      </c>
      <c r="J252" s="345">
        <v>0</v>
      </c>
      <c r="K252" s="347">
        <v>78.959999999999994</v>
      </c>
      <c r="L252" s="347">
        <v>75.599999999999994</v>
      </c>
      <c r="M252" s="347">
        <v>3.26</v>
      </c>
      <c r="N252" s="347">
        <v>81.150000000000006</v>
      </c>
      <c r="O252" s="348">
        <v>3133</v>
      </c>
      <c r="P252" s="345">
        <v>82.91</v>
      </c>
      <c r="Q252" s="345">
        <v>75.400000000000006</v>
      </c>
      <c r="R252" s="345">
        <v>64.2</v>
      </c>
      <c r="S252" s="345">
        <v>145.53</v>
      </c>
      <c r="T252" s="345">
        <v>935</v>
      </c>
      <c r="U252" s="345">
        <v>95.39</v>
      </c>
      <c r="V252" s="345">
        <v>649</v>
      </c>
      <c r="W252" s="345">
        <v>101.46</v>
      </c>
      <c r="X252" s="345">
        <v>290</v>
      </c>
      <c r="Y252" s="345">
        <v>887</v>
      </c>
      <c r="Z252" s="345">
        <v>1</v>
      </c>
      <c r="AA252" s="345">
        <v>4</v>
      </c>
      <c r="AB252" s="345">
        <v>6</v>
      </c>
      <c r="AC252" s="345">
        <v>3</v>
      </c>
      <c r="AD252" s="349">
        <v>3669</v>
      </c>
      <c r="AE252" s="349">
        <v>85</v>
      </c>
      <c r="AF252" s="349">
        <v>27</v>
      </c>
      <c r="AG252" s="349">
        <v>112</v>
      </c>
    </row>
    <row r="253" spans="1:33" x14ac:dyDescent="0.25">
      <c r="A253" s="344" t="s">
        <v>560</v>
      </c>
      <c r="B253" s="350" t="s">
        <v>561</v>
      </c>
      <c r="C253" s="346">
        <v>5866</v>
      </c>
      <c r="D253" s="346">
        <v>93</v>
      </c>
      <c r="E253" s="346">
        <v>925</v>
      </c>
      <c r="F253" s="346">
        <v>1063</v>
      </c>
      <c r="G253" s="346">
        <v>955</v>
      </c>
      <c r="H253" s="346">
        <v>8902</v>
      </c>
      <c r="I253" s="345">
        <v>7947</v>
      </c>
      <c r="J253" s="345">
        <v>1</v>
      </c>
      <c r="K253" s="347">
        <v>103.38</v>
      </c>
      <c r="L253" s="347">
        <v>100.9</v>
      </c>
      <c r="M253" s="347">
        <v>7.59</v>
      </c>
      <c r="N253" s="347">
        <v>109.84</v>
      </c>
      <c r="O253" s="348">
        <v>4671</v>
      </c>
      <c r="P253" s="345">
        <v>90.41</v>
      </c>
      <c r="Q253" s="345">
        <v>87.88</v>
      </c>
      <c r="R253" s="345">
        <v>41.78</v>
      </c>
      <c r="S253" s="345">
        <v>129.66</v>
      </c>
      <c r="T253" s="345">
        <v>1586</v>
      </c>
      <c r="U253" s="345">
        <v>138.93</v>
      </c>
      <c r="V253" s="345">
        <v>796</v>
      </c>
      <c r="W253" s="345">
        <v>144.68</v>
      </c>
      <c r="X253" s="345">
        <v>23</v>
      </c>
      <c r="Y253" s="345">
        <v>72</v>
      </c>
      <c r="Z253" s="345">
        <v>2</v>
      </c>
      <c r="AA253" s="345">
        <v>3</v>
      </c>
      <c r="AB253" s="345">
        <v>3</v>
      </c>
      <c r="AC253" s="345">
        <v>27</v>
      </c>
      <c r="AD253" s="349">
        <v>5736</v>
      </c>
      <c r="AE253" s="349">
        <v>32</v>
      </c>
      <c r="AF253" s="349">
        <v>14</v>
      </c>
      <c r="AG253" s="349">
        <v>46</v>
      </c>
    </row>
    <row r="254" spans="1:33" x14ac:dyDescent="0.25">
      <c r="A254" s="344" t="s">
        <v>562</v>
      </c>
      <c r="B254" s="350" t="s">
        <v>563</v>
      </c>
      <c r="C254" s="346">
        <v>2849</v>
      </c>
      <c r="D254" s="346">
        <v>0</v>
      </c>
      <c r="E254" s="346">
        <v>549</v>
      </c>
      <c r="F254" s="346">
        <v>318</v>
      </c>
      <c r="G254" s="346">
        <v>400</v>
      </c>
      <c r="H254" s="346">
        <v>4116</v>
      </c>
      <c r="I254" s="345">
        <v>3716</v>
      </c>
      <c r="J254" s="345">
        <v>0</v>
      </c>
      <c r="K254" s="347">
        <v>96.75</v>
      </c>
      <c r="L254" s="347">
        <v>94.81</v>
      </c>
      <c r="M254" s="347">
        <v>13.46</v>
      </c>
      <c r="N254" s="347">
        <v>107.44</v>
      </c>
      <c r="O254" s="348">
        <v>2471</v>
      </c>
      <c r="P254" s="345">
        <v>89.78</v>
      </c>
      <c r="Q254" s="345">
        <v>87.3</v>
      </c>
      <c r="R254" s="345">
        <v>43.98</v>
      </c>
      <c r="S254" s="345">
        <v>131.61000000000001</v>
      </c>
      <c r="T254" s="345">
        <v>511</v>
      </c>
      <c r="U254" s="345">
        <v>146.24</v>
      </c>
      <c r="V254" s="345">
        <v>364</v>
      </c>
      <c r="W254" s="345">
        <v>0</v>
      </c>
      <c r="X254" s="345">
        <v>0</v>
      </c>
      <c r="Y254" s="345">
        <v>0</v>
      </c>
      <c r="Z254" s="345">
        <v>0</v>
      </c>
      <c r="AA254" s="345">
        <v>0</v>
      </c>
      <c r="AB254" s="345">
        <v>63</v>
      </c>
      <c r="AC254" s="345">
        <v>7</v>
      </c>
      <c r="AD254" s="349">
        <v>2849</v>
      </c>
      <c r="AE254" s="349">
        <v>19</v>
      </c>
      <c r="AF254" s="349">
        <v>5</v>
      </c>
      <c r="AG254" s="349">
        <v>24</v>
      </c>
    </row>
    <row r="255" spans="1:33" x14ac:dyDescent="0.25">
      <c r="A255" s="344" t="s">
        <v>564</v>
      </c>
      <c r="B255" s="350" t="s">
        <v>565</v>
      </c>
      <c r="C255" s="346">
        <v>15194</v>
      </c>
      <c r="D255" s="346">
        <v>80</v>
      </c>
      <c r="E255" s="346">
        <v>1402</v>
      </c>
      <c r="F255" s="346">
        <v>745</v>
      </c>
      <c r="G255" s="346">
        <v>3198</v>
      </c>
      <c r="H255" s="346">
        <v>20619</v>
      </c>
      <c r="I255" s="345">
        <v>17421</v>
      </c>
      <c r="J255" s="345">
        <v>133</v>
      </c>
      <c r="K255" s="347">
        <v>120.51</v>
      </c>
      <c r="L255" s="347">
        <v>122.45</v>
      </c>
      <c r="M255" s="347">
        <v>13.51</v>
      </c>
      <c r="N255" s="347">
        <v>130.88</v>
      </c>
      <c r="O255" s="348">
        <v>12377</v>
      </c>
      <c r="P255" s="345">
        <v>107.25</v>
      </c>
      <c r="Q255" s="345">
        <v>103.61</v>
      </c>
      <c r="R255" s="345">
        <v>57.06</v>
      </c>
      <c r="S255" s="345">
        <v>159.47</v>
      </c>
      <c r="T255" s="345">
        <v>1901</v>
      </c>
      <c r="U255" s="345">
        <v>198.88</v>
      </c>
      <c r="V255" s="345">
        <v>1061</v>
      </c>
      <c r="W255" s="345">
        <v>196.79</v>
      </c>
      <c r="X255" s="345">
        <v>24</v>
      </c>
      <c r="Y255" s="345">
        <v>66</v>
      </c>
      <c r="Z255" s="345">
        <v>0</v>
      </c>
      <c r="AA255" s="345">
        <v>57</v>
      </c>
      <c r="AB255" s="345">
        <v>119</v>
      </c>
      <c r="AC255" s="345">
        <v>69</v>
      </c>
      <c r="AD255" s="349">
        <v>14377</v>
      </c>
      <c r="AE255" s="349">
        <v>56</v>
      </c>
      <c r="AF255" s="349">
        <v>101</v>
      </c>
      <c r="AG255" s="349">
        <v>157</v>
      </c>
    </row>
    <row r="256" spans="1:33" x14ac:dyDescent="0.25">
      <c r="A256" s="344" t="s">
        <v>566</v>
      </c>
      <c r="B256" s="350" t="s">
        <v>567</v>
      </c>
      <c r="C256" s="346">
        <v>4905</v>
      </c>
      <c r="D256" s="346">
        <v>0</v>
      </c>
      <c r="E256" s="346">
        <v>115</v>
      </c>
      <c r="F256" s="346">
        <v>338</v>
      </c>
      <c r="G256" s="346">
        <v>402</v>
      </c>
      <c r="H256" s="346">
        <v>5760</v>
      </c>
      <c r="I256" s="345">
        <v>5358</v>
      </c>
      <c r="J256" s="345">
        <v>20</v>
      </c>
      <c r="K256" s="347">
        <v>114.45</v>
      </c>
      <c r="L256" s="347">
        <v>109.53</v>
      </c>
      <c r="M256" s="347">
        <v>5.63</v>
      </c>
      <c r="N256" s="347">
        <v>119.49</v>
      </c>
      <c r="O256" s="348">
        <v>4724</v>
      </c>
      <c r="P256" s="345">
        <v>108.78</v>
      </c>
      <c r="Q256" s="345">
        <v>101.64</v>
      </c>
      <c r="R256" s="345">
        <v>63.87</v>
      </c>
      <c r="S256" s="345">
        <v>165.81</v>
      </c>
      <c r="T256" s="345">
        <v>346</v>
      </c>
      <c r="U256" s="345">
        <v>211.28</v>
      </c>
      <c r="V256" s="345">
        <v>162</v>
      </c>
      <c r="W256" s="345">
        <v>109.89</v>
      </c>
      <c r="X256" s="345">
        <v>2</v>
      </c>
      <c r="Y256" s="345">
        <v>0</v>
      </c>
      <c r="Z256" s="345">
        <v>1</v>
      </c>
      <c r="AA256" s="345">
        <v>1</v>
      </c>
      <c r="AB256" s="345">
        <v>0</v>
      </c>
      <c r="AC256" s="345">
        <v>12</v>
      </c>
      <c r="AD256" s="349">
        <v>4902</v>
      </c>
      <c r="AE256" s="349">
        <v>24</v>
      </c>
      <c r="AF256" s="349">
        <v>3</v>
      </c>
      <c r="AG256" s="349">
        <v>27</v>
      </c>
    </row>
    <row r="257" spans="1:33" x14ac:dyDescent="0.25">
      <c r="A257" s="344" t="s">
        <v>568</v>
      </c>
      <c r="B257" s="350" t="s">
        <v>569</v>
      </c>
      <c r="C257" s="346">
        <v>2120</v>
      </c>
      <c r="D257" s="346">
        <v>0</v>
      </c>
      <c r="E257" s="346">
        <v>271</v>
      </c>
      <c r="F257" s="346">
        <v>206</v>
      </c>
      <c r="G257" s="346">
        <v>233</v>
      </c>
      <c r="H257" s="346">
        <v>2830</v>
      </c>
      <c r="I257" s="345">
        <v>2597</v>
      </c>
      <c r="J257" s="345">
        <v>0</v>
      </c>
      <c r="K257" s="347">
        <v>119.96</v>
      </c>
      <c r="L257" s="347">
        <v>117.71</v>
      </c>
      <c r="M257" s="347">
        <v>7.44</v>
      </c>
      <c r="N257" s="347">
        <v>126.49</v>
      </c>
      <c r="O257" s="348">
        <v>1619</v>
      </c>
      <c r="P257" s="345">
        <v>117.18</v>
      </c>
      <c r="Q257" s="345">
        <v>105.02</v>
      </c>
      <c r="R257" s="345">
        <v>37.229999999999997</v>
      </c>
      <c r="S257" s="345">
        <v>152.99</v>
      </c>
      <c r="T257" s="345">
        <v>395</v>
      </c>
      <c r="U257" s="345">
        <v>185.59</v>
      </c>
      <c r="V257" s="345">
        <v>275</v>
      </c>
      <c r="W257" s="345">
        <v>189.43</v>
      </c>
      <c r="X257" s="345">
        <v>29</v>
      </c>
      <c r="Y257" s="345">
        <v>0</v>
      </c>
      <c r="Z257" s="345">
        <v>0</v>
      </c>
      <c r="AA257" s="345">
        <v>0</v>
      </c>
      <c r="AB257" s="345">
        <v>13</v>
      </c>
      <c r="AC257" s="345">
        <v>10</v>
      </c>
      <c r="AD257" s="349">
        <v>2117</v>
      </c>
      <c r="AE257" s="349">
        <v>19</v>
      </c>
      <c r="AF257" s="349">
        <v>9</v>
      </c>
      <c r="AG257" s="349">
        <v>28</v>
      </c>
    </row>
    <row r="258" spans="1:33" x14ac:dyDescent="0.25">
      <c r="A258" s="344" t="s">
        <v>570</v>
      </c>
      <c r="B258" s="350" t="s">
        <v>571</v>
      </c>
      <c r="C258" s="346">
        <v>14535</v>
      </c>
      <c r="D258" s="346">
        <v>0</v>
      </c>
      <c r="E258" s="346">
        <v>654</v>
      </c>
      <c r="F258" s="346">
        <v>1997</v>
      </c>
      <c r="G258" s="346">
        <v>573</v>
      </c>
      <c r="H258" s="346">
        <v>17759</v>
      </c>
      <c r="I258" s="345">
        <v>17186</v>
      </c>
      <c r="J258" s="345">
        <v>244</v>
      </c>
      <c r="K258" s="347">
        <v>87.16</v>
      </c>
      <c r="L258" s="347">
        <v>83.79</v>
      </c>
      <c r="M258" s="347">
        <v>1.59</v>
      </c>
      <c r="N258" s="347">
        <v>88.61</v>
      </c>
      <c r="O258" s="348">
        <v>13190</v>
      </c>
      <c r="P258" s="345">
        <v>91.2</v>
      </c>
      <c r="Q258" s="345">
        <v>77.75</v>
      </c>
      <c r="R258" s="345">
        <v>42.13</v>
      </c>
      <c r="S258" s="345">
        <v>133.06</v>
      </c>
      <c r="T258" s="345">
        <v>2470</v>
      </c>
      <c r="U258" s="345">
        <v>97.63</v>
      </c>
      <c r="V258" s="345">
        <v>1273</v>
      </c>
      <c r="W258" s="345">
        <v>0</v>
      </c>
      <c r="X258" s="345">
        <v>0</v>
      </c>
      <c r="Y258" s="345">
        <v>0</v>
      </c>
      <c r="Z258" s="345">
        <v>86</v>
      </c>
      <c r="AA258" s="345">
        <v>1</v>
      </c>
      <c r="AB258" s="345">
        <v>33</v>
      </c>
      <c r="AC258" s="345">
        <v>8</v>
      </c>
      <c r="AD258" s="349">
        <v>14490</v>
      </c>
      <c r="AE258" s="349">
        <v>194</v>
      </c>
      <c r="AF258" s="349">
        <v>82</v>
      </c>
      <c r="AG258" s="349">
        <v>276</v>
      </c>
    </row>
    <row r="259" spans="1:33" x14ac:dyDescent="0.25">
      <c r="A259" s="344" t="s">
        <v>572</v>
      </c>
      <c r="B259" s="350" t="s">
        <v>573</v>
      </c>
      <c r="C259" s="346">
        <v>6342</v>
      </c>
      <c r="D259" s="346">
        <v>1</v>
      </c>
      <c r="E259" s="346">
        <v>289</v>
      </c>
      <c r="F259" s="346">
        <v>1640</v>
      </c>
      <c r="G259" s="346">
        <v>447</v>
      </c>
      <c r="H259" s="346">
        <v>8719</v>
      </c>
      <c r="I259" s="345">
        <v>8272</v>
      </c>
      <c r="J259" s="345">
        <v>0</v>
      </c>
      <c r="K259" s="347">
        <v>82.34</v>
      </c>
      <c r="L259" s="347">
        <v>81.92</v>
      </c>
      <c r="M259" s="347">
        <v>5.76</v>
      </c>
      <c r="N259" s="347">
        <v>85.73</v>
      </c>
      <c r="O259" s="348">
        <v>5702</v>
      </c>
      <c r="P259" s="345">
        <v>80.95</v>
      </c>
      <c r="Q259" s="345">
        <v>74.56</v>
      </c>
      <c r="R259" s="345">
        <v>21.24</v>
      </c>
      <c r="S259" s="345">
        <v>101.15</v>
      </c>
      <c r="T259" s="345">
        <v>1787</v>
      </c>
      <c r="U259" s="345">
        <v>101.36</v>
      </c>
      <c r="V259" s="345">
        <v>637</v>
      </c>
      <c r="W259" s="345">
        <v>175.09</v>
      </c>
      <c r="X259" s="345">
        <v>159</v>
      </c>
      <c r="Y259" s="345">
        <v>154</v>
      </c>
      <c r="Z259" s="345">
        <v>24</v>
      </c>
      <c r="AA259" s="345">
        <v>3</v>
      </c>
      <c r="AB259" s="345">
        <v>52</v>
      </c>
      <c r="AC259" s="345">
        <v>11</v>
      </c>
      <c r="AD259" s="349">
        <v>6342</v>
      </c>
      <c r="AE259" s="349">
        <v>15</v>
      </c>
      <c r="AF259" s="349">
        <v>51</v>
      </c>
      <c r="AG259" s="349">
        <v>66</v>
      </c>
    </row>
    <row r="260" spans="1:33" x14ac:dyDescent="0.25">
      <c r="A260" s="344" t="s">
        <v>574</v>
      </c>
      <c r="B260" s="350" t="s">
        <v>575</v>
      </c>
      <c r="C260" s="346">
        <v>3395</v>
      </c>
      <c r="D260" s="346">
        <v>2</v>
      </c>
      <c r="E260" s="346">
        <v>135</v>
      </c>
      <c r="F260" s="346">
        <v>299</v>
      </c>
      <c r="G260" s="346">
        <v>63</v>
      </c>
      <c r="H260" s="346">
        <v>3894</v>
      </c>
      <c r="I260" s="345">
        <v>3831</v>
      </c>
      <c r="J260" s="345">
        <v>28</v>
      </c>
      <c r="K260" s="347">
        <v>84.5</v>
      </c>
      <c r="L260" s="347">
        <v>81.08</v>
      </c>
      <c r="M260" s="347">
        <v>4.41</v>
      </c>
      <c r="N260" s="347">
        <v>86.34</v>
      </c>
      <c r="O260" s="348">
        <v>3054</v>
      </c>
      <c r="P260" s="345">
        <v>76.010000000000005</v>
      </c>
      <c r="Q260" s="345">
        <v>75.989999999999995</v>
      </c>
      <c r="R260" s="345">
        <v>65.290000000000006</v>
      </c>
      <c r="S260" s="345">
        <v>141.1</v>
      </c>
      <c r="T260" s="345">
        <v>328</v>
      </c>
      <c r="U260" s="345">
        <v>95.77</v>
      </c>
      <c r="V260" s="345">
        <v>253</v>
      </c>
      <c r="W260" s="345">
        <v>136.91999999999999</v>
      </c>
      <c r="X260" s="345">
        <v>72</v>
      </c>
      <c r="Y260" s="345">
        <v>59</v>
      </c>
      <c r="Z260" s="345">
        <v>21</v>
      </c>
      <c r="AA260" s="345">
        <v>2</v>
      </c>
      <c r="AB260" s="345">
        <v>0</v>
      </c>
      <c r="AC260" s="345">
        <v>6</v>
      </c>
      <c r="AD260" s="349">
        <v>3209</v>
      </c>
      <c r="AE260" s="349">
        <v>18</v>
      </c>
      <c r="AF260" s="349">
        <v>4</v>
      </c>
      <c r="AG260" s="349">
        <v>22</v>
      </c>
    </row>
    <row r="261" spans="1:33" x14ac:dyDescent="0.25">
      <c r="A261" s="344" t="s">
        <v>576</v>
      </c>
      <c r="B261" s="350" t="s">
        <v>577</v>
      </c>
      <c r="C261" s="346">
        <v>1732</v>
      </c>
      <c r="D261" s="346">
        <v>0</v>
      </c>
      <c r="E261" s="346">
        <v>162</v>
      </c>
      <c r="F261" s="346">
        <v>311</v>
      </c>
      <c r="G261" s="346">
        <v>621</v>
      </c>
      <c r="H261" s="346">
        <v>2826</v>
      </c>
      <c r="I261" s="345">
        <v>2205</v>
      </c>
      <c r="J261" s="345">
        <v>0</v>
      </c>
      <c r="K261" s="347">
        <v>111.44</v>
      </c>
      <c r="L261" s="347">
        <v>109.12</v>
      </c>
      <c r="M261" s="347">
        <v>7.69</v>
      </c>
      <c r="N261" s="347">
        <v>118.64</v>
      </c>
      <c r="O261" s="348">
        <v>1424</v>
      </c>
      <c r="P261" s="345">
        <v>102.45</v>
      </c>
      <c r="Q261" s="345">
        <v>93.45</v>
      </c>
      <c r="R261" s="345">
        <v>38.64</v>
      </c>
      <c r="S261" s="345">
        <v>140.24</v>
      </c>
      <c r="T261" s="345">
        <v>411</v>
      </c>
      <c r="U261" s="345">
        <v>140.99</v>
      </c>
      <c r="V261" s="345">
        <v>165</v>
      </c>
      <c r="W261" s="345">
        <v>0</v>
      </c>
      <c r="X261" s="345">
        <v>0</v>
      </c>
      <c r="Y261" s="345">
        <v>0</v>
      </c>
      <c r="Z261" s="345">
        <v>0</v>
      </c>
      <c r="AA261" s="345">
        <v>0</v>
      </c>
      <c r="AB261" s="345">
        <v>62</v>
      </c>
      <c r="AC261" s="345">
        <v>10</v>
      </c>
      <c r="AD261" s="349">
        <v>1608</v>
      </c>
      <c r="AE261" s="349">
        <v>10</v>
      </c>
      <c r="AF261" s="349">
        <v>3</v>
      </c>
      <c r="AG261" s="349">
        <v>13</v>
      </c>
    </row>
    <row r="262" spans="1:33" x14ac:dyDescent="0.25">
      <c r="A262" s="344" t="s">
        <v>578</v>
      </c>
      <c r="B262" s="350" t="s">
        <v>579</v>
      </c>
      <c r="C262" s="346">
        <v>4632</v>
      </c>
      <c r="D262" s="346">
        <v>4</v>
      </c>
      <c r="E262" s="346">
        <v>495</v>
      </c>
      <c r="F262" s="346">
        <v>1285</v>
      </c>
      <c r="G262" s="346">
        <v>1112</v>
      </c>
      <c r="H262" s="346">
        <v>7528</v>
      </c>
      <c r="I262" s="345">
        <v>6416</v>
      </c>
      <c r="J262" s="345">
        <v>11</v>
      </c>
      <c r="K262" s="347">
        <v>82.09</v>
      </c>
      <c r="L262" s="347">
        <v>80.790000000000006</v>
      </c>
      <c r="M262" s="347">
        <v>7.3</v>
      </c>
      <c r="N262" s="347">
        <v>86.23</v>
      </c>
      <c r="O262" s="348">
        <v>3862</v>
      </c>
      <c r="P262" s="345">
        <v>83.12</v>
      </c>
      <c r="Q262" s="345">
        <v>75.14</v>
      </c>
      <c r="R262" s="345">
        <v>31.77</v>
      </c>
      <c r="S262" s="345">
        <v>113.94</v>
      </c>
      <c r="T262" s="345">
        <v>1599</v>
      </c>
      <c r="U262" s="345">
        <v>109.11</v>
      </c>
      <c r="V262" s="345">
        <v>580</v>
      </c>
      <c r="W262" s="345">
        <v>145.6</v>
      </c>
      <c r="X262" s="345">
        <v>69</v>
      </c>
      <c r="Y262" s="345">
        <v>4</v>
      </c>
      <c r="Z262" s="345">
        <v>5</v>
      </c>
      <c r="AA262" s="345">
        <v>7</v>
      </c>
      <c r="AB262" s="345">
        <v>29</v>
      </c>
      <c r="AC262" s="345">
        <v>16</v>
      </c>
      <c r="AD262" s="349">
        <v>4262</v>
      </c>
      <c r="AE262" s="349">
        <v>25</v>
      </c>
      <c r="AF262" s="349">
        <v>21</v>
      </c>
      <c r="AG262" s="349">
        <v>46</v>
      </c>
    </row>
    <row r="263" spans="1:33" x14ac:dyDescent="0.25">
      <c r="A263" s="344" t="s">
        <v>580</v>
      </c>
      <c r="B263" s="350" t="s">
        <v>581</v>
      </c>
      <c r="C263" s="346">
        <v>12951</v>
      </c>
      <c r="D263" s="346">
        <v>4</v>
      </c>
      <c r="E263" s="346">
        <v>324</v>
      </c>
      <c r="F263" s="346">
        <v>825</v>
      </c>
      <c r="G263" s="346">
        <v>302</v>
      </c>
      <c r="H263" s="346">
        <v>14406</v>
      </c>
      <c r="I263" s="345">
        <v>14104</v>
      </c>
      <c r="J263" s="345">
        <v>2</v>
      </c>
      <c r="K263" s="347">
        <v>79.88</v>
      </c>
      <c r="L263" s="347">
        <v>80.36</v>
      </c>
      <c r="M263" s="347">
        <v>11.27</v>
      </c>
      <c r="N263" s="347">
        <v>83.03</v>
      </c>
      <c r="O263" s="348">
        <v>10934</v>
      </c>
      <c r="P263" s="345">
        <v>84.39</v>
      </c>
      <c r="Q263" s="345">
        <v>82.27</v>
      </c>
      <c r="R263" s="345">
        <v>48.15</v>
      </c>
      <c r="S263" s="345">
        <v>132.21</v>
      </c>
      <c r="T263" s="345">
        <v>1048</v>
      </c>
      <c r="U263" s="345">
        <v>97.56</v>
      </c>
      <c r="V263" s="345">
        <v>1853</v>
      </c>
      <c r="W263" s="345">
        <v>162.35</v>
      </c>
      <c r="X263" s="345">
        <v>59</v>
      </c>
      <c r="Y263" s="345">
        <v>0</v>
      </c>
      <c r="Z263" s="345">
        <v>59</v>
      </c>
      <c r="AA263" s="345">
        <v>1</v>
      </c>
      <c r="AB263" s="345">
        <v>45</v>
      </c>
      <c r="AC263" s="345">
        <v>2</v>
      </c>
      <c r="AD263" s="349">
        <v>12836</v>
      </c>
      <c r="AE263" s="349">
        <v>100</v>
      </c>
      <c r="AF263" s="349">
        <v>298</v>
      </c>
      <c r="AG263" s="349">
        <v>398</v>
      </c>
    </row>
    <row r="264" spans="1:33" x14ac:dyDescent="0.25">
      <c r="A264" s="344" t="s">
        <v>582</v>
      </c>
      <c r="B264" s="350" t="s">
        <v>583</v>
      </c>
      <c r="C264" s="346">
        <v>6082</v>
      </c>
      <c r="D264" s="346">
        <v>13</v>
      </c>
      <c r="E264" s="346">
        <v>758</v>
      </c>
      <c r="F264" s="346">
        <v>1503</v>
      </c>
      <c r="G264" s="346">
        <v>241</v>
      </c>
      <c r="H264" s="346">
        <v>8597</v>
      </c>
      <c r="I264" s="345">
        <v>8356</v>
      </c>
      <c r="J264" s="345">
        <v>11</v>
      </c>
      <c r="K264" s="347">
        <v>75.290000000000006</v>
      </c>
      <c r="L264" s="347">
        <v>73.8</v>
      </c>
      <c r="M264" s="347">
        <v>4.72</v>
      </c>
      <c r="N264" s="347">
        <v>78.58</v>
      </c>
      <c r="O264" s="348">
        <v>4870</v>
      </c>
      <c r="P264" s="345">
        <v>93.59</v>
      </c>
      <c r="Q264" s="345">
        <v>86.45</v>
      </c>
      <c r="R264" s="345">
        <v>61.84</v>
      </c>
      <c r="S264" s="345">
        <v>154.77000000000001</v>
      </c>
      <c r="T264" s="345">
        <v>1774</v>
      </c>
      <c r="U264" s="345">
        <v>93.89</v>
      </c>
      <c r="V264" s="345">
        <v>637</v>
      </c>
      <c r="W264" s="345">
        <v>223.61</v>
      </c>
      <c r="X264" s="345">
        <v>127</v>
      </c>
      <c r="Y264" s="345">
        <v>0</v>
      </c>
      <c r="Z264" s="345">
        <v>16</v>
      </c>
      <c r="AA264" s="345">
        <v>12</v>
      </c>
      <c r="AB264" s="345">
        <v>0</v>
      </c>
      <c r="AC264" s="345">
        <v>3</v>
      </c>
      <c r="AD264" s="349">
        <v>5486</v>
      </c>
      <c r="AE264" s="349">
        <v>48</v>
      </c>
      <c r="AF264" s="349">
        <v>33</v>
      </c>
      <c r="AG264" s="349">
        <v>81</v>
      </c>
    </row>
    <row r="265" spans="1:33" x14ac:dyDescent="0.25">
      <c r="A265" s="344" t="s">
        <v>584</v>
      </c>
      <c r="B265" s="350" t="s">
        <v>585</v>
      </c>
      <c r="C265" s="346">
        <v>7000</v>
      </c>
      <c r="D265" s="346">
        <v>2</v>
      </c>
      <c r="E265" s="346">
        <v>108</v>
      </c>
      <c r="F265" s="346">
        <v>712</v>
      </c>
      <c r="G265" s="346">
        <v>931</v>
      </c>
      <c r="H265" s="346">
        <v>8753</v>
      </c>
      <c r="I265" s="345">
        <v>7822</v>
      </c>
      <c r="J265" s="345">
        <v>17</v>
      </c>
      <c r="K265" s="347">
        <v>103.53</v>
      </c>
      <c r="L265" s="347">
        <v>103.72</v>
      </c>
      <c r="M265" s="347">
        <v>6.48</v>
      </c>
      <c r="N265" s="347">
        <v>106.54</v>
      </c>
      <c r="O265" s="348">
        <v>6316</v>
      </c>
      <c r="P265" s="345">
        <v>89.12</v>
      </c>
      <c r="Q265" s="345">
        <v>95.64</v>
      </c>
      <c r="R265" s="345">
        <v>37.619999999999997</v>
      </c>
      <c r="S265" s="345">
        <v>125.5</v>
      </c>
      <c r="T265" s="345">
        <v>640</v>
      </c>
      <c r="U265" s="345">
        <v>138.49</v>
      </c>
      <c r="V265" s="345">
        <v>325</v>
      </c>
      <c r="W265" s="345">
        <v>174.5</v>
      </c>
      <c r="X265" s="345">
        <v>91</v>
      </c>
      <c r="Y265" s="345">
        <v>0</v>
      </c>
      <c r="Z265" s="345">
        <v>63</v>
      </c>
      <c r="AA265" s="345">
        <v>44</v>
      </c>
      <c r="AB265" s="345">
        <v>42</v>
      </c>
      <c r="AC265" s="345">
        <v>10</v>
      </c>
      <c r="AD265" s="349">
        <v>6579</v>
      </c>
      <c r="AE265" s="349">
        <v>52</v>
      </c>
      <c r="AF265" s="349">
        <v>90</v>
      </c>
      <c r="AG265" s="349">
        <v>142</v>
      </c>
    </row>
    <row r="266" spans="1:33" x14ac:dyDescent="0.25">
      <c r="A266" s="344" t="s">
        <v>586</v>
      </c>
      <c r="B266" s="350" t="s">
        <v>587</v>
      </c>
      <c r="C266" s="346">
        <v>1592</v>
      </c>
      <c r="D266" s="346">
        <v>0</v>
      </c>
      <c r="E266" s="346">
        <v>163</v>
      </c>
      <c r="F266" s="346">
        <v>138</v>
      </c>
      <c r="G266" s="346">
        <v>435</v>
      </c>
      <c r="H266" s="346">
        <v>2328</v>
      </c>
      <c r="I266" s="345">
        <v>1893</v>
      </c>
      <c r="J266" s="345">
        <v>1</v>
      </c>
      <c r="K266" s="347">
        <v>97.51</v>
      </c>
      <c r="L266" s="347">
        <v>94.63</v>
      </c>
      <c r="M266" s="347">
        <v>5.07</v>
      </c>
      <c r="N266" s="347">
        <v>101.49</v>
      </c>
      <c r="O266" s="348">
        <v>1050</v>
      </c>
      <c r="P266" s="345">
        <v>84.57</v>
      </c>
      <c r="Q266" s="345">
        <v>82.2</v>
      </c>
      <c r="R266" s="345">
        <v>50.13</v>
      </c>
      <c r="S266" s="345">
        <v>132.26</v>
      </c>
      <c r="T266" s="345">
        <v>226</v>
      </c>
      <c r="U266" s="345">
        <v>121.78</v>
      </c>
      <c r="V266" s="345">
        <v>459</v>
      </c>
      <c r="W266" s="345">
        <v>0</v>
      </c>
      <c r="X266" s="345">
        <v>0</v>
      </c>
      <c r="Y266" s="345">
        <v>0</v>
      </c>
      <c r="Z266" s="345">
        <v>0</v>
      </c>
      <c r="AA266" s="345">
        <v>0</v>
      </c>
      <c r="AB266" s="345">
        <v>41</v>
      </c>
      <c r="AC266" s="345">
        <v>6</v>
      </c>
      <c r="AD266" s="349">
        <v>1512</v>
      </c>
      <c r="AE266" s="349">
        <v>22</v>
      </c>
      <c r="AF266" s="349">
        <v>11</v>
      </c>
      <c r="AG266" s="349">
        <v>33</v>
      </c>
    </row>
    <row r="267" spans="1:33" x14ac:dyDescent="0.25">
      <c r="A267" s="344" t="s">
        <v>588</v>
      </c>
      <c r="B267" s="350" t="s">
        <v>589</v>
      </c>
      <c r="C267" s="346">
        <v>31708</v>
      </c>
      <c r="D267" s="346">
        <v>2</v>
      </c>
      <c r="E267" s="346">
        <v>664</v>
      </c>
      <c r="F267" s="346">
        <v>2046</v>
      </c>
      <c r="G267" s="346">
        <v>290</v>
      </c>
      <c r="H267" s="346">
        <v>34710</v>
      </c>
      <c r="I267" s="345">
        <v>34420</v>
      </c>
      <c r="J267" s="345">
        <v>8</v>
      </c>
      <c r="K267" s="347">
        <v>78.040000000000006</v>
      </c>
      <c r="L267" s="347">
        <v>77.709999999999994</v>
      </c>
      <c r="M267" s="347">
        <v>6.16</v>
      </c>
      <c r="N267" s="347">
        <v>79.22</v>
      </c>
      <c r="O267" s="348">
        <v>29191</v>
      </c>
      <c r="P267" s="345">
        <v>83.92</v>
      </c>
      <c r="Q267" s="345">
        <v>73.540000000000006</v>
      </c>
      <c r="R267" s="345">
        <v>41.57</v>
      </c>
      <c r="S267" s="345">
        <v>124.07</v>
      </c>
      <c r="T267" s="345">
        <v>2038</v>
      </c>
      <c r="U267" s="345">
        <v>96.55</v>
      </c>
      <c r="V267" s="345">
        <v>2113</v>
      </c>
      <c r="W267" s="345">
        <v>182.8</v>
      </c>
      <c r="X267" s="345">
        <v>590</v>
      </c>
      <c r="Y267" s="345">
        <v>0</v>
      </c>
      <c r="Z267" s="345">
        <v>133</v>
      </c>
      <c r="AA267" s="345">
        <v>2</v>
      </c>
      <c r="AB267" s="345">
        <v>16</v>
      </c>
      <c r="AC267" s="345">
        <v>3</v>
      </c>
      <c r="AD267" s="349">
        <v>31413</v>
      </c>
      <c r="AE267" s="349">
        <v>548</v>
      </c>
      <c r="AF267" s="349">
        <v>133</v>
      </c>
      <c r="AG267" s="349">
        <v>681</v>
      </c>
    </row>
    <row r="268" spans="1:33" x14ac:dyDescent="0.25">
      <c r="A268" s="344" t="s">
        <v>590</v>
      </c>
      <c r="B268" s="350" t="s">
        <v>591</v>
      </c>
      <c r="C268" s="346">
        <v>3098</v>
      </c>
      <c r="D268" s="346">
        <v>1</v>
      </c>
      <c r="E268" s="346">
        <v>146</v>
      </c>
      <c r="F268" s="346">
        <v>304</v>
      </c>
      <c r="G268" s="346">
        <v>301</v>
      </c>
      <c r="H268" s="346">
        <v>3850</v>
      </c>
      <c r="I268" s="345">
        <v>3549</v>
      </c>
      <c r="J268" s="345">
        <v>63</v>
      </c>
      <c r="K268" s="347">
        <v>110.44</v>
      </c>
      <c r="L268" s="347">
        <v>114.06</v>
      </c>
      <c r="M268" s="347">
        <v>6.3</v>
      </c>
      <c r="N268" s="347">
        <v>113.83</v>
      </c>
      <c r="O268" s="348">
        <v>2979</v>
      </c>
      <c r="P268" s="345">
        <v>104.8</v>
      </c>
      <c r="Q268" s="345">
        <v>98.5</v>
      </c>
      <c r="R268" s="345">
        <v>36</v>
      </c>
      <c r="S268" s="345">
        <v>140.53</v>
      </c>
      <c r="T268" s="345">
        <v>405</v>
      </c>
      <c r="U268" s="345">
        <v>204.83</v>
      </c>
      <c r="V268" s="345">
        <v>114</v>
      </c>
      <c r="W268" s="345">
        <v>0</v>
      </c>
      <c r="X268" s="345">
        <v>0</v>
      </c>
      <c r="Y268" s="345">
        <v>0</v>
      </c>
      <c r="Z268" s="345">
        <v>0</v>
      </c>
      <c r="AA268" s="345">
        <v>0</v>
      </c>
      <c r="AB268" s="345">
        <v>31</v>
      </c>
      <c r="AC268" s="345">
        <v>10</v>
      </c>
      <c r="AD268" s="349">
        <v>3098</v>
      </c>
      <c r="AE268" s="349">
        <v>15</v>
      </c>
      <c r="AF268" s="349">
        <v>10</v>
      </c>
      <c r="AG268" s="349">
        <v>25</v>
      </c>
    </row>
    <row r="269" spans="1:33" x14ac:dyDescent="0.25">
      <c r="A269" s="344" t="s">
        <v>592</v>
      </c>
      <c r="B269" s="350" t="s">
        <v>593</v>
      </c>
      <c r="C269" s="346">
        <v>4611</v>
      </c>
      <c r="D269" s="346">
        <v>8</v>
      </c>
      <c r="E269" s="346">
        <v>457</v>
      </c>
      <c r="F269" s="346">
        <v>947</v>
      </c>
      <c r="G269" s="346">
        <v>838</v>
      </c>
      <c r="H269" s="346">
        <v>6861</v>
      </c>
      <c r="I269" s="345">
        <v>6023</v>
      </c>
      <c r="J269" s="345">
        <v>18</v>
      </c>
      <c r="K269" s="347">
        <v>115.73</v>
      </c>
      <c r="L269" s="347">
        <v>114.34</v>
      </c>
      <c r="M269" s="347">
        <v>8.48</v>
      </c>
      <c r="N269" s="347">
        <v>123.68</v>
      </c>
      <c r="O269" s="348">
        <v>4048</v>
      </c>
      <c r="P269" s="345">
        <v>112.27</v>
      </c>
      <c r="Q269" s="345">
        <v>104.14</v>
      </c>
      <c r="R269" s="345">
        <v>44</v>
      </c>
      <c r="S269" s="345">
        <v>154.53</v>
      </c>
      <c r="T269" s="345">
        <v>783</v>
      </c>
      <c r="U269" s="345">
        <v>178.66</v>
      </c>
      <c r="V269" s="345">
        <v>339</v>
      </c>
      <c r="W269" s="345">
        <v>220.7</v>
      </c>
      <c r="X269" s="345">
        <v>95</v>
      </c>
      <c r="Y269" s="345">
        <v>0</v>
      </c>
      <c r="Z269" s="345">
        <v>3</v>
      </c>
      <c r="AA269" s="345">
        <v>14</v>
      </c>
      <c r="AB269" s="345">
        <v>84</v>
      </c>
      <c r="AC269" s="345">
        <v>29</v>
      </c>
      <c r="AD269" s="349">
        <v>4449</v>
      </c>
      <c r="AE269" s="349">
        <v>16</v>
      </c>
      <c r="AF269" s="349">
        <v>24</v>
      </c>
      <c r="AG269" s="349">
        <v>40</v>
      </c>
    </row>
    <row r="270" spans="1:33" x14ac:dyDescent="0.25">
      <c r="A270" s="344" t="s">
        <v>594</v>
      </c>
      <c r="B270" s="350" t="s">
        <v>595</v>
      </c>
      <c r="C270" s="346">
        <v>7710</v>
      </c>
      <c r="D270" s="346">
        <v>0</v>
      </c>
      <c r="E270" s="346">
        <v>234</v>
      </c>
      <c r="F270" s="346">
        <v>438</v>
      </c>
      <c r="G270" s="346">
        <v>707</v>
      </c>
      <c r="H270" s="346">
        <v>9089</v>
      </c>
      <c r="I270" s="345">
        <v>8382</v>
      </c>
      <c r="J270" s="345">
        <v>7</v>
      </c>
      <c r="K270" s="347">
        <v>96.31</v>
      </c>
      <c r="L270" s="347">
        <v>95.82</v>
      </c>
      <c r="M270" s="347">
        <v>6.05</v>
      </c>
      <c r="N270" s="347">
        <v>99.1</v>
      </c>
      <c r="O270" s="348">
        <v>6503</v>
      </c>
      <c r="P270" s="345">
        <v>91.4</v>
      </c>
      <c r="Q270" s="345">
        <v>83.52</v>
      </c>
      <c r="R270" s="345">
        <v>47.84</v>
      </c>
      <c r="S270" s="345">
        <v>139.22999999999999</v>
      </c>
      <c r="T270" s="345">
        <v>603</v>
      </c>
      <c r="U270" s="345">
        <v>127.85</v>
      </c>
      <c r="V270" s="345">
        <v>1097</v>
      </c>
      <c r="W270" s="345">
        <v>0</v>
      </c>
      <c r="X270" s="345">
        <v>0</v>
      </c>
      <c r="Y270" s="345">
        <v>94</v>
      </c>
      <c r="Z270" s="345">
        <v>1</v>
      </c>
      <c r="AA270" s="345">
        <v>0</v>
      </c>
      <c r="AB270" s="345">
        <v>41</v>
      </c>
      <c r="AC270" s="345">
        <v>8</v>
      </c>
      <c r="AD270" s="349">
        <v>7621</v>
      </c>
      <c r="AE270" s="349">
        <v>30</v>
      </c>
      <c r="AF270" s="349">
        <v>42</v>
      </c>
      <c r="AG270" s="349">
        <v>72</v>
      </c>
    </row>
    <row r="271" spans="1:33" x14ac:dyDescent="0.25">
      <c r="A271" s="344" t="s">
        <v>596</v>
      </c>
      <c r="B271" s="350" t="s">
        <v>597</v>
      </c>
      <c r="C271" s="346">
        <v>4021</v>
      </c>
      <c r="D271" s="346">
        <v>12</v>
      </c>
      <c r="E271" s="346">
        <v>522</v>
      </c>
      <c r="F271" s="346">
        <v>923</v>
      </c>
      <c r="G271" s="346">
        <v>1115</v>
      </c>
      <c r="H271" s="346">
        <v>6593</v>
      </c>
      <c r="I271" s="345">
        <v>5478</v>
      </c>
      <c r="J271" s="345">
        <v>4</v>
      </c>
      <c r="K271" s="347">
        <v>95.6</v>
      </c>
      <c r="L271" s="347">
        <v>93.87</v>
      </c>
      <c r="M271" s="347">
        <v>6.91</v>
      </c>
      <c r="N271" s="347">
        <v>101.04</v>
      </c>
      <c r="O271" s="348">
        <v>3040</v>
      </c>
      <c r="P271" s="345">
        <v>82.64</v>
      </c>
      <c r="Q271" s="345">
        <v>79.02</v>
      </c>
      <c r="R271" s="345">
        <v>50.05</v>
      </c>
      <c r="S271" s="345">
        <v>130.13999999999999</v>
      </c>
      <c r="T271" s="345">
        <v>1316</v>
      </c>
      <c r="U271" s="345">
        <v>130.38</v>
      </c>
      <c r="V271" s="345">
        <v>745</v>
      </c>
      <c r="W271" s="345">
        <v>167.55</v>
      </c>
      <c r="X271" s="345">
        <v>80</v>
      </c>
      <c r="Y271" s="345">
        <v>238</v>
      </c>
      <c r="Z271" s="345">
        <v>2</v>
      </c>
      <c r="AA271" s="345">
        <v>2</v>
      </c>
      <c r="AB271" s="345">
        <v>55</v>
      </c>
      <c r="AC271" s="345">
        <v>23</v>
      </c>
      <c r="AD271" s="349">
        <v>3904</v>
      </c>
      <c r="AE271" s="349">
        <v>20</v>
      </c>
      <c r="AF271" s="349">
        <v>16</v>
      </c>
      <c r="AG271" s="349">
        <v>36</v>
      </c>
    </row>
    <row r="272" spans="1:33" x14ac:dyDescent="0.25">
      <c r="A272" s="344" t="s">
        <v>598</v>
      </c>
      <c r="B272" s="350" t="s">
        <v>599</v>
      </c>
      <c r="C272" s="346">
        <v>20197</v>
      </c>
      <c r="D272" s="346">
        <v>2</v>
      </c>
      <c r="E272" s="346">
        <v>624</v>
      </c>
      <c r="F272" s="346">
        <v>1354</v>
      </c>
      <c r="G272" s="346">
        <v>197</v>
      </c>
      <c r="H272" s="346">
        <v>22374</v>
      </c>
      <c r="I272" s="345">
        <v>22177</v>
      </c>
      <c r="J272" s="345">
        <v>13</v>
      </c>
      <c r="K272" s="347">
        <v>80.64</v>
      </c>
      <c r="L272" s="347">
        <v>77.91</v>
      </c>
      <c r="M272" s="347">
        <v>3.69</v>
      </c>
      <c r="N272" s="347">
        <v>84</v>
      </c>
      <c r="O272" s="348">
        <v>16748</v>
      </c>
      <c r="P272" s="345">
        <v>78.7</v>
      </c>
      <c r="Q272" s="345">
        <v>71.97</v>
      </c>
      <c r="R272" s="345">
        <v>36.909999999999997</v>
      </c>
      <c r="S272" s="345">
        <v>113.79</v>
      </c>
      <c r="T272" s="345">
        <v>1843</v>
      </c>
      <c r="U272" s="345">
        <v>103.29</v>
      </c>
      <c r="V272" s="345">
        <v>2431</v>
      </c>
      <c r="W272" s="345">
        <v>104.46</v>
      </c>
      <c r="X272" s="345">
        <v>20</v>
      </c>
      <c r="Y272" s="345">
        <v>0</v>
      </c>
      <c r="Z272" s="345">
        <v>76</v>
      </c>
      <c r="AA272" s="345">
        <v>0</v>
      </c>
      <c r="AB272" s="345">
        <v>23</v>
      </c>
      <c r="AC272" s="345">
        <v>1</v>
      </c>
      <c r="AD272" s="349">
        <v>19195</v>
      </c>
      <c r="AE272" s="349">
        <v>148</v>
      </c>
      <c r="AF272" s="349">
        <v>17</v>
      </c>
      <c r="AG272" s="349">
        <v>165</v>
      </c>
    </row>
    <row r="273" spans="1:33" x14ac:dyDescent="0.25">
      <c r="A273" s="344" t="s">
        <v>600</v>
      </c>
      <c r="B273" s="350" t="s">
        <v>601</v>
      </c>
      <c r="C273" s="346">
        <v>1560</v>
      </c>
      <c r="D273" s="346">
        <v>0</v>
      </c>
      <c r="E273" s="346">
        <v>120</v>
      </c>
      <c r="F273" s="346">
        <v>109</v>
      </c>
      <c r="G273" s="346">
        <v>200</v>
      </c>
      <c r="H273" s="346">
        <v>1989</v>
      </c>
      <c r="I273" s="345">
        <v>1789</v>
      </c>
      <c r="J273" s="345">
        <v>0</v>
      </c>
      <c r="K273" s="347">
        <v>87.22</v>
      </c>
      <c r="L273" s="347">
        <v>83.41</v>
      </c>
      <c r="M273" s="347">
        <v>5.55</v>
      </c>
      <c r="N273" s="347">
        <v>91.72</v>
      </c>
      <c r="O273" s="348">
        <v>1241</v>
      </c>
      <c r="P273" s="345">
        <v>81.7</v>
      </c>
      <c r="Q273" s="345">
        <v>80.34</v>
      </c>
      <c r="R273" s="345">
        <v>33.96</v>
      </c>
      <c r="S273" s="345">
        <v>115.66</v>
      </c>
      <c r="T273" s="345">
        <v>191</v>
      </c>
      <c r="U273" s="345">
        <v>109.71</v>
      </c>
      <c r="V273" s="345">
        <v>305</v>
      </c>
      <c r="W273" s="345">
        <v>0</v>
      </c>
      <c r="X273" s="345">
        <v>0</v>
      </c>
      <c r="Y273" s="345">
        <v>0</v>
      </c>
      <c r="Z273" s="345">
        <v>7</v>
      </c>
      <c r="AA273" s="345">
        <v>1</v>
      </c>
      <c r="AB273" s="345">
        <v>27</v>
      </c>
      <c r="AC273" s="345">
        <v>4</v>
      </c>
      <c r="AD273" s="349">
        <v>1560</v>
      </c>
      <c r="AE273" s="349">
        <v>23</v>
      </c>
      <c r="AF273" s="349">
        <v>2</v>
      </c>
      <c r="AG273" s="349">
        <v>25</v>
      </c>
    </row>
    <row r="274" spans="1:33" x14ac:dyDescent="0.25">
      <c r="A274" s="344" t="s">
        <v>602</v>
      </c>
      <c r="B274" s="350" t="s">
        <v>603</v>
      </c>
      <c r="C274" s="346">
        <v>1155</v>
      </c>
      <c r="D274" s="346">
        <v>0</v>
      </c>
      <c r="E274" s="346">
        <v>141</v>
      </c>
      <c r="F274" s="346">
        <v>75</v>
      </c>
      <c r="G274" s="346">
        <v>339</v>
      </c>
      <c r="H274" s="346">
        <v>1710</v>
      </c>
      <c r="I274" s="345">
        <v>1371</v>
      </c>
      <c r="J274" s="345">
        <v>0</v>
      </c>
      <c r="K274" s="347">
        <v>122.13</v>
      </c>
      <c r="L274" s="347">
        <v>119.36</v>
      </c>
      <c r="M274" s="347">
        <v>7.49</v>
      </c>
      <c r="N274" s="347">
        <v>129.22</v>
      </c>
      <c r="O274" s="348">
        <v>682</v>
      </c>
      <c r="P274" s="345">
        <v>134.87</v>
      </c>
      <c r="Q274" s="345">
        <v>98.1</v>
      </c>
      <c r="R274" s="345">
        <v>59.64</v>
      </c>
      <c r="S274" s="345">
        <v>194.51</v>
      </c>
      <c r="T274" s="345">
        <v>86</v>
      </c>
      <c r="U274" s="345">
        <v>181.63</v>
      </c>
      <c r="V274" s="345">
        <v>367</v>
      </c>
      <c r="W274" s="345">
        <v>110.77</v>
      </c>
      <c r="X274" s="345">
        <v>6</v>
      </c>
      <c r="Y274" s="345">
        <v>0</v>
      </c>
      <c r="Z274" s="345">
        <v>1</v>
      </c>
      <c r="AA274" s="345">
        <v>0</v>
      </c>
      <c r="AB274" s="345">
        <v>34</v>
      </c>
      <c r="AC274" s="345">
        <v>4</v>
      </c>
      <c r="AD274" s="349">
        <v>1108</v>
      </c>
      <c r="AE274" s="349">
        <v>12</v>
      </c>
      <c r="AF274" s="349">
        <v>1</v>
      </c>
      <c r="AG274" s="349">
        <v>13</v>
      </c>
    </row>
    <row r="275" spans="1:33" x14ac:dyDescent="0.25">
      <c r="A275" s="344" t="s">
        <v>604</v>
      </c>
      <c r="B275" s="350" t="s">
        <v>605</v>
      </c>
      <c r="C275" s="346">
        <v>4216</v>
      </c>
      <c r="D275" s="346">
        <v>0</v>
      </c>
      <c r="E275" s="346">
        <v>195</v>
      </c>
      <c r="F275" s="346">
        <v>1364</v>
      </c>
      <c r="G275" s="346">
        <v>640</v>
      </c>
      <c r="H275" s="346">
        <v>6415</v>
      </c>
      <c r="I275" s="345">
        <v>5775</v>
      </c>
      <c r="J275" s="345">
        <v>0</v>
      </c>
      <c r="K275" s="347">
        <v>85</v>
      </c>
      <c r="L275" s="347">
        <v>84.4</v>
      </c>
      <c r="M275" s="347">
        <v>3.84</v>
      </c>
      <c r="N275" s="347">
        <v>88.67</v>
      </c>
      <c r="O275" s="348">
        <v>3388</v>
      </c>
      <c r="P275" s="345">
        <v>81.58</v>
      </c>
      <c r="Q275" s="345">
        <v>78.52</v>
      </c>
      <c r="R275" s="345">
        <v>14.64</v>
      </c>
      <c r="S275" s="345">
        <v>96.02</v>
      </c>
      <c r="T275" s="345">
        <v>1264</v>
      </c>
      <c r="U275" s="345">
        <v>125.39</v>
      </c>
      <c r="V275" s="345">
        <v>742</v>
      </c>
      <c r="W275" s="345">
        <v>96.43</v>
      </c>
      <c r="X275" s="345">
        <v>10</v>
      </c>
      <c r="Y275" s="345">
        <v>0</v>
      </c>
      <c r="Z275" s="345">
        <v>10</v>
      </c>
      <c r="AA275" s="345">
        <v>0</v>
      </c>
      <c r="AB275" s="345">
        <v>8</v>
      </c>
      <c r="AC275" s="345">
        <v>11</v>
      </c>
      <c r="AD275" s="349">
        <v>4196</v>
      </c>
      <c r="AE275" s="349">
        <v>9</v>
      </c>
      <c r="AF275" s="349">
        <v>15</v>
      </c>
      <c r="AG275" s="349">
        <v>24</v>
      </c>
    </row>
    <row r="276" spans="1:33" x14ac:dyDescent="0.25">
      <c r="A276" s="344" t="s">
        <v>606</v>
      </c>
      <c r="B276" s="350" t="s">
        <v>607</v>
      </c>
      <c r="C276" s="346">
        <v>11291</v>
      </c>
      <c r="D276" s="346">
        <v>0</v>
      </c>
      <c r="E276" s="346">
        <v>428</v>
      </c>
      <c r="F276" s="346">
        <v>1946</v>
      </c>
      <c r="G276" s="346">
        <v>523</v>
      </c>
      <c r="H276" s="346">
        <v>14188</v>
      </c>
      <c r="I276" s="345">
        <v>13665</v>
      </c>
      <c r="J276" s="345">
        <v>63</v>
      </c>
      <c r="K276" s="347">
        <v>88.07</v>
      </c>
      <c r="L276" s="347">
        <v>87.7</v>
      </c>
      <c r="M276" s="347">
        <v>6.39</v>
      </c>
      <c r="N276" s="347">
        <v>90.66</v>
      </c>
      <c r="O276" s="348">
        <v>9846</v>
      </c>
      <c r="P276" s="345">
        <v>86.55</v>
      </c>
      <c r="Q276" s="345">
        <v>84.37</v>
      </c>
      <c r="R276" s="345">
        <v>43.82</v>
      </c>
      <c r="S276" s="345">
        <v>130.16999999999999</v>
      </c>
      <c r="T276" s="345">
        <v>1986</v>
      </c>
      <c r="U276" s="345">
        <v>111.59</v>
      </c>
      <c r="V276" s="345">
        <v>1123</v>
      </c>
      <c r="W276" s="345">
        <v>194.97</v>
      </c>
      <c r="X276" s="345">
        <v>253</v>
      </c>
      <c r="Y276" s="345">
        <v>0</v>
      </c>
      <c r="Z276" s="345">
        <v>63</v>
      </c>
      <c r="AA276" s="345">
        <v>78</v>
      </c>
      <c r="AB276" s="345">
        <v>40</v>
      </c>
      <c r="AC276" s="345">
        <v>9</v>
      </c>
      <c r="AD276" s="349">
        <v>11291</v>
      </c>
      <c r="AE276" s="349">
        <v>242</v>
      </c>
      <c r="AF276" s="349">
        <v>25</v>
      </c>
      <c r="AG276" s="349">
        <v>267</v>
      </c>
    </row>
    <row r="277" spans="1:33" x14ac:dyDescent="0.25">
      <c r="A277" s="344" t="s">
        <v>608</v>
      </c>
      <c r="B277" s="350" t="s">
        <v>609</v>
      </c>
      <c r="C277" s="346">
        <v>2145</v>
      </c>
      <c r="D277" s="346">
        <v>0</v>
      </c>
      <c r="E277" s="346">
        <v>243</v>
      </c>
      <c r="F277" s="346">
        <v>552</v>
      </c>
      <c r="G277" s="346">
        <v>118</v>
      </c>
      <c r="H277" s="346">
        <v>3058</v>
      </c>
      <c r="I277" s="345">
        <v>2940</v>
      </c>
      <c r="J277" s="345">
        <v>0</v>
      </c>
      <c r="K277" s="347">
        <v>98.96</v>
      </c>
      <c r="L277" s="347">
        <v>97.18</v>
      </c>
      <c r="M277" s="347">
        <v>15.8</v>
      </c>
      <c r="N277" s="347">
        <v>112.16</v>
      </c>
      <c r="O277" s="348">
        <v>1833</v>
      </c>
      <c r="P277" s="345">
        <v>90.26</v>
      </c>
      <c r="Q277" s="345">
        <v>85.35</v>
      </c>
      <c r="R277" s="345">
        <v>36.9</v>
      </c>
      <c r="S277" s="345">
        <v>125.16</v>
      </c>
      <c r="T277" s="345">
        <v>772</v>
      </c>
      <c r="U277" s="345">
        <v>121.88</v>
      </c>
      <c r="V277" s="345">
        <v>263</v>
      </c>
      <c r="W277" s="345">
        <v>0</v>
      </c>
      <c r="X277" s="345">
        <v>0</v>
      </c>
      <c r="Y277" s="345">
        <v>1</v>
      </c>
      <c r="Z277" s="345">
        <v>0</v>
      </c>
      <c r="AA277" s="345">
        <v>0</v>
      </c>
      <c r="AB277" s="345">
        <v>20</v>
      </c>
      <c r="AC277" s="345">
        <v>1</v>
      </c>
      <c r="AD277" s="349">
        <v>2145</v>
      </c>
      <c r="AE277" s="349">
        <v>52</v>
      </c>
      <c r="AF277" s="349">
        <v>7</v>
      </c>
      <c r="AG277" s="349">
        <v>59</v>
      </c>
    </row>
    <row r="278" spans="1:33" x14ac:dyDescent="0.25">
      <c r="A278" s="344" t="s">
        <v>610</v>
      </c>
      <c r="B278" s="350" t="s">
        <v>611</v>
      </c>
      <c r="C278" s="346">
        <v>7353</v>
      </c>
      <c r="D278" s="346">
        <v>0</v>
      </c>
      <c r="E278" s="346">
        <v>277</v>
      </c>
      <c r="F278" s="346">
        <v>416</v>
      </c>
      <c r="G278" s="346">
        <v>921</v>
      </c>
      <c r="H278" s="346">
        <v>8967</v>
      </c>
      <c r="I278" s="345">
        <v>8046</v>
      </c>
      <c r="J278" s="345">
        <v>14</v>
      </c>
      <c r="K278" s="347">
        <v>104.55</v>
      </c>
      <c r="L278" s="347">
        <v>103.13</v>
      </c>
      <c r="M278" s="347">
        <v>3.66</v>
      </c>
      <c r="N278" s="347">
        <v>107.42</v>
      </c>
      <c r="O278" s="348">
        <v>6102</v>
      </c>
      <c r="P278" s="345">
        <v>91.29</v>
      </c>
      <c r="Q278" s="345">
        <v>90.56</v>
      </c>
      <c r="R278" s="345">
        <v>33.369999999999997</v>
      </c>
      <c r="S278" s="345">
        <v>124.37</v>
      </c>
      <c r="T278" s="345">
        <v>560</v>
      </c>
      <c r="U278" s="345">
        <v>143.4</v>
      </c>
      <c r="V278" s="345">
        <v>897</v>
      </c>
      <c r="W278" s="345">
        <v>107.29</v>
      </c>
      <c r="X278" s="345">
        <v>1</v>
      </c>
      <c r="Y278" s="345">
        <v>0</v>
      </c>
      <c r="Z278" s="345">
        <v>8</v>
      </c>
      <c r="AA278" s="345">
        <v>21</v>
      </c>
      <c r="AB278" s="345">
        <v>117</v>
      </c>
      <c r="AC278" s="345">
        <v>16</v>
      </c>
      <c r="AD278" s="349">
        <v>7076</v>
      </c>
      <c r="AE278" s="349">
        <v>70</v>
      </c>
      <c r="AF278" s="349">
        <v>38</v>
      </c>
      <c r="AG278" s="349">
        <v>108</v>
      </c>
    </row>
    <row r="279" spans="1:33" x14ac:dyDescent="0.25">
      <c r="A279" s="344" t="s">
        <v>612</v>
      </c>
      <c r="B279" s="350" t="s">
        <v>613</v>
      </c>
      <c r="C279" s="346">
        <v>4600</v>
      </c>
      <c r="D279" s="346">
        <v>0</v>
      </c>
      <c r="E279" s="346">
        <v>75</v>
      </c>
      <c r="F279" s="346">
        <v>570</v>
      </c>
      <c r="G279" s="346">
        <v>826</v>
      </c>
      <c r="H279" s="346">
        <v>6071</v>
      </c>
      <c r="I279" s="345">
        <v>5245</v>
      </c>
      <c r="J279" s="345">
        <v>1</v>
      </c>
      <c r="K279" s="347">
        <v>94.02</v>
      </c>
      <c r="L279" s="347">
        <v>90.33</v>
      </c>
      <c r="M279" s="347">
        <v>5.0599999999999996</v>
      </c>
      <c r="N279" s="347">
        <v>96.74</v>
      </c>
      <c r="O279" s="348">
        <v>3861</v>
      </c>
      <c r="P279" s="345">
        <v>85.11</v>
      </c>
      <c r="Q279" s="345">
        <v>81.92</v>
      </c>
      <c r="R279" s="345">
        <v>40.4</v>
      </c>
      <c r="S279" s="345">
        <v>125.45</v>
      </c>
      <c r="T279" s="345">
        <v>616</v>
      </c>
      <c r="U279" s="345">
        <v>130.94</v>
      </c>
      <c r="V279" s="345">
        <v>729</v>
      </c>
      <c r="W279" s="345">
        <v>121.99</v>
      </c>
      <c r="X279" s="345">
        <v>17</v>
      </c>
      <c r="Y279" s="345">
        <v>0</v>
      </c>
      <c r="Z279" s="345">
        <v>4</v>
      </c>
      <c r="AA279" s="345">
        <v>0</v>
      </c>
      <c r="AB279" s="345">
        <v>45</v>
      </c>
      <c r="AC279" s="345">
        <v>19</v>
      </c>
      <c r="AD279" s="349">
        <v>4594</v>
      </c>
      <c r="AE279" s="349">
        <v>39</v>
      </c>
      <c r="AF279" s="349">
        <v>31</v>
      </c>
      <c r="AG279" s="349">
        <v>70</v>
      </c>
    </row>
    <row r="280" spans="1:33" x14ac:dyDescent="0.25">
      <c r="A280" s="344" t="s">
        <v>614</v>
      </c>
      <c r="B280" s="350" t="s">
        <v>615</v>
      </c>
      <c r="C280" s="346">
        <v>3896</v>
      </c>
      <c r="D280" s="346">
        <v>0</v>
      </c>
      <c r="E280" s="346">
        <v>116</v>
      </c>
      <c r="F280" s="346">
        <v>678</v>
      </c>
      <c r="G280" s="346">
        <v>151</v>
      </c>
      <c r="H280" s="346">
        <v>4841</v>
      </c>
      <c r="I280" s="345">
        <v>4690</v>
      </c>
      <c r="J280" s="345">
        <v>14</v>
      </c>
      <c r="K280" s="347">
        <v>90.29</v>
      </c>
      <c r="L280" s="347">
        <v>89.58</v>
      </c>
      <c r="M280" s="347">
        <v>8.23</v>
      </c>
      <c r="N280" s="347">
        <v>96.26</v>
      </c>
      <c r="O280" s="348">
        <v>3568</v>
      </c>
      <c r="P280" s="345">
        <v>95.27</v>
      </c>
      <c r="Q280" s="345">
        <v>82.5</v>
      </c>
      <c r="R280" s="345">
        <v>46</v>
      </c>
      <c r="S280" s="345">
        <v>141.19999999999999</v>
      </c>
      <c r="T280" s="345">
        <v>770</v>
      </c>
      <c r="U280" s="345">
        <v>115.15</v>
      </c>
      <c r="V280" s="345">
        <v>306</v>
      </c>
      <c r="W280" s="345">
        <v>0</v>
      </c>
      <c r="X280" s="345">
        <v>0</v>
      </c>
      <c r="Y280" s="345">
        <v>0</v>
      </c>
      <c r="Z280" s="345">
        <v>1</v>
      </c>
      <c r="AA280" s="345">
        <v>49</v>
      </c>
      <c r="AB280" s="345">
        <v>17</v>
      </c>
      <c r="AC280" s="345">
        <v>3</v>
      </c>
      <c r="AD280" s="349">
        <v>3896</v>
      </c>
      <c r="AE280" s="349">
        <v>26</v>
      </c>
      <c r="AF280" s="349">
        <v>38</v>
      </c>
      <c r="AG280" s="349">
        <v>64</v>
      </c>
    </row>
    <row r="281" spans="1:33" x14ac:dyDescent="0.25">
      <c r="A281" s="344" t="s">
        <v>616</v>
      </c>
      <c r="B281" s="350" t="s">
        <v>617</v>
      </c>
      <c r="C281" s="346">
        <v>4666</v>
      </c>
      <c r="D281" s="346">
        <v>22</v>
      </c>
      <c r="E281" s="346">
        <v>52</v>
      </c>
      <c r="F281" s="346">
        <v>885</v>
      </c>
      <c r="G281" s="346">
        <v>214</v>
      </c>
      <c r="H281" s="346">
        <v>5839</v>
      </c>
      <c r="I281" s="345">
        <v>5625</v>
      </c>
      <c r="J281" s="345">
        <v>12</v>
      </c>
      <c r="K281" s="347">
        <v>117.57</v>
      </c>
      <c r="L281" s="347">
        <v>117.91</v>
      </c>
      <c r="M281" s="347">
        <v>6.74</v>
      </c>
      <c r="N281" s="347">
        <v>120.63</v>
      </c>
      <c r="O281" s="348">
        <v>4387</v>
      </c>
      <c r="P281" s="345">
        <v>97.93</v>
      </c>
      <c r="Q281" s="345">
        <v>97.67</v>
      </c>
      <c r="R281" s="345">
        <v>21.76</v>
      </c>
      <c r="S281" s="345">
        <v>117.75</v>
      </c>
      <c r="T281" s="345">
        <v>898</v>
      </c>
      <c r="U281" s="345">
        <v>161.72999999999999</v>
      </c>
      <c r="V281" s="345">
        <v>183</v>
      </c>
      <c r="W281" s="345">
        <v>0</v>
      </c>
      <c r="X281" s="345">
        <v>0</v>
      </c>
      <c r="Y281" s="345">
        <v>0</v>
      </c>
      <c r="Z281" s="345">
        <v>8</v>
      </c>
      <c r="AA281" s="345">
        <v>0</v>
      </c>
      <c r="AB281" s="345">
        <v>14</v>
      </c>
      <c r="AC281" s="345">
        <v>4</v>
      </c>
      <c r="AD281" s="349">
        <v>4656</v>
      </c>
      <c r="AE281" s="349">
        <v>49</v>
      </c>
      <c r="AF281" s="349">
        <v>34</v>
      </c>
      <c r="AG281" s="349">
        <v>83</v>
      </c>
    </row>
    <row r="282" spans="1:33" x14ac:dyDescent="0.25">
      <c r="A282" s="344" t="s">
        <v>618</v>
      </c>
      <c r="B282" s="350" t="s">
        <v>619</v>
      </c>
      <c r="C282" s="346">
        <v>1864</v>
      </c>
      <c r="D282" s="346">
        <v>0</v>
      </c>
      <c r="E282" s="346">
        <v>134</v>
      </c>
      <c r="F282" s="346">
        <v>93</v>
      </c>
      <c r="G282" s="346">
        <v>335</v>
      </c>
      <c r="H282" s="346">
        <v>2426</v>
      </c>
      <c r="I282" s="345">
        <v>2091</v>
      </c>
      <c r="J282" s="345">
        <v>21</v>
      </c>
      <c r="K282" s="347">
        <v>105.95</v>
      </c>
      <c r="L282" s="347">
        <v>102.97</v>
      </c>
      <c r="M282" s="347">
        <v>7.72</v>
      </c>
      <c r="N282" s="347">
        <v>110.95</v>
      </c>
      <c r="O282" s="348">
        <v>1275</v>
      </c>
      <c r="P282" s="345">
        <v>108.19</v>
      </c>
      <c r="Q282" s="345">
        <v>107.38</v>
      </c>
      <c r="R282" s="345">
        <v>84.32</v>
      </c>
      <c r="S282" s="345">
        <v>189.86</v>
      </c>
      <c r="T282" s="345">
        <v>191</v>
      </c>
      <c r="U282" s="345">
        <v>155.30000000000001</v>
      </c>
      <c r="V282" s="345">
        <v>517</v>
      </c>
      <c r="W282" s="345">
        <v>0</v>
      </c>
      <c r="X282" s="345">
        <v>0</v>
      </c>
      <c r="Y282" s="345">
        <v>0</v>
      </c>
      <c r="Z282" s="345">
        <v>1</v>
      </c>
      <c r="AA282" s="345">
        <v>11</v>
      </c>
      <c r="AB282" s="345">
        <v>3</v>
      </c>
      <c r="AC282" s="345">
        <v>9</v>
      </c>
      <c r="AD282" s="349">
        <v>1841</v>
      </c>
      <c r="AE282" s="349">
        <v>18</v>
      </c>
      <c r="AF282" s="349">
        <v>3</v>
      </c>
      <c r="AG282" s="349">
        <v>21</v>
      </c>
    </row>
    <row r="283" spans="1:33" x14ac:dyDescent="0.25">
      <c r="A283" s="344" t="s">
        <v>620</v>
      </c>
      <c r="B283" s="350" t="s">
        <v>621</v>
      </c>
      <c r="C283" s="346">
        <v>7696</v>
      </c>
      <c r="D283" s="346">
        <v>1</v>
      </c>
      <c r="E283" s="346">
        <v>134</v>
      </c>
      <c r="F283" s="346">
        <v>604</v>
      </c>
      <c r="G283" s="346">
        <v>1070</v>
      </c>
      <c r="H283" s="346">
        <v>9505</v>
      </c>
      <c r="I283" s="345">
        <v>8435</v>
      </c>
      <c r="J283" s="345">
        <v>89</v>
      </c>
      <c r="K283" s="347">
        <v>112.11</v>
      </c>
      <c r="L283" s="347">
        <v>111.92</v>
      </c>
      <c r="M283" s="347">
        <v>6.93</v>
      </c>
      <c r="N283" s="347">
        <v>113.21</v>
      </c>
      <c r="O283" s="348">
        <v>6467</v>
      </c>
      <c r="P283" s="345">
        <v>95.36</v>
      </c>
      <c r="Q283" s="345">
        <v>97.16</v>
      </c>
      <c r="R283" s="345">
        <v>37.39</v>
      </c>
      <c r="S283" s="345">
        <v>127.15</v>
      </c>
      <c r="T283" s="345">
        <v>555</v>
      </c>
      <c r="U283" s="345">
        <v>143.6</v>
      </c>
      <c r="V283" s="345">
        <v>1146</v>
      </c>
      <c r="W283" s="345">
        <v>241.42</v>
      </c>
      <c r="X283" s="345">
        <v>109</v>
      </c>
      <c r="Y283" s="345">
        <v>0</v>
      </c>
      <c r="Z283" s="345">
        <v>1</v>
      </c>
      <c r="AA283" s="345">
        <v>2</v>
      </c>
      <c r="AB283" s="345">
        <v>47</v>
      </c>
      <c r="AC283" s="345">
        <v>13</v>
      </c>
      <c r="AD283" s="349">
        <v>7676</v>
      </c>
      <c r="AE283" s="349">
        <v>62</v>
      </c>
      <c r="AF283" s="349">
        <v>35</v>
      </c>
      <c r="AG283" s="349">
        <v>97</v>
      </c>
    </row>
    <row r="284" spans="1:33" x14ac:dyDescent="0.25">
      <c r="A284" s="344" t="s">
        <v>622</v>
      </c>
      <c r="B284" s="350" t="s">
        <v>623</v>
      </c>
      <c r="C284" s="346">
        <v>4219</v>
      </c>
      <c r="D284" s="346">
        <v>11</v>
      </c>
      <c r="E284" s="346">
        <v>278</v>
      </c>
      <c r="F284" s="346">
        <v>910</v>
      </c>
      <c r="G284" s="346">
        <v>556</v>
      </c>
      <c r="H284" s="346">
        <v>5974</v>
      </c>
      <c r="I284" s="345">
        <v>5418</v>
      </c>
      <c r="J284" s="345">
        <v>3</v>
      </c>
      <c r="K284" s="347">
        <v>88.92</v>
      </c>
      <c r="L284" s="347">
        <v>85.53</v>
      </c>
      <c r="M284" s="347">
        <v>5.62</v>
      </c>
      <c r="N284" s="347">
        <v>93.81</v>
      </c>
      <c r="O284" s="348">
        <v>3690</v>
      </c>
      <c r="P284" s="345">
        <v>86.22</v>
      </c>
      <c r="Q284" s="345">
        <v>79.3</v>
      </c>
      <c r="R284" s="345">
        <v>37.22</v>
      </c>
      <c r="S284" s="345">
        <v>121.73</v>
      </c>
      <c r="T284" s="345">
        <v>936</v>
      </c>
      <c r="U284" s="345">
        <v>116.34</v>
      </c>
      <c r="V284" s="345">
        <v>465</v>
      </c>
      <c r="W284" s="345">
        <v>192.49</v>
      </c>
      <c r="X284" s="345">
        <v>2</v>
      </c>
      <c r="Y284" s="345">
        <v>0</v>
      </c>
      <c r="Z284" s="345">
        <v>5</v>
      </c>
      <c r="AA284" s="345">
        <v>1</v>
      </c>
      <c r="AB284" s="345">
        <v>4</v>
      </c>
      <c r="AC284" s="345">
        <v>13</v>
      </c>
      <c r="AD284" s="349">
        <v>4180</v>
      </c>
      <c r="AE284" s="349">
        <v>20</v>
      </c>
      <c r="AF284" s="349">
        <v>19</v>
      </c>
      <c r="AG284" s="349">
        <v>39</v>
      </c>
    </row>
    <row r="285" spans="1:33" x14ac:dyDescent="0.25">
      <c r="A285" s="344" t="s">
        <v>624</v>
      </c>
      <c r="B285" s="350" t="s">
        <v>625</v>
      </c>
      <c r="C285" s="346">
        <v>2394</v>
      </c>
      <c r="D285" s="346">
        <v>0</v>
      </c>
      <c r="E285" s="346">
        <v>35</v>
      </c>
      <c r="F285" s="346">
        <v>386</v>
      </c>
      <c r="G285" s="346">
        <v>206</v>
      </c>
      <c r="H285" s="346">
        <v>3021</v>
      </c>
      <c r="I285" s="345">
        <v>2815</v>
      </c>
      <c r="J285" s="345">
        <v>10</v>
      </c>
      <c r="K285" s="347">
        <v>81.97</v>
      </c>
      <c r="L285" s="347">
        <v>80.739999999999995</v>
      </c>
      <c r="M285" s="347">
        <v>3.1</v>
      </c>
      <c r="N285" s="347">
        <v>83.77</v>
      </c>
      <c r="O285" s="348">
        <v>2274</v>
      </c>
      <c r="P285" s="345">
        <v>70.540000000000006</v>
      </c>
      <c r="Q285" s="345">
        <v>67.63</v>
      </c>
      <c r="R285" s="345">
        <v>31.3</v>
      </c>
      <c r="S285" s="345">
        <v>96.83</v>
      </c>
      <c r="T285" s="345">
        <v>343</v>
      </c>
      <c r="U285" s="345">
        <v>104.93</v>
      </c>
      <c r="V285" s="345">
        <v>120</v>
      </c>
      <c r="W285" s="345">
        <v>188.99</v>
      </c>
      <c r="X285" s="345">
        <v>41</v>
      </c>
      <c r="Y285" s="345">
        <v>0</v>
      </c>
      <c r="Z285" s="345">
        <v>6</v>
      </c>
      <c r="AA285" s="345">
        <v>1</v>
      </c>
      <c r="AB285" s="345">
        <v>6</v>
      </c>
      <c r="AC285" s="345">
        <v>3</v>
      </c>
      <c r="AD285" s="349">
        <v>2382</v>
      </c>
      <c r="AE285" s="349">
        <v>15</v>
      </c>
      <c r="AF285" s="349">
        <v>0</v>
      </c>
      <c r="AG285" s="349">
        <v>15</v>
      </c>
    </row>
    <row r="286" spans="1:33" x14ac:dyDescent="0.25">
      <c r="A286" s="344" t="s">
        <v>626</v>
      </c>
      <c r="B286" s="350" t="s">
        <v>627</v>
      </c>
      <c r="C286" s="346">
        <v>30054</v>
      </c>
      <c r="D286" s="346">
        <v>120</v>
      </c>
      <c r="E286" s="346">
        <v>1435</v>
      </c>
      <c r="F286" s="346">
        <v>812</v>
      </c>
      <c r="G286" s="346">
        <v>3112</v>
      </c>
      <c r="H286" s="346">
        <v>35533</v>
      </c>
      <c r="I286" s="345">
        <v>32421</v>
      </c>
      <c r="J286" s="345">
        <v>59</v>
      </c>
      <c r="K286" s="347">
        <v>123.84</v>
      </c>
      <c r="L286" s="347">
        <v>126.8</v>
      </c>
      <c r="M286" s="347">
        <v>15.89</v>
      </c>
      <c r="N286" s="347">
        <v>138.27000000000001</v>
      </c>
      <c r="O286" s="348">
        <v>25661</v>
      </c>
      <c r="P286" s="345">
        <v>110.35</v>
      </c>
      <c r="Q286" s="345">
        <v>108.94</v>
      </c>
      <c r="R286" s="345">
        <v>63.1</v>
      </c>
      <c r="S286" s="345">
        <v>170.54</v>
      </c>
      <c r="T286" s="345">
        <v>1801</v>
      </c>
      <c r="U286" s="345">
        <v>209.05</v>
      </c>
      <c r="V286" s="345">
        <v>2779</v>
      </c>
      <c r="W286" s="345">
        <v>224.5</v>
      </c>
      <c r="X286" s="345">
        <v>154</v>
      </c>
      <c r="Y286" s="345">
        <v>1</v>
      </c>
      <c r="Z286" s="345">
        <v>14</v>
      </c>
      <c r="AA286" s="345">
        <v>62</v>
      </c>
      <c r="AB286" s="345">
        <v>193</v>
      </c>
      <c r="AC286" s="345">
        <v>93</v>
      </c>
      <c r="AD286" s="349">
        <v>28738</v>
      </c>
      <c r="AE286" s="349">
        <v>246</v>
      </c>
      <c r="AF286" s="349">
        <v>201</v>
      </c>
      <c r="AG286" s="349">
        <v>447</v>
      </c>
    </row>
    <row r="287" spans="1:33" x14ac:dyDescent="0.25">
      <c r="A287" s="344" t="s">
        <v>628</v>
      </c>
      <c r="B287" s="350" t="s">
        <v>629</v>
      </c>
      <c r="C287" s="346">
        <v>11801</v>
      </c>
      <c r="D287" s="346">
        <v>0</v>
      </c>
      <c r="E287" s="346">
        <v>487</v>
      </c>
      <c r="F287" s="346">
        <v>3252</v>
      </c>
      <c r="G287" s="346">
        <v>452</v>
      </c>
      <c r="H287" s="346">
        <v>15992</v>
      </c>
      <c r="I287" s="345">
        <v>15540</v>
      </c>
      <c r="J287" s="345">
        <v>13</v>
      </c>
      <c r="K287" s="347">
        <v>86.59</v>
      </c>
      <c r="L287" s="347">
        <v>87.12</v>
      </c>
      <c r="M287" s="347">
        <v>5.09</v>
      </c>
      <c r="N287" s="347">
        <v>90.38</v>
      </c>
      <c r="O287" s="348">
        <v>9836</v>
      </c>
      <c r="P287" s="345">
        <v>87.85</v>
      </c>
      <c r="Q287" s="345">
        <v>85.13</v>
      </c>
      <c r="R287" s="345">
        <v>26.03</v>
      </c>
      <c r="S287" s="345">
        <v>113.73</v>
      </c>
      <c r="T287" s="345">
        <v>3529</v>
      </c>
      <c r="U287" s="345">
        <v>119.1</v>
      </c>
      <c r="V287" s="345">
        <v>1891</v>
      </c>
      <c r="W287" s="345">
        <v>168.2</v>
      </c>
      <c r="X287" s="345">
        <v>146</v>
      </c>
      <c r="Y287" s="345">
        <v>1</v>
      </c>
      <c r="Z287" s="345">
        <v>61</v>
      </c>
      <c r="AA287" s="345">
        <v>2</v>
      </c>
      <c r="AB287" s="345">
        <v>10</v>
      </c>
      <c r="AC287" s="345">
        <v>17</v>
      </c>
      <c r="AD287" s="349">
        <v>11779</v>
      </c>
      <c r="AE287" s="349">
        <v>53</v>
      </c>
      <c r="AF287" s="349">
        <v>74</v>
      </c>
      <c r="AG287" s="349">
        <v>127</v>
      </c>
    </row>
    <row r="288" spans="1:33" x14ac:dyDescent="0.25">
      <c r="A288" s="344" t="s">
        <v>630</v>
      </c>
      <c r="B288" s="350" t="s">
        <v>631</v>
      </c>
      <c r="C288" s="346">
        <v>6260</v>
      </c>
      <c r="D288" s="346">
        <v>0</v>
      </c>
      <c r="E288" s="346">
        <v>181</v>
      </c>
      <c r="F288" s="346">
        <v>791</v>
      </c>
      <c r="G288" s="346">
        <v>487</v>
      </c>
      <c r="H288" s="346">
        <v>7719</v>
      </c>
      <c r="I288" s="345">
        <v>7232</v>
      </c>
      <c r="J288" s="345">
        <v>3</v>
      </c>
      <c r="K288" s="347">
        <v>108.77</v>
      </c>
      <c r="L288" s="347">
        <v>104.16</v>
      </c>
      <c r="M288" s="347">
        <v>4.01</v>
      </c>
      <c r="N288" s="347">
        <v>112.16</v>
      </c>
      <c r="O288" s="348">
        <v>5466</v>
      </c>
      <c r="P288" s="345">
        <v>100.22</v>
      </c>
      <c r="Q288" s="345">
        <v>90.1</v>
      </c>
      <c r="R288" s="345">
        <v>38.47</v>
      </c>
      <c r="S288" s="345">
        <v>137.13999999999999</v>
      </c>
      <c r="T288" s="345">
        <v>693</v>
      </c>
      <c r="U288" s="345">
        <v>154.27000000000001</v>
      </c>
      <c r="V288" s="345">
        <v>596</v>
      </c>
      <c r="W288" s="345">
        <v>129.54</v>
      </c>
      <c r="X288" s="345">
        <v>124</v>
      </c>
      <c r="Y288" s="345">
        <v>139</v>
      </c>
      <c r="Z288" s="345">
        <v>1</v>
      </c>
      <c r="AA288" s="345">
        <v>25</v>
      </c>
      <c r="AB288" s="345">
        <v>27</v>
      </c>
      <c r="AC288" s="345">
        <v>11</v>
      </c>
      <c r="AD288" s="349">
        <v>6105</v>
      </c>
      <c r="AE288" s="349">
        <v>33</v>
      </c>
      <c r="AF288" s="349">
        <v>61</v>
      </c>
      <c r="AG288" s="349">
        <v>94</v>
      </c>
    </row>
    <row r="289" spans="1:33" x14ac:dyDescent="0.25">
      <c r="A289" s="344" t="s">
        <v>632</v>
      </c>
      <c r="B289" s="350" t="s">
        <v>633</v>
      </c>
      <c r="C289" s="346">
        <v>1863</v>
      </c>
      <c r="D289" s="346">
        <v>0</v>
      </c>
      <c r="E289" s="346">
        <v>79</v>
      </c>
      <c r="F289" s="346">
        <v>187</v>
      </c>
      <c r="G289" s="346">
        <v>577</v>
      </c>
      <c r="H289" s="346">
        <v>2706</v>
      </c>
      <c r="I289" s="345">
        <v>2129</v>
      </c>
      <c r="J289" s="345">
        <v>0</v>
      </c>
      <c r="K289" s="347">
        <v>106.66</v>
      </c>
      <c r="L289" s="347">
        <v>104.7</v>
      </c>
      <c r="M289" s="347">
        <v>7.28</v>
      </c>
      <c r="N289" s="347">
        <v>111.71</v>
      </c>
      <c r="O289" s="348">
        <v>998</v>
      </c>
      <c r="P289" s="345">
        <v>100.48</v>
      </c>
      <c r="Q289" s="345">
        <v>95.51</v>
      </c>
      <c r="R289" s="345">
        <v>59.1</v>
      </c>
      <c r="S289" s="345">
        <v>157.97999999999999</v>
      </c>
      <c r="T289" s="345">
        <v>258</v>
      </c>
      <c r="U289" s="345">
        <v>156.88999999999999</v>
      </c>
      <c r="V289" s="345">
        <v>845</v>
      </c>
      <c r="W289" s="345">
        <v>151.26</v>
      </c>
      <c r="X289" s="345">
        <v>6</v>
      </c>
      <c r="Y289" s="345">
        <v>108</v>
      </c>
      <c r="Z289" s="345">
        <v>0</v>
      </c>
      <c r="AA289" s="345">
        <v>1</v>
      </c>
      <c r="AB289" s="345">
        <v>74</v>
      </c>
      <c r="AC289" s="345">
        <v>9</v>
      </c>
      <c r="AD289" s="349">
        <v>1862</v>
      </c>
      <c r="AE289" s="349">
        <v>15</v>
      </c>
      <c r="AF289" s="349">
        <v>5</v>
      </c>
      <c r="AG289" s="349">
        <v>20</v>
      </c>
    </row>
    <row r="290" spans="1:33" x14ac:dyDescent="0.25">
      <c r="A290" s="344" t="s">
        <v>634</v>
      </c>
      <c r="B290" s="350" t="s">
        <v>635</v>
      </c>
      <c r="C290" s="346">
        <v>7275</v>
      </c>
      <c r="D290" s="346">
        <v>0</v>
      </c>
      <c r="E290" s="346">
        <v>208</v>
      </c>
      <c r="F290" s="346">
        <v>462</v>
      </c>
      <c r="G290" s="346">
        <v>836</v>
      </c>
      <c r="H290" s="346">
        <v>8781</v>
      </c>
      <c r="I290" s="345">
        <v>7945</v>
      </c>
      <c r="J290" s="345">
        <v>1</v>
      </c>
      <c r="K290" s="347">
        <v>105.64</v>
      </c>
      <c r="L290" s="347">
        <v>106.37</v>
      </c>
      <c r="M290" s="347">
        <v>5.7</v>
      </c>
      <c r="N290" s="347">
        <v>106.67</v>
      </c>
      <c r="O290" s="348">
        <v>5480</v>
      </c>
      <c r="P290" s="345">
        <v>97.95</v>
      </c>
      <c r="Q290" s="345">
        <v>96.95</v>
      </c>
      <c r="R290" s="345">
        <v>29.95</v>
      </c>
      <c r="S290" s="345">
        <v>124.45</v>
      </c>
      <c r="T290" s="345">
        <v>608</v>
      </c>
      <c r="U290" s="345">
        <v>165.71</v>
      </c>
      <c r="V290" s="345">
        <v>1727</v>
      </c>
      <c r="W290" s="345">
        <v>182.17</v>
      </c>
      <c r="X290" s="345">
        <v>27</v>
      </c>
      <c r="Y290" s="345">
        <v>0</v>
      </c>
      <c r="Z290" s="345">
        <v>3</v>
      </c>
      <c r="AA290" s="345">
        <v>1</v>
      </c>
      <c r="AB290" s="345">
        <v>66</v>
      </c>
      <c r="AC290" s="345">
        <v>14</v>
      </c>
      <c r="AD290" s="349">
        <v>7217</v>
      </c>
      <c r="AE290" s="349">
        <v>90</v>
      </c>
      <c r="AF290" s="349">
        <v>7</v>
      </c>
      <c r="AG290" s="349">
        <v>97</v>
      </c>
    </row>
    <row r="291" spans="1:33" x14ac:dyDescent="0.25">
      <c r="A291" s="344" t="s">
        <v>636</v>
      </c>
      <c r="B291" s="350" t="s">
        <v>637</v>
      </c>
      <c r="C291" s="346">
        <v>32506</v>
      </c>
      <c r="D291" s="346">
        <v>0</v>
      </c>
      <c r="E291" s="346">
        <v>2216</v>
      </c>
      <c r="F291" s="346">
        <v>654</v>
      </c>
      <c r="G291" s="346">
        <v>909</v>
      </c>
      <c r="H291" s="346">
        <v>36285</v>
      </c>
      <c r="I291" s="345">
        <v>35376</v>
      </c>
      <c r="J291" s="345">
        <v>2</v>
      </c>
      <c r="K291" s="347">
        <v>81.400000000000006</v>
      </c>
      <c r="L291" s="347">
        <v>81.8</v>
      </c>
      <c r="M291" s="347">
        <v>5.61</v>
      </c>
      <c r="N291" s="347">
        <v>82.14</v>
      </c>
      <c r="O291" s="348">
        <v>29851</v>
      </c>
      <c r="P291" s="345">
        <v>79.88</v>
      </c>
      <c r="Q291" s="345">
        <v>77.459999999999994</v>
      </c>
      <c r="R291" s="345">
        <v>39.11</v>
      </c>
      <c r="S291" s="345">
        <v>118.31</v>
      </c>
      <c r="T291" s="345">
        <v>2599</v>
      </c>
      <c r="U291" s="345">
        <v>96.46</v>
      </c>
      <c r="V291" s="345">
        <v>2325</v>
      </c>
      <c r="W291" s="345">
        <v>148.19</v>
      </c>
      <c r="X291" s="345">
        <v>28</v>
      </c>
      <c r="Y291" s="345">
        <v>0</v>
      </c>
      <c r="Z291" s="345">
        <v>191</v>
      </c>
      <c r="AA291" s="345">
        <v>8</v>
      </c>
      <c r="AB291" s="345">
        <v>122</v>
      </c>
      <c r="AC291" s="345">
        <v>20</v>
      </c>
      <c r="AD291" s="349">
        <v>32489</v>
      </c>
      <c r="AE291" s="349">
        <v>209</v>
      </c>
      <c r="AF291" s="349">
        <v>225</v>
      </c>
      <c r="AG291" s="349">
        <v>434</v>
      </c>
    </row>
    <row r="292" spans="1:33" x14ac:dyDescent="0.25">
      <c r="A292" s="344" t="s">
        <v>638</v>
      </c>
      <c r="B292" s="350" t="s">
        <v>639</v>
      </c>
      <c r="C292" s="346">
        <v>26586</v>
      </c>
      <c r="D292" s="346">
        <v>12</v>
      </c>
      <c r="E292" s="346">
        <v>498</v>
      </c>
      <c r="F292" s="346">
        <v>792</v>
      </c>
      <c r="G292" s="346">
        <v>501</v>
      </c>
      <c r="H292" s="346">
        <v>28389</v>
      </c>
      <c r="I292" s="345">
        <v>27888</v>
      </c>
      <c r="J292" s="345">
        <v>11</v>
      </c>
      <c r="K292" s="347">
        <v>83.98</v>
      </c>
      <c r="L292" s="347">
        <v>84.01</v>
      </c>
      <c r="M292" s="347">
        <v>9.8699999999999992</v>
      </c>
      <c r="N292" s="347">
        <v>88.98</v>
      </c>
      <c r="O292" s="348">
        <v>24171</v>
      </c>
      <c r="P292" s="345">
        <v>101.95</v>
      </c>
      <c r="Q292" s="345">
        <v>92.89</v>
      </c>
      <c r="R292" s="345">
        <v>44.5</v>
      </c>
      <c r="S292" s="345">
        <v>143.4</v>
      </c>
      <c r="T292" s="345">
        <v>1037</v>
      </c>
      <c r="U292" s="345">
        <v>108.16</v>
      </c>
      <c r="V292" s="345">
        <v>2180</v>
      </c>
      <c r="W292" s="345">
        <v>142.34</v>
      </c>
      <c r="X292" s="345">
        <v>193</v>
      </c>
      <c r="Y292" s="345">
        <v>0</v>
      </c>
      <c r="Z292" s="345">
        <v>187</v>
      </c>
      <c r="AA292" s="345">
        <v>11</v>
      </c>
      <c r="AB292" s="345">
        <v>3</v>
      </c>
      <c r="AC292" s="345">
        <v>17</v>
      </c>
      <c r="AD292" s="349">
        <v>26529</v>
      </c>
      <c r="AE292" s="349">
        <v>171</v>
      </c>
      <c r="AF292" s="349">
        <v>60</v>
      </c>
      <c r="AG292" s="349">
        <v>231</v>
      </c>
    </row>
    <row r="293" spans="1:33" x14ac:dyDescent="0.25">
      <c r="A293" s="344" t="s">
        <v>640</v>
      </c>
      <c r="B293" s="350" t="s">
        <v>641</v>
      </c>
      <c r="C293" s="346">
        <v>10727</v>
      </c>
      <c r="D293" s="346">
        <v>2</v>
      </c>
      <c r="E293" s="346">
        <v>911</v>
      </c>
      <c r="F293" s="346">
        <v>861</v>
      </c>
      <c r="G293" s="346">
        <v>1473</v>
      </c>
      <c r="H293" s="346">
        <v>13974</v>
      </c>
      <c r="I293" s="345">
        <v>12501</v>
      </c>
      <c r="J293" s="345">
        <v>23</v>
      </c>
      <c r="K293" s="347">
        <v>117.35</v>
      </c>
      <c r="L293" s="347">
        <v>113.76</v>
      </c>
      <c r="M293" s="347">
        <v>11.16</v>
      </c>
      <c r="N293" s="347">
        <v>122.91</v>
      </c>
      <c r="O293" s="348">
        <v>8816</v>
      </c>
      <c r="P293" s="345">
        <v>100.61</v>
      </c>
      <c r="Q293" s="345">
        <v>94.68</v>
      </c>
      <c r="R293" s="345">
        <v>37.590000000000003</v>
      </c>
      <c r="S293" s="345">
        <v>136.13</v>
      </c>
      <c r="T293" s="345">
        <v>1196</v>
      </c>
      <c r="U293" s="345">
        <v>176.35</v>
      </c>
      <c r="V293" s="345">
        <v>1408</v>
      </c>
      <c r="W293" s="345">
        <v>225.01</v>
      </c>
      <c r="X293" s="345">
        <v>72</v>
      </c>
      <c r="Y293" s="345">
        <v>0</v>
      </c>
      <c r="Z293" s="345">
        <v>5</v>
      </c>
      <c r="AA293" s="345">
        <v>25</v>
      </c>
      <c r="AB293" s="345">
        <v>78</v>
      </c>
      <c r="AC293" s="345">
        <v>41</v>
      </c>
      <c r="AD293" s="349">
        <v>10343</v>
      </c>
      <c r="AE293" s="349">
        <v>69</v>
      </c>
      <c r="AF293" s="349">
        <v>33</v>
      </c>
      <c r="AG293" s="349">
        <v>102</v>
      </c>
    </row>
    <row r="294" spans="1:33" x14ac:dyDescent="0.25">
      <c r="A294" s="344" t="s">
        <v>642</v>
      </c>
      <c r="B294" s="350" t="s">
        <v>643</v>
      </c>
      <c r="C294" s="346">
        <v>8864</v>
      </c>
      <c r="D294" s="346">
        <v>27</v>
      </c>
      <c r="E294" s="346">
        <v>1078</v>
      </c>
      <c r="F294" s="346">
        <v>1002</v>
      </c>
      <c r="G294" s="346">
        <v>2460</v>
      </c>
      <c r="H294" s="346">
        <v>13431</v>
      </c>
      <c r="I294" s="345">
        <v>10971</v>
      </c>
      <c r="J294" s="345">
        <v>290</v>
      </c>
      <c r="K294" s="347">
        <v>127.91</v>
      </c>
      <c r="L294" s="347">
        <v>134.31</v>
      </c>
      <c r="M294" s="347">
        <v>9.56</v>
      </c>
      <c r="N294" s="347">
        <v>133.11000000000001</v>
      </c>
      <c r="O294" s="348">
        <v>7476</v>
      </c>
      <c r="P294" s="345">
        <v>117.96</v>
      </c>
      <c r="Q294" s="345">
        <v>117.14</v>
      </c>
      <c r="R294" s="345">
        <v>36</v>
      </c>
      <c r="S294" s="345">
        <v>147.66999999999999</v>
      </c>
      <c r="T294" s="345">
        <v>1884</v>
      </c>
      <c r="U294" s="345">
        <v>204.6</v>
      </c>
      <c r="V294" s="345">
        <v>841</v>
      </c>
      <c r="W294" s="345">
        <v>237.49</v>
      </c>
      <c r="X294" s="345">
        <v>62</v>
      </c>
      <c r="Y294" s="345">
        <v>67</v>
      </c>
      <c r="Z294" s="345">
        <v>0</v>
      </c>
      <c r="AA294" s="345">
        <v>12</v>
      </c>
      <c r="AB294" s="345">
        <v>66</v>
      </c>
      <c r="AC294" s="345">
        <v>112</v>
      </c>
      <c r="AD294" s="349">
        <v>8498</v>
      </c>
      <c r="AE294" s="349">
        <v>35</v>
      </c>
      <c r="AF294" s="349">
        <v>42</v>
      </c>
      <c r="AG294" s="349">
        <v>77</v>
      </c>
    </row>
    <row r="295" spans="1:33" x14ac:dyDescent="0.25">
      <c r="A295" s="344" t="s">
        <v>644</v>
      </c>
      <c r="B295" s="350" t="s">
        <v>645</v>
      </c>
      <c r="C295" s="346">
        <v>11791</v>
      </c>
      <c r="D295" s="346">
        <v>0</v>
      </c>
      <c r="E295" s="346">
        <v>522</v>
      </c>
      <c r="F295" s="346">
        <v>2153</v>
      </c>
      <c r="G295" s="346">
        <v>603</v>
      </c>
      <c r="H295" s="346">
        <v>15069</v>
      </c>
      <c r="I295" s="345">
        <v>14466</v>
      </c>
      <c r="J295" s="345">
        <v>57</v>
      </c>
      <c r="K295" s="347">
        <v>82.75</v>
      </c>
      <c r="L295" s="347">
        <v>83.45</v>
      </c>
      <c r="M295" s="347">
        <v>5.42</v>
      </c>
      <c r="N295" s="347">
        <v>84.51</v>
      </c>
      <c r="O295" s="348">
        <v>11049</v>
      </c>
      <c r="P295" s="345">
        <v>84.54</v>
      </c>
      <c r="Q295" s="345">
        <v>79.11</v>
      </c>
      <c r="R295" s="345">
        <v>36.11</v>
      </c>
      <c r="S295" s="345">
        <v>116.63</v>
      </c>
      <c r="T295" s="345">
        <v>2610</v>
      </c>
      <c r="U295" s="345">
        <v>103.79</v>
      </c>
      <c r="V295" s="345">
        <v>691</v>
      </c>
      <c r="W295" s="345">
        <v>0</v>
      </c>
      <c r="X295" s="345">
        <v>0</v>
      </c>
      <c r="Y295" s="345">
        <v>0</v>
      </c>
      <c r="Z295" s="345">
        <v>78</v>
      </c>
      <c r="AA295" s="345">
        <v>0</v>
      </c>
      <c r="AB295" s="345">
        <v>19</v>
      </c>
      <c r="AC295" s="345">
        <v>21</v>
      </c>
      <c r="AD295" s="349">
        <v>11791</v>
      </c>
      <c r="AE295" s="349">
        <v>82</v>
      </c>
      <c r="AF295" s="349">
        <v>42</v>
      </c>
      <c r="AG295" s="349">
        <v>124</v>
      </c>
    </row>
    <row r="296" spans="1:33" x14ac:dyDescent="0.25">
      <c r="A296" s="344" t="s">
        <v>646</v>
      </c>
      <c r="B296" s="350" t="s">
        <v>647</v>
      </c>
      <c r="C296" s="346">
        <v>3113</v>
      </c>
      <c r="D296" s="346">
        <v>0</v>
      </c>
      <c r="E296" s="346">
        <v>141</v>
      </c>
      <c r="F296" s="346">
        <v>627</v>
      </c>
      <c r="G296" s="346">
        <v>917</v>
      </c>
      <c r="H296" s="346">
        <v>4798</v>
      </c>
      <c r="I296" s="345">
        <v>3881</v>
      </c>
      <c r="J296" s="345">
        <v>3</v>
      </c>
      <c r="K296" s="347">
        <v>104.01</v>
      </c>
      <c r="L296" s="347">
        <v>102.83</v>
      </c>
      <c r="M296" s="347">
        <v>7.77</v>
      </c>
      <c r="N296" s="347">
        <v>110.65</v>
      </c>
      <c r="O296" s="348">
        <v>2339</v>
      </c>
      <c r="P296" s="345">
        <v>98.78</v>
      </c>
      <c r="Q296" s="345">
        <v>90.19</v>
      </c>
      <c r="R296" s="345">
        <v>51.77</v>
      </c>
      <c r="S296" s="345">
        <v>150.27000000000001</v>
      </c>
      <c r="T296" s="345">
        <v>556</v>
      </c>
      <c r="U296" s="345">
        <v>143.5</v>
      </c>
      <c r="V296" s="345">
        <v>705</v>
      </c>
      <c r="W296" s="345">
        <v>186.5</v>
      </c>
      <c r="X296" s="345">
        <v>126</v>
      </c>
      <c r="Y296" s="345">
        <v>0</v>
      </c>
      <c r="Z296" s="345">
        <v>21</v>
      </c>
      <c r="AA296" s="345">
        <v>26</v>
      </c>
      <c r="AB296" s="345">
        <v>61</v>
      </c>
      <c r="AC296" s="345">
        <v>15</v>
      </c>
      <c r="AD296" s="349">
        <v>3049</v>
      </c>
      <c r="AE296" s="349">
        <v>32</v>
      </c>
      <c r="AF296" s="349">
        <v>45</v>
      </c>
      <c r="AG296" s="349">
        <v>77</v>
      </c>
    </row>
    <row r="297" spans="1:33" x14ac:dyDescent="0.25">
      <c r="A297" s="344" t="s">
        <v>648</v>
      </c>
      <c r="B297" s="350" t="s">
        <v>649</v>
      </c>
      <c r="C297" s="346">
        <v>5540</v>
      </c>
      <c r="D297" s="346">
        <v>114</v>
      </c>
      <c r="E297" s="346">
        <v>360</v>
      </c>
      <c r="F297" s="346">
        <v>589</v>
      </c>
      <c r="G297" s="346">
        <v>395</v>
      </c>
      <c r="H297" s="346">
        <v>6998</v>
      </c>
      <c r="I297" s="345">
        <v>6603</v>
      </c>
      <c r="J297" s="345">
        <v>68</v>
      </c>
      <c r="K297" s="347">
        <v>111.7</v>
      </c>
      <c r="L297" s="347">
        <v>121.3</v>
      </c>
      <c r="M297" s="347">
        <v>9.07</v>
      </c>
      <c r="N297" s="347">
        <v>115.77</v>
      </c>
      <c r="O297" s="348">
        <v>4955</v>
      </c>
      <c r="P297" s="345">
        <v>90.18</v>
      </c>
      <c r="Q297" s="345">
        <v>89.35</v>
      </c>
      <c r="R297" s="345">
        <v>37.64</v>
      </c>
      <c r="S297" s="345">
        <v>127.77</v>
      </c>
      <c r="T297" s="345">
        <v>702</v>
      </c>
      <c r="U297" s="345">
        <v>174.69</v>
      </c>
      <c r="V297" s="345">
        <v>455</v>
      </c>
      <c r="W297" s="345">
        <v>160.68</v>
      </c>
      <c r="X297" s="345">
        <v>2</v>
      </c>
      <c r="Y297" s="345">
        <v>0</v>
      </c>
      <c r="Z297" s="345">
        <v>5</v>
      </c>
      <c r="AA297" s="345">
        <v>0</v>
      </c>
      <c r="AB297" s="345">
        <v>15</v>
      </c>
      <c r="AC297" s="345">
        <v>1</v>
      </c>
      <c r="AD297" s="349">
        <v>5527</v>
      </c>
      <c r="AE297" s="349">
        <v>32</v>
      </c>
      <c r="AF297" s="349">
        <v>26</v>
      </c>
      <c r="AG297" s="349">
        <v>58</v>
      </c>
    </row>
    <row r="298" spans="1:33" x14ac:dyDescent="0.25">
      <c r="A298" s="344" t="s">
        <v>650</v>
      </c>
      <c r="B298" s="350" t="s">
        <v>651</v>
      </c>
      <c r="C298" s="346">
        <v>1294</v>
      </c>
      <c r="D298" s="346">
        <v>0</v>
      </c>
      <c r="E298" s="346">
        <v>146</v>
      </c>
      <c r="F298" s="346">
        <v>164</v>
      </c>
      <c r="G298" s="346">
        <v>513</v>
      </c>
      <c r="H298" s="346">
        <v>2117</v>
      </c>
      <c r="I298" s="345">
        <v>1604</v>
      </c>
      <c r="J298" s="345">
        <v>0</v>
      </c>
      <c r="K298" s="347">
        <v>115.89</v>
      </c>
      <c r="L298" s="347">
        <v>112.09</v>
      </c>
      <c r="M298" s="347">
        <v>5.1100000000000003</v>
      </c>
      <c r="N298" s="347">
        <v>120.61</v>
      </c>
      <c r="O298" s="348">
        <v>910</v>
      </c>
      <c r="P298" s="345">
        <v>100.31</v>
      </c>
      <c r="Q298" s="345">
        <v>93.26</v>
      </c>
      <c r="R298" s="345">
        <v>35.020000000000003</v>
      </c>
      <c r="S298" s="345">
        <v>135.08000000000001</v>
      </c>
      <c r="T298" s="345">
        <v>137</v>
      </c>
      <c r="U298" s="345">
        <v>183.89</v>
      </c>
      <c r="V298" s="345">
        <v>336</v>
      </c>
      <c r="W298" s="345">
        <v>109.9</v>
      </c>
      <c r="X298" s="345">
        <v>3</v>
      </c>
      <c r="Y298" s="345">
        <v>0</v>
      </c>
      <c r="Z298" s="345">
        <v>0</v>
      </c>
      <c r="AA298" s="345">
        <v>4</v>
      </c>
      <c r="AB298" s="345">
        <v>44</v>
      </c>
      <c r="AC298" s="345">
        <v>8</v>
      </c>
      <c r="AD298" s="349">
        <v>1226</v>
      </c>
      <c r="AE298" s="349">
        <v>31</v>
      </c>
      <c r="AF298" s="349">
        <v>9</v>
      </c>
      <c r="AG298" s="349">
        <v>40</v>
      </c>
    </row>
    <row r="299" spans="1:33" x14ac:dyDescent="0.25">
      <c r="A299" s="344" t="s">
        <v>652</v>
      </c>
      <c r="B299" s="350" t="s">
        <v>653</v>
      </c>
      <c r="C299" s="346">
        <v>2331</v>
      </c>
      <c r="D299" s="346">
        <v>0</v>
      </c>
      <c r="E299" s="346">
        <v>97</v>
      </c>
      <c r="F299" s="346">
        <v>307</v>
      </c>
      <c r="G299" s="346">
        <v>599</v>
      </c>
      <c r="H299" s="346">
        <v>3334</v>
      </c>
      <c r="I299" s="345">
        <v>2735</v>
      </c>
      <c r="J299" s="345">
        <v>0</v>
      </c>
      <c r="K299" s="347">
        <v>101.63</v>
      </c>
      <c r="L299" s="347">
        <v>98.02</v>
      </c>
      <c r="M299" s="347">
        <v>6.22</v>
      </c>
      <c r="N299" s="347">
        <v>106.37</v>
      </c>
      <c r="O299" s="348">
        <v>1380</v>
      </c>
      <c r="P299" s="345">
        <v>79.16</v>
      </c>
      <c r="Q299" s="345">
        <v>76.930000000000007</v>
      </c>
      <c r="R299" s="345">
        <v>38.200000000000003</v>
      </c>
      <c r="S299" s="345">
        <v>117.36</v>
      </c>
      <c r="T299" s="345">
        <v>226</v>
      </c>
      <c r="U299" s="345">
        <v>144.93</v>
      </c>
      <c r="V299" s="345">
        <v>929</v>
      </c>
      <c r="W299" s="345">
        <v>186.14</v>
      </c>
      <c r="X299" s="345">
        <v>55</v>
      </c>
      <c r="Y299" s="345">
        <v>0</v>
      </c>
      <c r="Z299" s="345">
        <v>0</v>
      </c>
      <c r="AA299" s="345">
        <v>1</v>
      </c>
      <c r="AB299" s="345">
        <v>45</v>
      </c>
      <c r="AC299" s="345">
        <v>5</v>
      </c>
      <c r="AD299" s="349">
        <v>2313</v>
      </c>
      <c r="AE299" s="349">
        <v>23</v>
      </c>
      <c r="AF299" s="349">
        <v>1</v>
      </c>
      <c r="AG299" s="349">
        <v>24</v>
      </c>
    </row>
    <row r="300" spans="1:33" x14ac:dyDescent="0.25">
      <c r="A300" s="344" t="s">
        <v>654</v>
      </c>
      <c r="B300" s="350" t="s">
        <v>655</v>
      </c>
      <c r="C300" s="346">
        <v>2764</v>
      </c>
      <c r="D300" s="346">
        <v>0</v>
      </c>
      <c r="E300" s="346">
        <v>321</v>
      </c>
      <c r="F300" s="346">
        <v>329</v>
      </c>
      <c r="G300" s="346">
        <v>701</v>
      </c>
      <c r="H300" s="346">
        <v>4115</v>
      </c>
      <c r="I300" s="345">
        <v>3414</v>
      </c>
      <c r="J300" s="345">
        <v>132</v>
      </c>
      <c r="K300" s="347">
        <v>109.44</v>
      </c>
      <c r="L300" s="347">
        <v>108.08</v>
      </c>
      <c r="M300" s="347">
        <v>8.31</v>
      </c>
      <c r="N300" s="347">
        <v>116.52</v>
      </c>
      <c r="O300" s="348">
        <v>2232</v>
      </c>
      <c r="P300" s="345">
        <v>106.13</v>
      </c>
      <c r="Q300" s="345">
        <v>98.73</v>
      </c>
      <c r="R300" s="345">
        <v>46.51</v>
      </c>
      <c r="S300" s="345">
        <v>152.46</v>
      </c>
      <c r="T300" s="345">
        <v>522</v>
      </c>
      <c r="U300" s="345">
        <v>150.77000000000001</v>
      </c>
      <c r="V300" s="345">
        <v>463</v>
      </c>
      <c r="W300" s="345">
        <v>0</v>
      </c>
      <c r="X300" s="345">
        <v>0</v>
      </c>
      <c r="Y300" s="345">
        <v>0</v>
      </c>
      <c r="Z300" s="345">
        <v>0</v>
      </c>
      <c r="AA300" s="345">
        <v>0</v>
      </c>
      <c r="AB300" s="345">
        <v>47</v>
      </c>
      <c r="AC300" s="345">
        <v>11</v>
      </c>
      <c r="AD300" s="349">
        <v>2721</v>
      </c>
      <c r="AE300" s="349">
        <v>20</v>
      </c>
      <c r="AF300" s="349">
        <v>12</v>
      </c>
      <c r="AG300" s="349">
        <v>32</v>
      </c>
    </row>
    <row r="301" spans="1:33" x14ac:dyDescent="0.25">
      <c r="A301" s="344" t="s">
        <v>656</v>
      </c>
      <c r="B301" s="350" t="s">
        <v>657</v>
      </c>
      <c r="C301" s="346">
        <v>7946</v>
      </c>
      <c r="D301" s="346">
        <v>0</v>
      </c>
      <c r="E301" s="346">
        <v>336</v>
      </c>
      <c r="F301" s="346">
        <v>899</v>
      </c>
      <c r="G301" s="346">
        <v>735</v>
      </c>
      <c r="H301" s="346">
        <v>9916</v>
      </c>
      <c r="I301" s="345">
        <v>9181</v>
      </c>
      <c r="J301" s="345">
        <v>26</v>
      </c>
      <c r="K301" s="347">
        <v>115.91</v>
      </c>
      <c r="L301" s="347">
        <v>117.38</v>
      </c>
      <c r="M301" s="347">
        <v>5.08</v>
      </c>
      <c r="N301" s="347">
        <v>118.54</v>
      </c>
      <c r="O301" s="348">
        <v>7514</v>
      </c>
      <c r="P301" s="345">
        <v>107.29</v>
      </c>
      <c r="Q301" s="345">
        <v>105.68</v>
      </c>
      <c r="R301" s="345">
        <v>29.69</v>
      </c>
      <c r="S301" s="345">
        <v>135.49</v>
      </c>
      <c r="T301" s="345">
        <v>1078</v>
      </c>
      <c r="U301" s="345">
        <v>148.25</v>
      </c>
      <c r="V301" s="345">
        <v>385</v>
      </c>
      <c r="W301" s="345">
        <v>184.08</v>
      </c>
      <c r="X301" s="345">
        <v>49</v>
      </c>
      <c r="Y301" s="345">
        <v>0</v>
      </c>
      <c r="Z301" s="345">
        <v>2</v>
      </c>
      <c r="AA301" s="345">
        <v>0</v>
      </c>
      <c r="AB301" s="345">
        <v>6</v>
      </c>
      <c r="AC301" s="345">
        <v>12</v>
      </c>
      <c r="AD301" s="349">
        <v>7890</v>
      </c>
      <c r="AE301" s="349">
        <v>45</v>
      </c>
      <c r="AF301" s="349">
        <v>27</v>
      </c>
      <c r="AG301" s="349">
        <v>72</v>
      </c>
    </row>
    <row r="302" spans="1:33" x14ac:dyDescent="0.25">
      <c r="A302" s="344" t="s">
        <v>658</v>
      </c>
      <c r="B302" s="350" t="s">
        <v>659</v>
      </c>
      <c r="C302" s="346">
        <v>2161</v>
      </c>
      <c r="D302" s="346">
        <v>2</v>
      </c>
      <c r="E302" s="346">
        <v>31</v>
      </c>
      <c r="F302" s="346">
        <v>322</v>
      </c>
      <c r="G302" s="346">
        <v>120</v>
      </c>
      <c r="H302" s="346">
        <v>2636</v>
      </c>
      <c r="I302" s="345">
        <v>2516</v>
      </c>
      <c r="J302" s="345">
        <v>0</v>
      </c>
      <c r="K302" s="347">
        <v>84.94</v>
      </c>
      <c r="L302" s="347">
        <v>81.52</v>
      </c>
      <c r="M302" s="347">
        <v>2.62</v>
      </c>
      <c r="N302" s="347">
        <v>86.74</v>
      </c>
      <c r="O302" s="348">
        <v>1930</v>
      </c>
      <c r="P302" s="345">
        <v>81.239999999999995</v>
      </c>
      <c r="Q302" s="345">
        <v>73.64</v>
      </c>
      <c r="R302" s="345">
        <v>18.670000000000002</v>
      </c>
      <c r="S302" s="345">
        <v>99.77</v>
      </c>
      <c r="T302" s="345">
        <v>277</v>
      </c>
      <c r="U302" s="345">
        <v>115.95</v>
      </c>
      <c r="V302" s="345">
        <v>160</v>
      </c>
      <c r="W302" s="345">
        <v>85.03</v>
      </c>
      <c r="X302" s="345">
        <v>4</v>
      </c>
      <c r="Y302" s="345">
        <v>0</v>
      </c>
      <c r="Z302" s="345">
        <v>0</v>
      </c>
      <c r="AA302" s="345">
        <v>4</v>
      </c>
      <c r="AB302" s="345">
        <v>11</v>
      </c>
      <c r="AC302" s="345">
        <v>4</v>
      </c>
      <c r="AD302" s="349">
        <v>2075</v>
      </c>
      <c r="AE302" s="349">
        <v>15</v>
      </c>
      <c r="AF302" s="349">
        <v>5</v>
      </c>
      <c r="AG302" s="349">
        <v>20</v>
      </c>
    </row>
    <row r="303" spans="1:33" x14ac:dyDescent="0.25">
      <c r="A303" s="344" t="s">
        <v>660</v>
      </c>
      <c r="B303" s="350" t="s">
        <v>661</v>
      </c>
      <c r="C303" s="346">
        <v>876</v>
      </c>
      <c r="D303" s="346">
        <v>4</v>
      </c>
      <c r="E303" s="346">
        <v>199</v>
      </c>
      <c r="F303" s="346">
        <v>371</v>
      </c>
      <c r="G303" s="346">
        <v>373</v>
      </c>
      <c r="H303" s="346">
        <v>1823</v>
      </c>
      <c r="I303" s="345">
        <v>1450</v>
      </c>
      <c r="J303" s="345">
        <v>0</v>
      </c>
      <c r="K303" s="347">
        <v>90.51</v>
      </c>
      <c r="L303" s="347">
        <v>88.76</v>
      </c>
      <c r="M303" s="347">
        <v>4.88</v>
      </c>
      <c r="N303" s="347">
        <v>93.69</v>
      </c>
      <c r="O303" s="348">
        <v>553</v>
      </c>
      <c r="P303" s="345">
        <v>99.96</v>
      </c>
      <c r="Q303" s="345">
        <v>84.62</v>
      </c>
      <c r="R303" s="345">
        <v>39.26</v>
      </c>
      <c r="S303" s="345">
        <v>139.22</v>
      </c>
      <c r="T303" s="345">
        <v>484</v>
      </c>
      <c r="U303" s="345">
        <v>105.73</v>
      </c>
      <c r="V303" s="345">
        <v>268</v>
      </c>
      <c r="W303" s="345">
        <v>0</v>
      </c>
      <c r="X303" s="345">
        <v>0</v>
      </c>
      <c r="Y303" s="345">
        <v>0</v>
      </c>
      <c r="Z303" s="345">
        <v>0</v>
      </c>
      <c r="AA303" s="345">
        <v>2</v>
      </c>
      <c r="AB303" s="345">
        <v>12</v>
      </c>
      <c r="AC303" s="345">
        <v>3</v>
      </c>
      <c r="AD303" s="349">
        <v>866</v>
      </c>
      <c r="AE303" s="349">
        <v>5</v>
      </c>
      <c r="AF303" s="349">
        <v>2</v>
      </c>
      <c r="AG303" s="349">
        <v>7</v>
      </c>
    </row>
    <row r="304" spans="1:33" x14ac:dyDescent="0.25">
      <c r="A304" s="344" t="s">
        <v>662</v>
      </c>
      <c r="B304" s="350" t="s">
        <v>663</v>
      </c>
      <c r="C304" s="346">
        <v>4313</v>
      </c>
      <c r="D304" s="346">
        <v>0</v>
      </c>
      <c r="E304" s="346">
        <v>130</v>
      </c>
      <c r="F304" s="346">
        <v>422</v>
      </c>
      <c r="G304" s="346">
        <v>351</v>
      </c>
      <c r="H304" s="346">
        <v>5216</v>
      </c>
      <c r="I304" s="345">
        <v>4865</v>
      </c>
      <c r="J304" s="345">
        <v>0</v>
      </c>
      <c r="K304" s="347">
        <v>77.67</v>
      </c>
      <c r="L304" s="347">
        <v>78.400000000000006</v>
      </c>
      <c r="M304" s="347">
        <v>5.14</v>
      </c>
      <c r="N304" s="347">
        <v>79.14</v>
      </c>
      <c r="O304" s="348">
        <v>3886</v>
      </c>
      <c r="P304" s="345">
        <v>75.06</v>
      </c>
      <c r="Q304" s="345">
        <v>75.16</v>
      </c>
      <c r="R304" s="345">
        <v>35.369999999999997</v>
      </c>
      <c r="S304" s="345">
        <v>109.99</v>
      </c>
      <c r="T304" s="345">
        <v>492</v>
      </c>
      <c r="U304" s="345">
        <v>99.85</v>
      </c>
      <c r="V304" s="345">
        <v>405</v>
      </c>
      <c r="W304" s="345">
        <v>113.38</v>
      </c>
      <c r="X304" s="345">
        <v>24</v>
      </c>
      <c r="Y304" s="345">
        <v>0</v>
      </c>
      <c r="Z304" s="345">
        <v>9</v>
      </c>
      <c r="AA304" s="345">
        <v>1</v>
      </c>
      <c r="AB304" s="345">
        <v>27</v>
      </c>
      <c r="AC304" s="345">
        <v>2</v>
      </c>
      <c r="AD304" s="349">
        <v>4260</v>
      </c>
      <c r="AE304" s="349">
        <v>54</v>
      </c>
      <c r="AF304" s="349">
        <v>38</v>
      </c>
      <c r="AG304" s="349">
        <v>92</v>
      </c>
    </row>
    <row r="305" spans="1:33" x14ac:dyDescent="0.25">
      <c r="A305" s="351" t="s">
        <v>800</v>
      </c>
      <c r="B305" s="351" t="s">
        <v>798</v>
      </c>
      <c r="C305" s="345">
        <v>11508</v>
      </c>
      <c r="D305" s="345">
        <v>9</v>
      </c>
      <c r="E305" s="345">
        <v>477</v>
      </c>
      <c r="F305" s="345">
        <v>2364</v>
      </c>
      <c r="G305" s="345">
        <v>2396</v>
      </c>
      <c r="H305" s="345">
        <v>16754</v>
      </c>
      <c r="I305" s="345">
        <v>14358</v>
      </c>
      <c r="J305" s="345">
        <v>0</v>
      </c>
      <c r="K305" s="345">
        <v>95.75</v>
      </c>
      <c r="L305" s="345">
        <v>96.04</v>
      </c>
      <c r="M305" s="345">
        <v>5.96</v>
      </c>
      <c r="N305" s="345">
        <v>99.59</v>
      </c>
      <c r="O305" s="345">
        <v>9299</v>
      </c>
      <c r="P305" s="345">
        <v>94.43</v>
      </c>
      <c r="Q305" s="345">
        <v>92.15</v>
      </c>
      <c r="R305" s="345">
        <v>38.9</v>
      </c>
      <c r="S305" s="345">
        <v>124.04</v>
      </c>
      <c r="T305" s="345">
        <v>2706</v>
      </c>
      <c r="U305" s="345">
        <v>123.37</v>
      </c>
      <c r="V305" s="345">
        <v>1796</v>
      </c>
      <c r="W305" s="345">
        <v>170.12</v>
      </c>
      <c r="X305" s="345">
        <v>77</v>
      </c>
      <c r="Y305" s="345">
        <v>0</v>
      </c>
      <c r="Z305" s="345">
        <v>60</v>
      </c>
      <c r="AA305" s="345">
        <v>3</v>
      </c>
      <c r="AB305" s="345">
        <v>150</v>
      </c>
      <c r="AC305" s="345">
        <v>32</v>
      </c>
      <c r="AD305" s="345">
        <v>11241</v>
      </c>
      <c r="AE305" s="345">
        <v>123</v>
      </c>
      <c r="AF305" s="345">
        <v>74</v>
      </c>
      <c r="AG305" s="345">
        <v>197</v>
      </c>
    </row>
    <row r="306" spans="1:33" x14ac:dyDescent="0.25">
      <c r="A306" s="344" t="s">
        <v>664</v>
      </c>
      <c r="B306" s="350" t="s">
        <v>665</v>
      </c>
      <c r="C306" s="346">
        <v>5973</v>
      </c>
      <c r="D306" s="346">
        <v>2</v>
      </c>
      <c r="E306" s="346">
        <v>144</v>
      </c>
      <c r="F306" s="346">
        <v>159</v>
      </c>
      <c r="G306" s="346">
        <v>810</v>
      </c>
      <c r="H306" s="346">
        <v>7088</v>
      </c>
      <c r="I306" s="345">
        <v>6278</v>
      </c>
      <c r="J306" s="345">
        <v>26</v>
      </c>
      <c r="K306" s="347">
        <v>107.99</v>
      </c>
      <c r="L306" s="347">
        <v>109.99</v>
      </c>
      <c r="M306" s="347">
        <v>4.8</v>
      </c>
      <c r="N306" s="347">
        <v>109.96</v>
      </c>
      <c r="O306" s="348">
        <v>4956</v>
      </c>
      <c r="P306" s="345">
        <v>94.56</v>
      </c>
      <c r="Q306" s="345">
        <v>87.9</v>
      </c>
      <c r="R306" s="345">
        <v>65.099999999999994</v>
      </c>
      <c r="S306" s="345">
        <v>155.30000000000001</v>
      </c>
      <c r="T306" s="345">
        <v>298</v>
      </c>
      <c r="U306" s="345">
        <v>166.54</v>
      </c>
      <c r="V306" s="345">
        <v>915</v>
      </c>
      <c r="W306" s="345">
        <v>0</v>
      </c>
      <c r="X306" s="345">
        <v>0</v>
      </c>
      <c r="Y306" s="345">
        <v>18</v>
      </c>
      <c r="Z306" s="345">
        <v>3</v>
      </c>
      <c r="AA306" s="345">
        <v>2</v>
      </c>
      <c r="AB306" s="345">
        <v>53</v>
      </c>
      <c r="AC306" s="345">
        <v>6</v>
      </c>
      <c r="AD306" s="349">
        <v>5847</v>
      </c>
      <c r="AE306" s="349">
        <v>57</v>
      </c>
      <c r="AF306" s="349">
        <v>25</v>
      </c>
      <c r="AG306" s="349">
        <v>82</v>
      </c>
    </row>
    <row r="307" spans="1:33" x14ac:dyDescent="0.25">
      <c r="A307" s="344" t="s">
        <v>666</v>
      </c>
      <c r="B307" s="350" t="s">
        <v>667</v>
      </c>
      <c r="C307" s="345">
        <v>10796</v>
      </c>
      <c r="D307" s="345">
        <v>0</v>
      </c>
      <c r="E307" s="345">
        <v>432</v>
      </c>
      <c r="F307" s="345">
        <v>1126</v>
      </c>
      <c r="G307" s="345">
        <v>761</v>
      </c>
      <c r="H307" s="345">
        <v>13115</v>
      </c>
      <c r="I307" s="345">
        <v>12354</v>
      </c>
      <c r="J307" s="345">
        <v>0</v>
      </c>
      <c r="K307" s="345">
        <v>89.7</v>
      </c>
      <c r="L307" s="347">
        <v>89.74</v>
      </c>
      <c r="M307" s="347">
        <v>4.49</v>
      </c>
      <c r="N307" s="347">
        <v>90.95</v>
      </c>
      <c r="O307" s="348">
        <v>8855</v>
      </c>
      <c r="P307" s="345">
        <v>87.16</v>
      </c>
      <c r="Q307" s="345">
        <v>85.98</v>
      </c>
      <c r="R307" s="345">
        <v>40.729999999999997</v>
      </c>
      <c r="S307" s="345">
        <v>126.54</v>
      </c>
      <c r="T307" s="345">
        <v>1537</v>
      </c>
      <c r="U307" s="345">
        <v>127.92</v>
      </c>
      <c r="V307" s="345">
        <v>1755</v>
      </c>
      <c r="W307" s="345">
        <v>103.62</v>
      </c>
      <c r="X307" s="345">
        <v>21</v>
      </c>
      <c r="Y307" s="345">
        <v>29</v>
      </c>
      <c r="Z307" s="345">
        <v>23</v>
      </c>
      <c r="AA307" s="345">
        <v>7</v>
      </c>
      <c r="AB307" s="345">
        <v>99</v>
      </c>
      <c r="AC307" s="345">
        <v>14</v>
      </c>
      <c r="AD307" s="345">
        <v>10792</v>
      </c>
      <c r="AE307" s="345">
        <v>96</v>
      </c>
      <c r="AF307" s="345">
        <v>50</v>
      </c>
      <c r="AG307" s="345">
        <v>146</v>
      </c>
    </row>
    <row r="308" spans="1:33" x14ac:dyDescent="0.25">
      <c r="A308" s="344" t="s">
        <v>668</v>
      </c>
      <c r="B308" s="350" t="s">
        <v>669</v>
      </c>
      <c r="C308" s="346">
        <v>12785</v>
      </c>
      <c r="D308" s="346">
        <v>420</v>
      </c>
      <c r="E308" s="346">
        <v>1203</v>
      </c>
      <c r="F308" s="346">
        <v>759</v>
      </c>
      <c r="G308" s="346">
        <v>547</v>
      </c>
      <c r="H308" s="346">
        <v>15714</v>
      </c>
      <c r="I308" s="345">
        <v>15167</v>
      </c>
      <c r="J308" s="345">
        <v>69</v>
      </c>
      <c r="K308" s="347">
        <v>129.08000000000001</v>
      </c>
      <c r="L308" s="347">
        <v>140.83000000000001</v>
      </c>
      <c r="M308" s="347">
        <v>12.69</v>
      </c>
      <c r="N308" s="347">
        <v>139.62</v>
      </c>
      <c r="O308" s="348">
        <v>9713</v>
      </c>
      <c r="P308" s="345">
        <v>109.17</v>
      </c>
      <c r="Q308" s="345">
        <v>115.06</v>
      </c>
      <c r="R308" s="345">
        <v>67.95</v>
      </c>
      <c r="S308" s="345">
        <v>164.32</v>
      </c>
      <c r="T308" s="345">
        <v>1767</v>
      </c>
      <c r="U308" s="345">
        <v>209.52</v>
      </c>
      <c r="V308" s="345">
        <v>737</v>
      </c>
      <c r="W308" s="345">
        <v>143.47999999999999</v>
      </c>
      <c r="X308" s="345">
        <v>2</v>
      </c>
      <c r="Y308" s="345">
        <v>0</v>
      </c>
      <c r="Z308" s="345">
        <v>1</v>
      </c>
      <c r="AA308" s="345">
        <v>1</v>
      </c>
      <c r="AB308" s="345">
        <v>0</v>
      </c>
      <c r="AC308" s="345">
        <v>12</v>
      </c>
      <c r="AD308" s="349">
        <v>11112</v>
      </c>
      <c r="AE308" s="349">
        <v>44</v>
      </c>
      <c r="AF308" s="349">
        <v>95</v>
      </c>
      <c r="AG308" s="349">
        <v>139</v>
      </c>
    </row>
    <row r="309" spans="1:33" x14ac:dyDescent="0.25">
      <c r="A309" s="344" t="s">
        <v>670</v>
      </c>
      <c r="B309" s="350" t="s">
        <v>671</v>
      </c>
      <c r="C309" s="346">
        <v>2410</v>
      </c>
      <c r="D309" s="346">
        <v>0</v>
      </c>
      <c r="E309" s="346">
        <v>927</v>
      </c>
      <c r="F309" s="346">
        <v>831</v>
      </c>
      <c r="G309" s="346">
        <v>342</v>
      </c>
      <c r="H309" s="346">
        <v>4510</v>
      </c>
      <c r="I309" s="345">
        <v>4168</v>
      </c>
      <c r="J309" s="345">
        <v>0</v>
      </c>
      <c r="K309" s="347">
        <v>78.2</v>
      </c>
      <c r="L309" s="347">
        <v>74.67</v>
      </c>
      <c r="M309" s="347">
        <v>5.57</v>
      </c>
      <c r="N309" s="347">
        <v>81.37</v>
      </c>
      <c r="O309" s="348">
        <v>1729</v>
      </c>
      <c r="P309" s="345">
        <v>91.08</v>
      </c>
      <c r="Q309" s="345">
        <v>79.73</v>
      </c>
      <c r="R309" s="345">
        <v>83.65</v>
      </c>
      <c r="S309" s="345">
        <v>173.2</v>
      </c>
      <c r="T309" s="345">
        <v>1586</v>
      </c>
      <c r="U309" s="345">
        <v>96.81</v>
      </c>
      <c r="V309" s="345">
        <v>602</v>
      </c>
      <c r="W309" s="345">
        <v>0</v>
      </c>
      <c r="X309" s="345">
        <v>0</v>
      </c>
      <c r="Y309" s="345">
        <v>0</v>
      </c>
      <c r="Z309" s="345">
        <v>1</v>
      </c>
      <c r="AA309" s="345">
        <v>5</v>
      </c>
      <c r="AB309" s="345">
        <v>76</v>
      </c>
      <c r="AC309" s="345">
        <v>9</v>
      </c>
      <c r="AD309" s="349">
        <v>2361</v>
      </c>
      <c r="AE309" s="349">
        <v>47</v>
      </c>
      <c r="AF309" s="349">
        <v>11</v>
      </c>
      <c r="AG309" s="349">
        <v>58</v>
      </c>
    </row>
    <row r="310" spans="1:33" x14ac:dyDescent="0.25">
      <c r="A310" s="344" t="s">
        <v>672</v>
      </c>
      <c r="B310" s="350" t="s">
        <v>673</v>
      </c>
      <c r="C310" s="346">
        <v>22223</v>
      </c>
      <c r="D310" s="346">
        <v>25</v>
      </c>
      <c r="E310" s="346">
        <v>646</v>
      </c>
      <c r="F310" s="346">
        <v>3041</v>
      </c>
      <c r="G310" s="346">
        <v>1945</v>
      </c>
      <c r="H310" s="346">
        <v>27880</v>
      </c>
      <c r="I310" s="345">
        <v>25935</v>
      </c>
      <c r="J310" s="345">
        <v>12</v>
      </c>
      <c r="K310" s="347">
        <v>97.56</v>
      </c>
      <c r="L310" s="347">
        <v>96.57</v>
      </c>
      <c r="M310" s="347">
        <v>3.68</v>
      </c>
      <c r="N310" s="347">
        <v>99.65</v>
      </c>
      <c r="O310" s="348">
        <v>18528</v>
      </c>
      <c r="P310" s="345">
        <v>91.87</v>
      </c>
      <c r="Q310" s="345">
        <v>89.81</v>
      </c>
      <c r="R310" s="345">
        <v>25.71</v>
      </c>
      <c r="S310" s="345">
        <v>116.57</v>
      </c>
      <c r="T310" s="345">
        <v>3265</v>
      </c>
      <c r="U310" s="345">
        <v>128.38999999999999</v>
      </c>
      <c r="V310" s="345">
        <v>3030</v>
      </c>
      <c r="W310" s="345">
        <v>162.72999999999999</v>
      </c>
      <c r="X310" s="345">
        <v>72</v>
      </c>
      <c r="Y310" s="345">
        <v>230</v>
      </c>
      <c r="Z310" s="345">
        <v>13</v>
      </c>
      <c r="AA310" s="345">
        <v>80</v>
      </c>
      <c r="AB310" s="345">
        <v>157</v>
      </c>
      <c r="AC310" s="345">
        <v>54</v>
      </c>
      <c r="AD310" s="349">
        <v>21566</v>
      </c>
      <c r="AE310" s="349">
        <v>146</v>
      </c>
      <c r="AF310" s="349">
        <v>138</v>
      </c>
      <c r="AG310" s="349">
        <v>284</v>
      </c>
    </row>
    <row r="311" spans="1:33" x14ac:dyDescent="0.25">
      <c r="A311" s="344" t="s">
        <v>674</v>
      </c>
      <c r="B311" s="350" t="s">
        <v>675</v>
      </c>
      <c r="C311" s="346">
        <v>2408</v>
      </c>
      <c r="D311" s="346">
        <v>6</v>
      </c>
      <c r="E311" s="346">
        <v>195</v>
      </c>
      <c r="F311" s="346">
        <v>239</v>
      </c>
      <c r="G311" s="346">
        <v>435</v>
      </c>
      <c r="H311" s="346">
        <v>3283</v>
      </c>
      <c r="I311" s="345">
        <v>2848</v>
      </c>
      <c r="J311" s="345">
        <v>0</v>
      </c>
      <c r="K311" s="347">
        <v>111.61</v>
      </c>
      <c r="L311" s="347">
        <v>108.29</v>
      </c>
      <c r="M311" s="347">
        <v>7.35</v>
      </c>
      <c r="N311" s="347">
        <v>118.37</v>
      </c>
      <c r="O311" s="348">
        <v>1749</v>
      </c>
      <c r="P311" s="345">
        <v>101.44</v>
      </c>
      <c r="Q311" s="345">
        <v>95.13</v>
      </c>
      <c r="R311" s="345">
        <v>35.340000000000003</v>
      </c>
      <c r="S311" s="345">
        <v>134.1</v>
      </c>
      <c r="T311" s="345">
        <v>382</v>
      </c>
      <c r="U311" s="345">
        <v>164.89</v>
      </c>
      <c r="V311" s="345">
        <v>503</v>
      </c>
      <c r="W311" s="345">
        <v>0</v>
      </c>
      <c r="X311" s="345">
        <v>0</v>
      </c>
      <c r="Y311" s="345">
        <v>0</v>
      </c>
      <c r="Z311" s="345">
        <v>0</v>
      </c>
      <c r="AA311" s="345">
        <v>3</v>
      </c>
      <c r="AB311" s="345">
        <v>27</v>
      </c>
      <c r="AC311" s="345">
        <v>12</v>
      </c>
      <c r="AD311" s="349">
        <v>2223</v>
      </c>
      <c r="AE311" s="349">
        <v>10</v>
      </c>
      <c r="AF311" s="349">
        <v>3</v>
      </c>
      <c r="AG311" s="349">
        <v>13</v>
      </c>
    </row>
    <row r="312" spans="1:33" x14ac:dyDescent="0.25">
      <c r="A312" s="344" t="s">
        <v>676</v>
      </c>
      <c r="B312" s="350" t="s">
        <v>677</v>
      </c>
      <c r="C312" s="346">
        <v>6819</v>
      </c>
      <c r="D312" s="346">
        <v>0</v>
      </c>
      <c r="E312" s="346">
        <v>131</v>
      </c>
      <c r="F312" s="346">
        <v>892</v>
      </c>
      <c r="G312" s="346">
        <v>306</v>
      </c>
      <c r="H312" s="346">
        <v>8148</v>
      </c>
      <c r="I312" s="345">
        <v>7842</v>
      </c>
      <c r="J312" s="345">
        <v>0</v>
      </c>
      <c r="K312" s="347">
        <v>119.66</v>
      </c>
      <c r="L312" s="347">
        <v>120.96</v>
      </c>
      <c r="M312" s="347">
        <v>8.65</v>
      </c>
      <c r="N312" s="347">
        <v>123.42</v>
      </c>
      <c r="O312" s="348">
        <v>6401</v>
      </c>
      <c r="P312" s="345">
        <v>107.98</v>
      </c>
      <c r="Q312" s="345">
        <v>107.69</v>
      </c>
      <c r="R312" s="345">
        <v>26.86</v>
      </c>
      <c r="S312" s="345">
        <v>132.94</v>
      </c>
      <c r="T312" s="345">
        <v>1019</v>
      </c>
      <c r="U312" s="345">
        <v>177.27</v>
      </c>
      <c r="V312" s="345">
        <v>330</v>
      </c>
      <c r="W312" s="345">
        <v>142.4</v>
      </c>
      <c r="X312" s="345">
        <v>1</v>
      </c>
      <c r="Y312" s="345">
        <v>3</v>
      </c>
      <c r="Z312" s="345">
        <v>0</v>
      </c>
      <c r="AA312" s="345">
        <v>2</v>
      </c>
      <c r="AB312" s="345">
        <v>12</v>
      </c>
      <c r="AC312" s="345">
        <v>6</v>
      </c>
      <c r="AD312" s="349">
        <v>6816</v>
      </c>
      <c r="AE312" s="349">
        <v>45</v>
      </c>
      <c r="AF312" s="349">
        <v>16</v>
      </c>
      <c r="AG312" s="349">
        <v>61</v>
      </c>
    </row>
    <row r="313" spans="1:33" x14ac:dyDescent="0.25">
      <c r="A313" s="344" t="s">
        <v>678</v>
      </c>
      <c r="B313" s="350" t="s">
        <v>679</v>
      </c>
      <c r="C313" s="346">
        <v>17759</v>
      </c>
      <c r="D313" s="346">
        <v>25</v>
      </c>
      <c r="E313" s="346">
        <v>1312</v>
      </c>
      <c r="F313" s="346">
        <v>3720</v>
      </c>
      <c r="G313" s="346">
        <v>462</v>
      </c>
      <c r="H313" s="346">
        <v>23278</v>
      </c>
      <c r="I313" s="345">
        <v>22816</v>
      </c>
      <c r="J313" s="345">
        <v>64</v>
      </c>
      <c r="K313" s="347">
        <v>84.73</v>
      </c>
      <c r="L313" s="347">
        <v>82.14</v>
      </c>
      <c r="M313" s="347">
        <v>7.8</v>
      </c>
      <c r="N313" s="347">
        <v>87.49</v>
      </c>
      <c r="O313" s="348">
        <v>13832</v>
      </c>
      <c r="P313" s="345">
        <v>85.37</v>
      </c>
      <c r="Q313" s="345">
        <v>76.38</v>
      </c>
      <c r="R313" s="345">
        <v>28.02</v>
      </c>
      <c r="S313" s="345">
        <v>112.49</v>
      </c>
      <c r="T313" s="345">
        <v>3805</v>
      </c>
      <c r="U313" s="345">
        <v>106.85</v>
      </c>
      <c r="V313" s="345">
        <v>2078</v>
      </c>
      <c r="W313" s="345">
        <v>140.94</v>
      </c>
      <c r="X313" s="345">
        <v>147</v>
      </c>
      <c r="Y313" s="345">
        <v>0</v>
      </c>
      <c r="Z313" s="345">
        <v>64</v>
      </c>
      <c r="AA313" s="345">
        <v>8</v>
      </c>
      <c r="AB313" s="345">
        <v>39</v>
      </c>
      <c r="AC313" s="345">
        <v>9</v>
      </c>
      <c r="AD313" s="349">
        <v>15795</v>
      </c>
      <c r="AE313" s="349">
        <v>101</v>
      </c>
      <c r="AF313" s="349">
        <v>171</v>
      </c>
      <c r="AG313" s="349">
        <v>272</v>
      </c>
    </row>
    <row r="314" spans="1:33" x14ac:dyDescent="0.25">
      <c r="A314" s="344" t="s">
        <v>680</v>
      </c>
      <c r="B314" s="350" t="s">
        <v>681</v>
      </c>
      <c r="C314" s="346">
        <v>1158</v>
      </c>
      <c r="D314" s="346">
        <v>7</v>
      </c>
      <c r="E314" s="346">
        <v>199</v>
      </c>
      <c r="F314" s="346">
        <v>354</v>
      </c>
      <c r="G314" s="346">
        <v>291</v>
      </c>
      <c r="H314" s="346">
        <v>2009</v>
      </c>
      <c r="I314" s="345">
        <v>1718</v>
      </c>
      <c r="J314" s="345">
        <v>1</v>
      </c>
      <c r="K314" s="347">
        <v>128.72</v>
      </c>
      <c r="L314" s="347">
        <v>117.17</v>
      </c>
      <c r="M314" s="347">
        <v>9.99</v>
      </c>
      <c r="N314" s="347">
        <v>137.36000000000001</v>
      </c>
      <c r="O314" s="348">
        <v>946</v>
      </c>
      <c r="P314" s="345">
        <v>100.76</v>
      </c>
      <c r="Q314" s="345">
        <v>93.78</v>
      </c>
      <c r="R314" s="345">
        <v>32.11</v>
      </c>
      <c r="S314" s="345">
        <v>132.61000000000001</v>
      </c>
      <c r="T314" s="345">
        <v>254</v>
      </c>
      <c r="U314" s="345">
        <v>211.38</v>
      </c>
      <c r="V314" s="345">
        <v>75</v>
      </c>
      <c r="W314" s="345">
        <v>149.5</v>
      </c>
      <c r="X314" s="345">
        <v>27</v>
      </c>
      <c r="Y314" s="345">
        <v>2</v>
      </c>
      <c r="Z314" s="345">
        <v>0</v>
      </c>
      <c r="AA314" s="345">
        <v>0</v>
      </c>
      <c r="AB314" s="345">
        <v>0</v>
      </c>
      <c r="AC314" s="345">
        <v>7</v>
      </c>
      <c r="AD314" s="349">
        <v>1036</v>
      </c>
      <c r="AE314" s="349">
        <v>1</v>
      </c>
      <c r="AF314" s="349">
        <v>3</v>
      </c>
      <c r="AG314" s="349">
        <v>4</v>
      </c>
    </row>
    <row r="315" spans="1:33" x14ac:dyDescent="0.25">
      <c r="A315" s="344" t="s">
        <v>682</v>
      </c>
      <c r="B315" s="350" t="s">
        <v>683</v>
      </c>
      <c r="C315" s="346">
        <v>1980</v>
      </c>
      <c r="D315" s="346">
        <v>0</v>
      </c>
      <c r="E315" s="346">
        <v>193</v>
      </c>
      <c r="F315" s="346">
        <v>223</v>
      </c>
      <c r="G315" s="346">
        <v>1227</v>
      </c>
      <c r="H315" s="346">
        <v>3623</v>
      </c>
      <c r="I315" s="345">
        <v>2396</v>
      </c>
      <c r="J315" s="345">
        <v>1</v>
      </c>
      <c r="K315" s="347">
        <v>129.29</v>
      </c>
      <c r="L315" s="347">
        <v>127.61</v>
      </c>
      <c r="M315" s="347">
        <v>7.21</v>
      </c>
      <c r="N315" s="347">
        <v>135.41</v>
      </c>
      <c r="O315" s="348">
        <v>1782</v>
      </c>
      <c r="P315" s="345">
        <v>109.08</v>
      </c>
      <c r="Q315" s="345">
        <v>109.99</v>
      </c>
      <c r="R315" s="345">
        <v>42.07</v>
      </c>
      <c r="S315" s="345">
        <v>149.56</v>
      </c>
      <c r="T315" s="345">
        <v>292</v>
      </c>
      <c r="U315" s="345">
        <v>163.05000000000001</v>
      </c>
      <c r="V315" s="345">
        <v>153</v>
      </c>
      <c r="W315" s="345">
        <v>0</v>
      </c>
      <c r="X315" s="345">
        <v>0</v>
      </c>
      <c r="Y315" s="345">
        <v>0</v>
      </c>
      <c r="Z315" s="345">
        <v>0</v>
      </c>
      <c r="AA315" s="345">
        <v>0</v>
      </c>
      <c r="AB315" s="345">
        <v>109</v>
      </c>
      <c r="AC315" s="345">
        <v>15</v>
      </c>
      <c r="AD315" s="349">
        <v>1957</v>
      </c>
      <c r="AE315" s="349">
        <v>32</v>
      </c>
      <c r="AF315" s="349">
        <v>14</v>
      </c>
      <c r="AG315" s="349">
        <v>46</v>
      </c>
    </row>
    <row r="316" spans="1:33" x14ac:dyDescent="0.25">
      <c r="A316" s="344" t="s">
        <v>684</v>
      </c>
      <c r="B316" s="350" t="s">
        <v>685</v>
      </c>
      <c r="C316" s="346">
        <v>4540</v>
      </c>
      <c r="D316" s="346">
        <v>4</v>
      </c>
      <c r="E316" s="346">
        <v>596</v>
      </c>
      <c r="F316" s="346">
        <v>1450</v>
      </c>
      <c r="G316" s="346">
        <v>293</v>
      </c>
      <c r="H316" s="346">
        <v>6883</v>
      </c>
      <c r="I316" s="345">
        <v>6590</v>
      </c>
      <c r="J316" s="345">
        <v>0</v>
      </c>
      <c r="K316" s="347">
        <v>87.1</v>
      </c>
      <c r="L316" s="347">
        <v>83.22</v>
      </c>
      <c r="M316" s="347">
        <v>6.98</v>
      </c>
      <c r="N316" s="347">
        <v>92.96</v>
      </c>
      <c r="O316" s="348">
        <v>3898</v>
      </c>
      <c r="P316" s="345">
        <v>97.16</v>
      </c>
      <c r="Q316" s="345">
        <v>88.6</v>
      </c>
      <c r="R316" s="345">
        <v>56.52</v>
      </c>
      <c r="S316" s="345">
        <v>150.09</v>
      </c>
      <c r="T316" s="345">
        <v>1781</v>
      </c>
      <c r="U316" s="345">
        <v>105.91</v>
      </c>
      <c r="V316" s="345">
        <v>487</v>
      </c>
      <c r="W316" s="345">
        <v>170.73</v>
      </c>
      <c r="X316" s="345">
        <v>36</v>
      </c>
      <c r="Y316" s="345">
        <v>0</v>
      </c>
      <c r="Z316" s="345">
        <v>18</v>
      </c>
      <c r="AA316" s="345">
        <v>20</v>
      </c>
      <c r="AB316" s="345">
        <v>5</v>
      </c>
      <c r="AC316" s="345">
        <v>13</v>
      </c>
      <c r="AD316" s="349">
        <v>4540</v>
      </c>
      <c r="AE316" s="349">
        <v>52</v>
      </c>
      <c r="AF316" s="349">
        <v>8</v>
      </c>
      <c r="AG316" s="349">
        <v>60</v>
      </c>
    </row>
    <row r="317" spans="1:33" x14ac:dyDescent="0.25">
      <c r="A317" s="344" t="s">
        <v>686</v>
      </c>
      <c r="B317" s="350" t="s">
        <v>687</v>
      </c>
      <c r="C317" s="346">
        <v>6206</v>
      </c>
      <c r="D317" s="346">
        <v>46</v>
      </c>
      <c r="E317" s="346">
        <v>476</v>
      </c>
      <c r="F317" s="346">
        <v>946</v>
      </c>
      <c r="G317" s="346">
        <v>481</v>
      </c>
      <c r="H317" s="346">
        <v>8155</v>
      </c>
      <c r="I317" s="345">
        <v>7674</v>
      </c>
      <c r="J317" s="345">
        <v>14</v>
      </c>
      <c r="K317" s="347">
        <v>85.43</v>
      </c>
      <c r="L317" s="347">
        <v>86.73</v>
      </c>
      <c r="M317" s="347">
        <v>5.8</v>
      </c>
      <c r="N317" s="347">
        <v>90.79</v>
      </c>
      <c r="O317" s="348">
        <v>5276</v>
      </c>
      <c r="P317" s="345">
        <v>81.430000000000007</v>
      </c>
      <c r="Q317" s="345">
        <v>75.95</v>
      </c>
      <c r="R317" s="345">
        <v>42</v>
      </c>
      <c r="S317" s="345">
        <v>122.66</v>
      </c>
      <c r="T317" s="345">
        <v>1098</v>
      </c>
      <c r="U317" s="345">
        <v>108.98</v>
      </c>
      <c r="V317" s="345">
        <v>860</v>
      </c>
      <c r="W317" s="345">
        <v>195.69</v>
      </c>
      <c r="X317" s="345">
        <v>162</v>
      </c>
      <c r="Y317" s="345">
        <v>0</v>
      </c>
      <c r="Z317" s="345">
        <v>8</v>
      </c>
      <c r="AA317" s="345">
        <v>0</v>
      </c>
      <c r="AB317" s="345">
        <v>8</v>
      </c>
      <c r="AC317" s="345">
        <v>5</v>
      </c>
      <c r="AD317" s="349">
        <v>6142</v>
      </c>
      <c r="AE317" s="349">
        <v>23</v>
      </c>
      <c r="AF317" s="349">
        <v>16</v>
      </c>
      <c r="AG317" s="349">
        <v>39</v>
      </c>
    </row>
    <row r="318" spans="1:33" x14ac:dyDescent="0.25">
      <c r="A318" s="344" t="s">
        <v>688</v>
      </c>
      <c r="B318" s="350" t="s">
        <v>689</v>
      </c>
      <c r="C318" s="346">
        <v>4040</v>
      </c>
      <c r="D318" s="346">
        <v>15</v>
      </c>
      <c r="E318" s="346">
        <v>235</v>
      </c>
      <c r="F318" s="346">
        <v>556</v>
      </c>
      <c r="G318" s="346">
        <v>184</v>
      </c>
      <c r="H318" s="346">
        <v>5030</v>
      </c>
      <c r="I318" s="345">
        <v>4846</v>
      </c>
      <c r="J318" s="345">
        <v>32</v>
      </c>
      <c r="K318" s="347">
        <v>99.77</v>
      </c>
      <c r="L318" s="347">
        <v>98.34</v>
      </c>
      <c r="M318" s="347">
        <v>6.93</v>
      </c>
      <c r="N318" s="347">
        <v>104.08</v>
      </c>
      <c r="O318" s="348">
        <v>3699</v>
      </c>
      <c r="P318" s="345">
        <v>87.79</v>
      </c>
      <c r="Q318" s="345">
        <v>82.98</v>
      </c>
      <c r="R318" s="345">
        <v>34.79</v>
      </c>
      <c r="S318" s="345">
        <v>121.51</v>
      </c>
      <c r="T318" s="345">
        <v>552</v>
      </c>
      <c r="U318" s="345">
        <v>147.66999999999999</v>
      </c>
      <c r="V318" s="345">
        <v>221</v>
      </c>
      <c r="W318" s="345">
        <v>135.07</v>
      </c>
      <c r="X318" s="345">
        <v>35</v>
      </c>
      <c r="Y318" s="345">
        <v>0</v>
      </c>
      <c r="Z318" s="345">
        <v>5</v>
      </c>
      <c r="AA318" s="345">
        <v>0</v>
      </c>
      <c r="AB318" s="345">
        <v>37</v>
      </c>
      <c r="AC318" s="345">
        <v>3</v>
      </c>
      <c r="AD318" s="349">
        <v>4024</v>
      </c>
      <c r="AE318" s="349">
        <v>15</v>
      </c>
      <c r="AF318" s="349">
        <v>7</v>
      </c>
      <c r="AG318" s="349">
        <v>22</v>
      </c>
    </row>
    <row r="319" spans="1:33" x14ac:dyDescent="0.25">
      <c r="A319" s="344" t="s">
        <v>690</v>
      </c>
      <c r="B319" s="350" t="s">
        <v>691</v>
      </c>
      <c r="C319" s="346">
        <v>7961</v>
      </c>
      <c r="D319" s="346">
        <v>7</v>
      </c>
      <c r="E319" s="346">
        <v>108</v>
      </c>
      <c r="F319" s="346">
        <v>898</v>
      </c>
      <c r="G319" s="346">
        <v>627</v>
      </c>
      <c r="H319" s="346">
        <v>9601</v>
      </c>
      <c r="I319" s="345">
        <v>8974</v>
      </c>
      <c r="J319" s="345">
        <v>1</v>
      </c>
      <c r="K319" s="347">
        <v>92.76</v>
      </c>
      <c r="L319" s="347">
        <v>91.02</v>
      </c>
      <c r="M319" s="347">
        <v>4.17</v>
      </c>
      <c r="N319" s="347">
        <v>95</v>
      </c>
      <c r="O319" s="348">
        <v>6815</v>
      </c>
      <c r="P319" s="345">
        <v>84.29</v>
      </c>
      <c r="Q319" s="345">
        <v>85.73</v>
      </c>
      <c r="R319" s="345">
        <v>34.03</v>
      </c>
      <c r="S319" s="345">
        <v>116.94</v>
      </c>
      <c r="T319" s="345">
        <v>859</v>
      </c>
      <c r="U319" s="345">
        <v>114.76</v>
      </c>
      <c r="V319" s="345">
        <v>1145</v>
      </c>
      <c r="W319" s="345">
        <v>222.03</v>
      </c>
      <c r="X319" s="345">
        <v>84</v>
      </c>
      <c r="Y319" s="345">
        <v>0</v>
      </c>
      <c r="Z319" s="345">
        <v>57</v>
      </c>
      <c r="AA319" s="345">
        <v>0</v>
      </c>
      <c r="AB319" s="345">
        <v>44</v>
      </c>
      <c r="AC319" s="345">
        <v>6</v>
      </c>
      <c r="AD319" s="349">
        <v>7961</v>
      </c>
      <c r="AE319" s="349">
        <v>42</v>
      </c>
      <c r="AF319" s="349">
        <v>16</v>
      </c>
      <c r="AG319" s="349">
        <v>58</v>
      </c>
    </row>
    <row r="320" spans="1:33" x14ac:dyDescent="0.25">
      <c r="A320" s="345" t="s">
        <v>692</v>
      </c>
      <c r="B320" s="346" t="s">
        <v>693</v>
      </c>
      <c r="C320" s="350">
        <v>3239</v>
      </c>
      <c r="D320" s="350">
        <v>0</v>
      </c>
      <c r="E320" s="350">
        <v>260</v>
      </c>
      <c r="F320" s="350">
        <v>387</v>
      </c>
      <c r="G320" s="350">
        <v>239</v>
      </c>
      <c r="H320" s="350">
        <v>4125</v>
      </c>
      <c r="I320" s="344">
        <v>3886</v>
      </c>
      <c r="J320" s="344">
        <v>3</v>
      </c>
      <c r="K320" s="353">
        <v>84.93</v>
      </c>
      <c r="L320" s="353">
        <v>84.48</v>
      </c>
      <c r="M320" s="353">
        <v>4.1900000000000004</v>
      </c>
      <c r="N320" s="353">
        <v>87.38</v>
      </c>
      <c r="O320" s="354">
        <v>2840</v>
      </c>
      <c r="P320" s="344">
        <v>98</v>
      </c>
      <c r="Q320" s="344">
        <v>84.03</v>
      </c>
      <c r="R320" s="344">
        <v>36.85</v>
      </c>
      <c r="S320" s="344">
        <v>134.72</v>
      </c>
      <c r="T320" s="344">
        <v>580</v>
      </c>
      <c r="U320" s="344">
        <v>105.78</v>
      </c>
      <c r="V320" s="344">
        <v>341</v>
      </c>
      <c r="W320" s="344">
        <v>0</v>
      </c>
      <c r="X320" s="344">
        <v>0</v>
      </c>
      <c r="Y320" s="344">
        <v>0</v>
      </c>
      <c r="Z320" s="344">
        <v>4</v>
      </c>
      <c r="AA320" s="344">
        <v>6</v>
      </c>
      <c r="AB320" s="344">
        <v>9</v>
      </c>
      <c r="AC320" s="344">
        <v>8</v>
      </c>
      <c r="AD320" s="355">
        <v>3195</v>
      </c>
      <c r="AE320" s="355">
        <v>25</v>
      </c>
      <c r="AF320" s="355">
        <v>35</v>
      </c>
      <c r="AG320" s="355">
        <v>60</v>
      </c>
    </row>
    <row r="321" spans="1:33" x14ac:dyDescent="0.25">
      <c r="A321" s="344" t="s">
        <v>694</v>
      </c>
      <c r="B321" s="350" t="s">
        <v>695</v>
      </c>
      <c r="C321" s="350">
        <v>4401</v>
      </c>
      <c r="D321" s="350">
        <v>0</v>
      </c>
      <c r="E321" s="350">
        <v>2197</v>
      </c>
      <c r="F321" s="350">
        <v>58</v>
      </c>
      <c r="G321" s="350">
        <v>443</v>
      </c>
      <c r="H321" s="350">
        <v>7099</v>
      </c>
      <c r="I321" s="344">
        <v>6656</v>
      </c>
      <c r="J321" s="344">
        <v>0</v>
      </c>
      <c r="K321" s="353">
        <v>86.63</v>
      </c>
      <c r="L321" s="353">
        <v>83.96</v>
      </c>
      <c r="M321" s="353">
        <v>4.5199999999999996</v>
      </c>
      <c r="N321" s="353">
        <v>90.97</v>
      </c>
      <c r="O321" s="354">
        <v>4048</v>
      </c>
      <c r="P321" s="344">
        <v>83.36</v>
      </c>
      <c r="Q321" s="344">
        <v>77.41</v>
      </c>
      <c r="R321" s="344">
        <v>16.91</v>
      </c>
      <c r="S321" s="344">
        <v>100.26</v>
      </c>
      <c r="T321" s="344">
        <v>2122</v>
      </c>
      <c r="U321" s="344">
        <v>97.75</v>
      </c>
      <c r="V321" s="344">
        <v>326</v>
      </c>
      <c r="W321" s="344">
        <v>200.22</v>
      </c>
      <c r="X321" s="344">
        <v>126</v>
      </c>
      <c r="Y321" s="344">
        <v>0</v>
      </c>
      <c r="Z321" s="344">
        <v>38</v>
      </c>
      <c r="AA321" s="344">
        <v>11</v>
      </c>
      <c r="AB321" s="344">
        <v>20</v>
      </c>
      <c r="AC321" s="344">
        <v>18</v>
      </c>
      <c r="AD321" s="355">
        <v>4401</v>
      </c>
      <c r="AE321" s="355">
        <v>29</v>
      </c>
      <c r="AF321" s="355">
        <v>69</v>
      </c>
      <c r="AG321" s="355">
        <v>98</v>
      </c>
    </row>
    <row r="322" spans="1:33" x14ac:dyDescent="0.25">
      <c r="A322" s="344" t="s">
        <v>696</v>
      </c>
      <c r="B322" s="350" t="s">
        <v>697</v>
      </c>
      <c r="C322" s="350">
        <v>3977</v>
      </c>
      <c r="D322" s="350">
        <v>6</v>
      </c>
      <c r="E322" s="350">
        <v>294</v>
      </c>
      <c r="F322" s="350">
        <v>721</v>
      </c>
      <c r="G322" s="350">
        <v>427</v>
      </c>
      <c r="H322" s="350">
        <v>5425</v>
      </c>
      <c r="I322" s="344">
        <v>4998</v>
      </c>
      <c r="J322" s="344">
        <v>76</v>
      </c>
      <c r="K322" s="353">
        <v>91.81</v>
      </c>
      <c r="L322" s="353">
        <v>90.52</v>
      </c>
      <c r="M322" s="353">
        <v>7.6</v>
      </c>
      <c r="N322" s="353">
        <v>95.48</v>
      </c>
      <c r="O322" s="354">
        <v>3064</v>
      </c>
      <c r="P322" s="344">
        <v>83.17</v>
      </c>
      <c r="Q322" s="344">
        <v>75.599999999999994</v>
      </c>
      <c r="R322" s="344">
        <v>29.43</v>
      </c>
      <c r="S322" s="344">
        <v>112.3</v>
      </c>
      <c r="T322" s="344">
        <v>698</v>
      </c>
      <c r="U322" s="344">
        <v>106.06</v>
      </c>
      <c r="V322" s="344">
        <v>502</v>
      </c>
      <c r="W322" s="344">
        <v>0</v>
      </c>
      <c r="X322" s="344">
        <v>0</v>
      </c>
      <c r="Y322" s="344">
        <v>0</v>
      </c>
      <c r="Z322" s="344">
        <v>0</v>
      </c>
      <c r="AA322" s="344">
        <v>6</v>
      </c>
      <c r="AB322" s="344">
        <v>15</v>
      </c>
      <c r="AC322" s="344">
        <v>9</v>
      </c>
      <c r="AD322" s="355">
        <v>3645</v>
      </c>
      <c r="AE322" s="355">
        <v>28</v>
      </c>
      <c r="AF322" s="355">
        <v>9</v>
      </c>
      <c r="AG322" s="355">
        <v>37</v>
      </c>
    </row>
  </sheetData>
  <pageMargins left="0.7" right="0.7" top="0.75" bottom="0.75" header="0.3" footer="0.3"/>
  <pageSetup paperSize="9" orientation="portrait" r:id="rId1"/>
  <headerFooter>
    <oddFooter>&amp;C&amp;1#&amp;"Calibri"&amp;12&amp;K0078D7OFFICIAL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8A0EB-1456-4582-85BE-4817D5A3A9ED}">
  <sheetPr codeName="Sheet11">
    <tabColor rgb="FFFFFF00"/>
  </sheetPr>
  <dimension ref="A1:BD322"/>
  <sheetViews>
    <sheetView topLeftCell="A190" zoomScale="80" zoomScaleNormal="80" workbookViewId="0">
      <selection sqref="A1:XFD1048576"/>
    </sheetView>
  </sheetViews>
  <sheetFormatPr defaultColWidth="9.140625" defaultRowHeight="12.75" x14ac:dyDescent="0.2"/>
  <cols>
    <col min="1" max="2" width="9.140625" style="145"/>
    <col min="3" max="3" width="10.5703125" style="145" customWidth="1"/>
    <col min="4" max="7" width="9.140625" style="145"/>
    <col min="8" max="8" width="11" style="145" customWidth="1"/>
    <col min="9" max="10" width="10.42578125" style="145" customWidth="1"/>
    <col min="11" max="11" width="10.42578125" style="145" bestFit="1" customWidth="1"/>
    <col min="12" max="14" width="9.140625" style="145"/>
    <col min="15" max="15" width="12.42578125" style="145" bestFit="1" customWidth="1"/>
    <col min="16" max="29" width="9.140625" style="145"/>
    <col min="30" max="30" width="13.28515625" style="145" customWidth="1"/>
    <col min="31" max="33" width="9.140625" style="145"/>
    <col min="34" max="56" width="9.140625" style="361"/>
    <col min="57" max="16384" width="9.140625" style="145"/>
  </cols>
  <sheetData>
    <row r="1" spans="1:33" s="144" customFormat="1" x14ac:dyDescent="0.2">
      <c r="A1" s="134"/>
      <c r="B1" s="134"/>
      <c r="C1" s="135" t="s">
        <v>38</v>
      </c>
      <c r="D1" s="135" t="s">
        <v>38</v>
      </c>
      <c r="E1" s="135" t="s">
        <v>38</v>
      </c>
      <c r="F1" s="135" t="s">
        <v>38</v>
      </c>
      <c r="G1" s="135" t="s">
        <v>38</v>
      </c>
      <c r="H1" s="135" t="s">
        <v>38</v>
      </c>
      <c r="I1" s="136" t="s">
        <v>39</v>
      </c>
      <c r="J1" s="136" t="s">
        <v>39</v>
      </c>
      <c r="K1" s="137" t="s">
        <v>40</v>
      </c>
      <c r="L1" s="137" t="s">
        <v>40</v>
      </c>
      <c r="M1" s="137" t="s">
        <v>40</v>
      </c>
      <c r="N1" s="138" t="s">
        <v>40</v>
      </c>
      <c r="O1" s="137" t="s">
        <v>40</v>
      </c>
      <c r="P1" s="139" t="s">
        <v>41</v>
      </c>
      <c r="Q1" s="139" t="s">
        <v>41</v>
      </c>
      <c r="R1" s="139" t="s">
        <v>41</v>
      </c>
      <c r="S1" s="139" t="s">
        <v>41</v>
      </c>
      <c r="T1" s="139" t="s">
        <v>41</v>
      </c>
      <c r="U1" s="140" t="s">
        <v>42</v>
      </c>
      <c r="V1" s="140" t="s">
        <v>42</v>
      </c>
      <c r="W1" s="141" t="s">
        <v>43</v>
      </c>
      <c r="X1" s="141" t="s">
        <v>43</v>
      </c>
      <c r="Y1" s="142" t="s">
        <v>44</v>
      </c>
      <c r="Z1" s="142" t="s">
        <v>44</v>
      </c>
      <c r="AA1" s="142" t="s">
        <v>44</v>
      </c>
      <c r="AB1" s="142" t="s">
        <v>44</v>
      </c>
      <c r="AC1" s="142" t="s">
        <v>44</v>
      </c>
      <c r="AD1" s="143" t="s">
        <v>45</v>
      </c>
      <c r="AE1" s="143" t="s">
        <v>45</v>
      </c>
      <c r="AF1" s="143" t="s">
        <v>45</v>
      </c>
      <c r="AG1" s="143" t="s">
        <v>45</v>
      </c>
    </row>
    <row r="2" spans="1:33" x14ac:dyDescent="0.2">
      <c r="B2" s="146">
        <v>1</v>
      </c>
      <c r="C2" s="146">
        <v>2</v>
      </c>
      <c r="D2" s="146">
        <v>3</v>
      </c>
      <c r="E2" s="146">
        <v>4</v>
      </c>
      <c r="F2" s="146">
        <v>5</v>
      </c>
      <c r="G2" s="146">
        <v>6</v>
      </c>
      <c r="H2" s="146">
        <v>7</v>
      </c>
      <c r="I2" s="146">
        <v>8</v>
      </c>
      <c r="J2" s="146">
        <v>9</v>
      </c>
      <c r="K2" s="146">
        <v>10</v>
      </c>
      <c r="L2" s="146">
        <v>11</v>
      </c>
      <c r="M2" s="146">
        <v>12</v>
      </c>
      <c r="N2" s="146">
        <v>13</v>
      </c>
      <c r="O2" s="146">
        <v>14</v>
      </c>
      <c r="P2" s="146">
        <v>15</v>
      </c>
      <c r="Q2" s="146">
        <v>16</v>
      </c>
      <c r="R2" s="146">
        <v>17</v>
      </c>
      <c r="S2" s="146">
        <v>18</v>
      </c>
      <c r="T2" s="146">
        <v>19</v>
      </c>
      <c r="U2" s="146">
        <v>20</v>
      </c>
      <c r="V2" s="146">
        <v>21</v>
      </c>
      <c r="W2" s="146">
        <v>22</v>
      </c>
      <c r="X2" s="146">
        <v>23</v>
      </c>
      <c r="Y2" s="146">
        <v>24</v>
      </c>
      <c r="Z2" s="146">
        <v>25</v>
      </c>
      <c r="AA2" s="146">
        <v>26</v>
      </c>
      <c r="AB2" s="146">
        <v>27</v>
      </c>
      <c r="AC2" s="146">
        <v>28</v>
      </c>
      <c r="AD2" s="146">
        <v>29</v>
      </c>
      <c r="AE2" s="146">
        <v>30</v>
      </c>
      <c r="AF2" s="146">
        <v>31</v>
      </c>
      <c r="AG2" s="146">
        <v>32</v>
      </c>
    </row>
    <row r="3" spans="1:33" ht="63.75" x14ac:dyDescent="0.2">
      <c r="A3" s="145" t="s">
        <v>46</v>
      </c>
      <c r="B3" s="145" t="s">
        <v>47</v>
      </c>
      <c r="C3" s="147" t="s">
        <v>48</v>
      </c>
      <c r="D3" s="147" t="s">
        <v>49</v>
      </c>
      <c r="E3" s="147" t="s">
        <v>50</v>
      </c>
      <c r="F3" s="147" t="s">
        <v>51</v>
      </c>
      <c r="G3" s="147" t="s">
        <v>52</v>
      </c>
      <c r="H3" s="147" t="s">
        <v>53</v>
      </c>
      <c r="I3" s="148" t="s">
        <v>54</v>
      </c>
      <c r="J3" s="148" t="s">
        <v>55</v>
      </c>
      <c r="K3" s="149" t="s">
        <v>56</v>
      </c>
      <c r="L3" s="149" t="s">
        <v>57</v>
      </c>
      <c r="M3" s="149" t="s">
        <v>58</v>
      </c>
      <c r="N3" s="150" t="s">
        <v>59</v>
      </c>
      <c r="O3" s="149" t="s">
        <v>60</v>
      </c>
      <c r="P3" s="151" t="s">
        <v>61</v>
      </c>
      <c r="Q3" s="151" t="s">
        <v>62</v>
      </c>
      <c r="R3" s="151" t="s">
        <v>58</v>
      </c>
      <c r="S3" s="151" t="s">
        <v>63</v>
      </c>
      <c r="T3" s="151" t="s">
        <v>64</v>
      </c>
      <c r="U3" s="152" t="s">
        <v>65</v>
      </c>
      <c r="V3" s="152" t="s">
        <v>66</v>
      </c>
      <c r="W3" s="153" t="s">
        <v>67</v>
      </c>
      <c r="X3" s="153" t="s">
        <v>68</v>
      </c>
      <c r="Y3" s="154" t="s">
        <v>69</v>
      </c>
      <c r="Z3" s="154" t="s">
        <v>70</v>
      </c>
      <c r="AA3" s="154" t="s">
        <v>71</v>
      </c>
      <c r="AB3" s="154" t="s">
        <v>72</v>
      </c>
      <c r="AC3" s="154" t="s">
        <v>73</v>
      </c>
      <c r="AD3" s="155" t="s">
        <v>74</v>
      </c>
      <c r="AE3" s="155" t="s">
        <v>75</v>
      </c>
      <c r="AF3" s="155" t="s">
        <v>76</v>
      </c>
      <c r="AG3" s="155" t="s">
        <v>77</v>
      </c>
    </row>
    <row r="4" spans="1:33" x14ac:dyDescent="0.2">
      <c r="A4" s="359" t="s">
        <v>13</v>
      </c>
      <c r="B4" s="359" t="s">
        <v>13</v>
      </c>
      <c r="C4" s="365">
        <v>2184736</v>
      </c>
      <c r="D4" s="363">
        <v>10643</v>
      </c>
      <c r="E4" s="363">
        <v>141255</v>
      </c>
      <c r="F4" s="363">
        <v>261912</v>
      </c>
      <c r="G4" s="363">
        <v>205804</v>
      </c>
      <c r="H4" s="365">
        <v>2804350</v>
      </c>
      <c r="I4" s="363">
        <v>2598546</v>
      </c>
      <c r="J4" s="363">
        <v>10772</v>
      </c>
      <c r="K4" s="364">
        <v>96.6</v>
      </c>
      <c r="L4" s="364">
        <v>96.19</v>
      </c>
      <c r="M4" s="364">
        <v>7.12</v>
      </c>
      <c r="N4" s="364">
        <v>166.27</v>
      </c>
      <c r="O4" s="365">
        <v>1826469</v>
      </c>
      <c r="P4" s="364">
        <v>93.69</v>
      </c>
      <c r="Q4" s="364">
        <v>85.46</v>
      </c>
      <c r="R4" s="364">
        <v>45.91</v>
      </c>
      <c r="S4" s="364">
        <v>143.97999999999999</v>
      </c>
      <c r="T4" s="365">
        <v>334866</v>
      </c>
      <c r="U4" s="364">
        <v>133.31</v>
      </c>
      <c r="V4" s="365">
        <v>272045</v>
      </c>
      <c r="W4" s="364">
        <v>176.5</v>
      </c>
      <c r="X4" s="365">
        <v>16901</v>
      </c>
      <c r="Y4" s="363">
        <v>5225</v>
      </c>
      <c r="Z4" s="363">
        <v>3193</v>
      </c>
      <c r="AA4" s="363">
        <v>2531</v>
      </c>
      <c r="AB4" s="363">
        <v>12576</v>
      </c>
      <c r="AC4" s="363">
        <v>4297</v>
      </c>
      <c r="AD4" s="365">
        <v>2127268</v>
      </c>
      <c r="AE4" s="363">
        <v>15784</v>
      </c>
      <c r="AF4" s="363">
        <v>13111</v>
      </c>
      <c r="AG4" s="363">
        <v>28895</v>
      </c>
    </row>
    <row r="5" spans="1:33" x14ac:dyDescent="0.2">
      <c r="A5" s="360" t="s">
        <v>78</v>
      </c>
      <c r="B5" s="360" t="s">
        <v>78</v>
      </c>
      <c r="C5" s="366">
        <v>116719</v>
      </c>
      <c r="D5" s="366">
        <v>537</v>
      </c>
      <c r="E5" s="366">
        <v>9086</v>
      </c>
      <c r="F5" s="366">
        <v>22179</v>
      </c>
      <c r="G5" s="366">
        <v>15100</v>
      </c>
      <c r="H5" s="363">
        <v>163621</v>
      </c>
      <c r="I5" s="363">
        <v>148521</v>
      </c>
      <c r="J5" s="366">
        <v>541</v>
      </c>
      <c r="K5" s="364">
        <v>89.01</v>
      </c>
      <c r="L5" s="364">
        <v>87.96</v>
      </c>
      <c r="M5" s="364">
        <v>5.26</v>
      </c>
      <c r="N5" s="364">
        <v>92.42</v>
      </c>
      <c r="O5" s="365">
        <v>95236</v>
      </c>
      <c r="P5" s="364">
        <v>89.77</v>
      </c>
      <c r="Q5" s="364">
        <v>79.680000000000007</v>
      </c>
      <c r="R5" s="364">
        <v>43.34</v>
      </c>
      <c r="S5" s="364">
        <v>131.22</v>
      </c>
      <c r="T5" s="365">
        <v>27499</v>
      </c>
      <c r="U5" s="364">
        <v>109.02</v>
      </c>
      <c r="V5" s="365">
        <v>17089</v>
      </c>
      <c r="W5" s="364">
        <v>164.87</v>
      </c>
      <c r="X5" s="365">
        <v>970</v>
      </c>
      <c r="Y5" s="366">
        <v>406</v>
      </c>
      <c r="Z5" s="366">
        <v>219</v>
      </c>
      <c r="AA5" s="366">
        <v>104</v>
      </c>
      <c r="AB5" s="366">
        <v>1130</v>
      </c>
      <c r="AC5" s="366">
        <v>276</v>
      </c>
      <c r="AD5" s="366">
        <v>114246</v>
      </c>
      <c r="AE5" s="366">
        <v>723</v>
      </c>
      <c r="AF5" s="366">
        <v>524</v>
      </c>
      <c r="AG5" s="366">
        <v>1247</v>
      </c>
    </row>
    <row r="6" spans="1:33" x14ac:dyDescent="0.2">
      <c r="A6" s="360" t="s">
        <v>79</v>
      </c>
      <c r="B6" s="360" t="s">
        <v>79</v>
      </c>
      <c r="C6" s="366">
        <v>223417</v>
      </c>
      <c r="D6" s="366">
        <v>1685</v>
      </c>
      <c r="E6" s="366">
        <v>12034</v>
      </c>
      <c r="F6" s="366">
        <v>27963</v>
      </c>
      <c r="G6" s="366">
        <v>23392</v>
      </c>
      <c r="H6" s="363">
        <v>288491</v>
      </c>
      <c r="I6" s="363">
        <v>265099</v>
      </c>
      <c r="J6" s="366">
        <v>1140</v>
      </c>
      <c r="K6" s="364">
        <v>100.52</v>
      </c>
      <c r="L6" s="364">
        <v>100.55</v>
      </c>
      <c r="M6" s="364">
        <v>6.13</v>
      </c>
      <c r="N6" s="364">
        <v>103.79</v>
      </c>
      <c r="O6" s="365">
        <v>184119</v>
      </c>
      <c r="P6" s="364">
        <v>96.04</v>
      </c>
      <c r="Q6" s="364">
        <v>88.48</v>
      </c>
      <c r="R6" s="364">
        <v>42.21</v>
      </c>
      <c r="S6" s="364">
        <v>137.04</v>
      </c>
      <c r="T6" s="365">
        <v>34466</v>
      </c>
      <c r="U6" s="364">
        <v>139.15</v>
      </c>
      <c r="V6" s="365">
        <v>33288</v>
      </c>
      <c r="W6" s="364">
        <v>156.33000000000001</v>
      </c>
      <c r="X6" s="365">
        <v>657</v>
      </c>
      <c r="Y6" s="366">
        <v>783</v>
      </c>
      <c r="Z6" s="366">
        <v>154</v>
      </c>
      <c r="AA6" s="366">
        <v>219</v>
      </c>
      <c r="AB6" s="366">
        <v>1801</v>
      </c>
      <c r="AC6" s="366">
        <v>416</v>
      </c>
      <c r="AD6" s="366">
        <v>221575</v>
      </c>
      <c r="AE6" s="366">
        <v>1438</v>
      </c>
      <c r="AF6" s="366">
        <v>1201</v>
      </c>
      <c r="AG6" s="366">
        <v>2639</v>
      </c>
    </row>
    <row r="7" spans="1:33" x14ac:dyDescent="0.2">
      <c r="A7" s="360" t="s">
        <v>80</v>
      </c>
      <c r="B7" s="360" t="s">
        <v>80</v>
      </c>
      <c r="C7" s="366">
        <v>357842</v>
      </c>
      <c r="D7" s="366">
        <v>5670</v>
      </c>
      <c r="E7" s="366">
        <v>27071</v>
      </c>
      <c r="F7" s="366">
        <v>28003</v>
      </c>
      <c r="G7" s="366">
        <v>51139</v>
      </c>
      <c r="H7" s="363">
        <v>469725</v>
      </c>
      <c r="I7" s="363">
        <v>418586</v>
      </c>
      <c r="J7" s="366">
        <v>3220</v>
      </c>
      <c r="K7" s="364">
        <v>123.2</v>
      </c>
      <c r="L7" s="364">
        <v>126.96</v>
      </c>
      <c r="M7" s="364">
        <v>13.07</v>
      </c>
      <c r="N7" s="364">
        <v>132.85</v>
      </c>
      <c r="O7" s="365">
        <v>289352</v>
      </c>
      <c r="P7" s="364">
        <v>113.06</v>
      </c>
      <c r="Q7" s="364">
        <v>107.44</v>
      </c>
      <c r="R7" s="364">
        <v>60.89</v>
      </c>
      <c r="S7" s="364">
        <v>170.66</v>
      </c>
      <c r="T7" s="365">
        <v>43312</v>
      </c>
      <c r="U7" s="364">
        <v>197</v>
      </c>
      <c r="V7" s="365">
        <v>36351</v>
      </c>
      <c r="W7" s="364">
        <v>231.12</v>
      </c>
      <c r="X7" s="365">
        <v>1692</v>
      </c>
      <c r="Y7" s="366">
        <v>1082</v>
      </c>
      <c r="Z7" s="366">
        <v>99</v>
      </c>
      <c r="AA7" s="366">
        <v>643</v>
      </c>
      <c r="AB7" s="366">
        <v>1975</v>
      </c>
      <c r="AC7" s="366">
        <v>1493</v>
      </c>
      <c r="AD7" s="366">
        <v>336478</v>
      </c>
      <c r="AE7" s="366">
        <v>3270</v>
      </c>
      <c r="AF7" s="366">
        <v>2070</v>
      </c>
      <c r="AG7" s="366">
        <v>5340</v>
      </c>
    </row>
    <row r="8" spans="1:33" x14ac:dyDescent="0.2">
      <c r="A8" s="360" t="s">
        <v>81</v>
      </c>
      <c r="B8" s="360" t="s">
        <v>81</v>
      </c>
      <c r="C8" s="366">
        <v>158846</v>
      </c>
      <c r="D8" s="366">
        <v>214</v>
      </c>
      <c r="E8" s="366">
        <v>6713</v>
      </c>
      <c r="F8" s="366">
        <v>16797</v>
      </c>
      <c r="G8" s="366">
        <v>3560</v>
      </c>
      <c r="H8" s="363">
        <v>186130</v>
      </c>
      <c r="I8" s="363">
        <v>182570</v>
      </c>
      <c r="J8" s="366">
        <v>102</v>
      </c>
      <c r="K8" s="364">
        <v>79.25</v>
      </c>
      <c r="L8" s="364">
        <v>78.27</v>
      </c>
      <c r="M8" s="364">
        <v>6.13</v>
      </c>
      <c r="N8" s="364">
        <v>81.22</v>
      </c>
      <c r="O8" s="365">
        <v>139998</v>
      </c>
      <c r="P8" s="364">
        <v>87.52</v>
      </c>
      <c r="Q8" s="364">
        <v>74.8</v>
      </c>
      <c r="R8" s="364">
        <v>52.48</v>
      </c>
      <c r="S8" s="364">
        <v>135.01</v>
      </c>
      <c r="T8" s="365">
        <v>19505</v>
      </c>
      <c r="U8" s="364">
        <v>97.96</v>
      </c>
      <c r="V8" s="365">
        <v>16166</v>
      </c>
      <c r="W8" s="364">
        <v>160.77000000000001</v>
      </c>
      <c r="X8" s="365">
        <v>2368</v>
      </c>
      <c r="Y8" s="366">
        <v>98</v>
      </c>
      <c r="Z8" s="366">
        <v>389</v>
      </c>
      <c r="AA8" s="366">
        <v>61</v>
      </c>
      <c r="AB8" s="366">
        <v>239</v>
      </c>
      <c r="AC8" s="366">
        <v>70</v>
      </c>
      <c r="AD8" s="366">
        <v>156801</v>
      </c>
      <c r="AE8" s="366">
        <v>1537</v>
      </c>
      <c r="AF8" s="366">
        <v>1522</v>
      </c>
      <c r="AG8" s="366">
        <v>3059</v>
      </c>
    </row>
    <row r="9" spans="1:33" x14ac:dyDescent="0.2">
      <c r="A9" s="360" t="s">
        <v>82</v>
      </c>
      <c r="B9" s="360" t="s">
        <v>82</v>
      </c>
      <c r="C9" s="366">
        <v>431252</v>
      </c>
      <c r="D9" s="366">
        <v>345</v>
      </c>
      <c r="E9" s="366">
        <v>24127</v>
      </c>
      <c r="F9" s="366">
        <v>52070</v>
      </c>
      <c r="G9" s="366">
        <v>16073</v>
      </c>
      <c r="H9" s="363">
        <v>523867</v>
      </c>
      <c r="I9" s="363">
        <v>507794</v>
      </c>
      <c r="J9" s="366">
        <v>517</v>
      </c>
      <c r="K9" s="364">
        <v>83.58</v>
      </c>
      <c r="L9" s="364">
        <v>82.64</v>
      </c>
      <c r="M9" s="364">
        <v>5.05</v>
      </c>
      <c r="N9" s="364">
        <v>86.41</v>
      </c>
      <c r="O9" s="365">
        <v>368761</v>
      </c>
      <c r="P9" s="364">
        <v>85.95</v>
      </c>
      <c r="Q9" s="364">
        <v>76.459999999999994</v>
      </c>
      <c r="R9" s="364">
        <v>40.369999999999997</v>
      </c>
      <c r="S9" s="364">
        <v>124.1</v>
      </c>
      <c r="T9" s="365">
        <v>66255</v>
      </c>
      <c r="U9" s="364">
        <v>105.84</v>
      </c>
      <c r="V9" s="365">
        <v>51246</v>
      </c>
      <c r="W9" s="364">
        <v>159.72</v>
      </c>
      <c r="X9" s="365">
        <v>2810</v>
      </c>
      <c r="Y9" s="366">
        <v>249</v>
      </c>
      <c r="Z9" s="366">
        <v>1298</v>
      </c>
      <c r="AA9" s="366">
        <v>336</v>
      </c>
      <c r="AB9" s="366">
        <v>1202</v>
      </c>
      <c r="AC9" s="366">
        <v>248</v>
      </c>
      <c r="AD9" s="366">
        <v>421054</v>
      </c>
      <c r="AE9" s="366">
        <v>2519</v>
      </c>
      <c r="AF9" s="366">
        <v>2812</v>
      </c>
      <c r="AG9" s="366">
        <v>5331</v>
      </c>
    </row>
    <row r="10" spans="1:33" x14ac:dyDescent="0.2">
      <c r="A10" s="360" t="s">
        <v>83</v>
      </c>
      <c r="B10" s="360" t="s">
        <v>83</v>
      </c>
      <c r="C10" s="366">
        <v>303417</v>
      </c>
      <c r="D10" s="366">
        <v>999</v>
      </c>
      <c r="E10" s="366">
        <v>15953</v>
      </c>
      <c r="F10" s="366">
        <v>38958</v>
      </c>
      <c r="G10" s="366">
        <v>48052</v>
      </c>
      <c r="H10" s="363">
        <v>407379</v>
      </c>
      <c r="I10" s="363">
        <v>359327</v>
      </c>
      <c r="J10" s="366">
        <v>1284</v>
      </c>
      <c r="K10" s="364">
        <v>109.68</v>
      </c>
      <c r="L10" s="364">
        <v>107.94</v>
      </c>
      <c r="M10" s="364">
        <v>6.51</v>
      </c>
      <c r="N10" s="364">
        <v>113.8</v>
      </c>
      <c r="O10" s="365">
        <v>245436</v>
      </c>
      <c r="P10" s="364">
        <v>99.62</v>
      </c>
      <c r="Q10" s="364">
        <v>92.13</v>
      </c>
      <c r="R10" s="364">
        <v>38.61</v>
      </c>
      <c r="S10" s="364">
        <v>136.52000000000001</v>
      </c>
      <c r="T10" s="365">
        <v>43373</v>
      </c>
      <c r="U10" s="364">
        <v>159.16999999999999</v>
      </c>
      <c r="V10" s="365">
        <v>46530</v>
      </c>
      <c r="W10" s="364">
        <v>183.62</v>
      </c>
      <c r="X10" s="365">
        <v>2474</v>
      </c>
      <c r="Y10" s="366">
        <v>1726</v>
      </c>
      <c r="Z10" s="366">
        <v>144</v>
      </c>
      <c r="AA10" s="366">
        <v>322</v>
      </c>
      <c r="AB10" s="366">
        <v>3213</v>
      </c>
      <c r="AC10" s="366">
        <v>902</v>
      </c>
      <c r="AD10" s="366">
        <v>296044</v>
      </c>
      <c r="AE10" s="366">
        <v>2173</v>
      </c>
      <c r="AF10" s="366">
        <v>1476</v>
      </c>
      <c r="AG10" s="366">
        <v>3649</v>
      </c>
    </row>
    <row r="11" spans="1:33" x14ac:dyDescent="0.2">
      <c r="A11" s="360" t="s">
        <v>84</v>
      </c>
      <c r="B11" s="360" t="s">
        <v>84</v>
      </c>
      <c r="C11" s="366">
        <v>200731</v>
      </c>
      <c r="D11" s="366">
        <v>195</v>
      </c>
      <c r="E11" s="366">
        <v>14437</v>
      </c>
      <c r="F11" s="366">
        <v>29938</v>
      </c>
      <c r="G11" s="366">
        <v>22569</v>
      </c>
      <c r="H11" s="363">
        <v>267870</v>
      </c>
      <c r="I11" s="363">
        <v>245301</v>
      </c>
      <c r="J11" s="366">
        <v>839</v>
      </c>
      <c r="K11" s="364">
        <v>93.91</v>
      </c>
      <c r="L11" s="364">
        <v>92.05</v>
      </c>
      <c r="M11" s="364">
        <v>5</v>
      </c>
      <c r="N11" s="364">
        <v>97.33</v>
      </c>
      <c r="O11" s="365">
        <v>164609</v>
      </c>
      <c r="P11" s="364">
        <v>88.6</v>
      </c>
      <c r="Q11" s="364">
        <v>82.5</v>
      </c>
      <c r="R11" s="364">
        <v>35.119999999999997</v>
      </c>
      <c r="S11" s="364">
        <v>122.62</v>
      </c>
      <c r="T11" s="365">
        <v>37126</v>
      </c>
      <c r="U11" s="364">
        <v>125.61</v>
      </c>
      <c r="V11" s="365">
        <v>27624</v>
      </c>
      <c r="W11" s="364">
        <v>154.30000000000001</v>
      </c>
      <c r="X11" s="365">
        <v>2006</v>
      </c>
      <c r="Y11" s="366">
        <v>269</v>
      </c>
      <c r="Z11" s="366">
        <v>207</v>
      </c>
      <c r="AA11" s="366">
        <v>336</v>
      </c>
      <c r="AB11" s="366">
        <v>1206</v>
      </c>
      <c r="AC11" s="366">
        <v>385</v>
      </c>
      <c r="AD11" s="366">
        <v>194205</v>
      </c>
      <c r="AE11" s="366">
        <v>1010</v>
      </c>
      <c r="AF11" s="366">
        <v>1281</v>
      </c>
      <c r="AG11" s="366">
        <v>2291</v>
      </c>
    </row>
    <row r="12" spans="1:33" x14ac:dyDescent="0.2">
      <c r="A12" s="360" t="s">
        <v>85</v>
      </c>
      <c r="B12" s="360" t="s">
        <v>85</v>
      </c>
      <c r="C12" s="366">
        <v>224054</v>
      </c>
      <c r="D12" s="366">
        <v>966</v>
      </c>
      <c r="E12" s="366">
        <v>19396</v>
      </c>
      <c r="F12" s="366">
        <v>27764</v>
      </c>
      <c r="G12" s="366">
        <v>17594</v>
      </c>
      <c r="H12" s="363">
        <v>289774</v>
      </c>
      <c r="I12" s="363">
        <v>272180</v>
      </c>
      <c r="J12" s="366">
        <v>622</v>
      </c>
      <c r="K12" s="364">
        <v>90.01</v>
      </c>
      <c r="L12" s="364">
        <v>88.6</v>
      </c>
      <c r="M12" s="364">
        <v>6.29</v>
      </c>
      <c r="N12" s="364">
        <v>94.28</v>
      </c>
      <c r="O12" s="365">
        <v>194547</v>
      </c>
      <c r="P12" s="364">
        <v>89.6</v>
      </c>
      <c r="Q12" s="364">
        <v>82.57</v>
      </c>
      <c r="R12" s="364">
        <v>59.46</v>
      </c>
      <c r="S12" s="364">
        <v>147.58000000000001</v>
      </c>
      <c r="T12" s="365">
        <v>37900</v>
      </c>
      <c r="U12" s="364">
        <v>113.31</v>
      </c>
      <c r="V12" s="365">
        <v>23299</v>
      </c>
      <c r="W12" s="364">
        <v>191.99</v>
      </c>
      <c r="X12" s="365">
        <v>2866</v>
      </c>
      <c r="Y12" s="366">
        <v>223</v>
      </c>
      <c r="Z12" s="366">
        <v>407</v>
      </c>
      <c r="AA12" s="366">
        <v>328</v>
      </c>
      <c r="AB12" s="366">
        <v>1106</v>
      </c>
      <c r="AC12" s="366">
        <v>344</v>
      </c>
      <c r="AD12" s="366">
        <v>220286</v>
      </c>
      <c r="AE12" s="366">
        <v>1569</v>
      </c>
      <c r="AF12" s="366">
        <v>1180</v>
      </c>
      <c r="AG12" s="366">
        <v>2749</v>
      </c>
    </row>
    <row r="13" spans="1:33" x14ac:dyDescent="0.2">
      <c r="A13" s="360" t="s">
        <v>788</v>
      </c>
      <c r="B13" s="360" t="s">
        <v>788</v>
      </c>
      <c r="C13" s="366">
        <v>168458</v>
      </c>
      <c r="D13" s="366">
        <v>32</v>
      </c>
      <c r="E13" s="366">
        <v>12438</v>
      </c>
      <c r="F13" s="366">
        <v>18240</v>
      </c>
      <c r="G13" s="366">
        <v>8325</v>
      </c>
      <c r="H13" s="363">
        <v>207493</v>
      </c>
      <c r="I13" s="363">
        <v>199168</v>
      </c>
      <c r="J13" s="366">
        <v>2507</v>
      </c>
      <c r="K13" s="364">
        <v>83.05</v>
      </c>
      <c r="L13" s="364">
        <v>82.01</v>
      </c>
      <c r="M13" s="364">
        <v>5.34</v>
      </c>
      <c r="N13" s="364">
        <v>86.15</v>
      </c>
      <c r="O13" s="365">
        <v>144411</v>
      </c>
      <c r="P13" s="364">
        <v>90.11</v>
      </c>
      <c r="Q13" s="364">
        <v>77.37</v>
      </c>
      <c r="R13" s="364">
        <v>45.92</v>
      </c>
      <c r="S13" s="364">
        <v>134.47</v>
      </c>
      <c r="T13" s="365">
        <v>25430</v>
      </c>
      <c r="U13" s="364">
        <v>101.99</v>
      </c>
      <c r="V13" s="365">
        <v>20452</v>
      </c>
      <c r="W13" s="364">
        <v>175.64</v>
      </c>
      <c r="X13" s="365">
        <v>1058</v>
      </c>
      <c r="Y13" s="366">
        <v>389</v>
      </c>
      <c r="Z13" s="366">
        <v>276</v>
      </c>
      <c r="AA13" s="366">
        <v>182</v>
      </c>
      <c r="AB13" s="366">
        <v>704</v>
      </c>
      <c r="AC13" s="366">
        <v>163</v>
      </c>
      <c r="AD13" s="366">
        <v>166579</v>
      </c>
      <c r="AE13" s="366">
        <v>1545</v>
      </c>
      <c r="AF13" s="366">
        <v>1045</v>
      </c>
      <c r="AG13" s="366">
        <v>2590</v>
      </c>
    </row>
    <row r="14" spans="1:33" x14ac:dyDescent="0.2">
      <c r="A14" s="359" t="s">
        <v>86</v>
      </c>
      <c r="B14" s="359" t="s">
        <v>87</v>
      </c>
      <c r="C14" s="366">
        <v>875</v>
      </c>
      <c r="D14" s="366">
        <v>0</v>
      </c>
      <c r="E14" s="366">
        <v>76</v>
      </c>
      <c r="F14" s="366">
        <v>138</v>
      </c>
      <c r="G14" s="366">
        <v>204</v>
      </c>
      <c r="H14" s="363">
        <v>1293</v>
      </c>
      <c r="I14" s="363">
        <v>1089</v>
      </c>
      <c r="J14" s="366">
        <v>15</v>
      </c>
      <c r="K14" s="364">
        <v>113.78</v>
      </c>
      <c r="L14" s="364">
        <v>110.62</v>
      </c>
      <c r="M14" s="364">
        <v>5.99</v>
      </c>
      <c r="N14" s="364">
        <v>118.11</v>
      </c>
      <c r="O14" s="365">
        <v>727</v>
      </c>
      <c r="P14" s="364">
        <v>85.66</v>
      </c>
      <c r="Q14" s="364">
        <v>84.14</v>
      </c>
      <c r="R14" s="364">
        <v>41.87</v>
      </c>
      <c r="S14" s="364">
        <v>127.29</v>
      </c>
      <c r="T14" s="365">
        <v>179</v>
      </c>
      <c r="U14" s="364">
        <v>159.61000000000001</v>
      </c>
      <c r="V14" s="365">
        <v>120</v>
      </c>
      <c r="W14" s="364">
        <v>150.08000000000001</v>
      </c>
      <c r="X14" s="365">
        <v>23</v>
      </c>
      <c r="Y14" s="366">
        <v>0</v>
      </c>
      <c r="Z14" s="366">
        <v>0</v>
      </c>
      <c r="AA14" s="366">
        <v>0</v>
      </c>
      <c r="AB14" s="366">
        <v>0</v>
      </c>
      <c r="AC14" s="366">
        <v>5</v>
      </c>
      <c r="AD14" s="366">
        <v>854</v>
      </c>
      <c r="AE14" s="366">
        <v>4</v>
      </c>
      <c r="AF14" s="366">
        <v>32</v>
      </c>
      <c r="AG14" s="366">
        <v>36</v>
      </c>
    </row>
    <row r="15" spans="1:33" x14ac:dyDescent="0.2">
      <c r="A15" s="359" t="s">
        <v>88</v>
      </c>
      <c r="B15" s="359" t="s">
        <v>89</v>
      </c>
      <c r="C15" s="366">
        <v>8306</v>
      </c>
      <c r="D15" s="366">
        <v>0</v>
      </c>
      <c r="E15" s="366">
        <v>147</v>
      </c>
      <c r="F15" s="366">
        <v>404</v>
      </c>
      <c r="G15" s="366">
        <v>124</v>
      </c>
      <c r="H15" s="363">
        <v>8981</v>
      </c>
      <c r="I15" s="363">
        <v>8857</v>
      </c>
      <c r="J15" s="366">
        <v>19</v>
      </c>
      <c r="K15" s="364">
        <v>86.79</v>
      </c>
      <c r="L15" s="364">
        <v>85.31</v>
      </c>
      <c r="M15" s="364">
        <v>2.4500000000000002</v>
      </c>
      <c r="N15" s="364">
        <v>88.83</v>
      </c>
      <c r="O15" s="365">
        <v>7288</v>
      </c>
      <c r="P15" s="364">
        <v>83.26</v>
      </c>
      <c r="Q15" s="364">
        <v>76.17</v>
      </c>
      <c r="R15" s="364">
        <v>41.78</v>
      </c>
      <c r="S15" s="364">
        <v>123.41</v>
      </c>
      <c r="T15" s="365">
        <v>464</v>
      </c>
      <c r="U15" s="364">
        <v>108.62</v>
      </c>
      <c r="V15" s="365">
        <v>458</v>
      </c>
      <c r="W15" s="364">
        <v>142.12</v>
      </c>
      <c r="X15" s="365">
        <v>49</v>
      </c>
      <c r="Y15" s="366">
        <v>0</v>
      </c>
      <c r="Z15" s="366">
        <v>10</v>
      </c>
      <c r="AA15" s="366">
        <v>12</v>
      </c>
      <c r="AB15" s="366">
        <v>2</v>
      </c>
      <c r="AC15" s="366">
        <v>0</v>
      </c>
      <c r="AD15" s="366">
        <v>7615</v>
      </c>
      <c r="AE15" s="366">
        <v>51</v>
      </c>
      <c r="AF15" s="366">
        <v>107</v>
      </c>
      <c r="AG15" s="366">
        <v>158</v>
      </c>
    </row>
    <row r="16" spans="1:33" x14ac:dyDescent="0.2">
      <c r="A16" s="359" t="s">
        <v>90</v>
      </c>
      <c r="B16" s="359" t="s">
        <v>91</v>
      </c>
      <c r="C16" s="366">
        <v>4709</v>
      </c>
      <c r="D16" s="366">
        <v>0</v>
      </c>
      <c r="E16" s="366">
        <v>171</v>
      </c>
      <c r="F16" s="366">
        <v>2434</v>
      </c>
      <c r="G16" s="366">
        <v>245</v>
      </c>
      <c r="H16" s="363">
        <v>7559</v>
      </c>
      <c r="I16" s="363">
        <v>7314</v>
      </c>
      <c r="J16" s="366">
        <v>2</v>
      </c>
      <c r="K16" s="364">
        <v>90.23</v>
      </c>
      <c r="L16" s="364">
        <v>88.53</v>
      </c>
      <c r="M16" s="364">
        <v>2.37</v>
      </c>
      <c r="N16" s="364">
        <v>92.4</v>
      </c>
      <c r="O16" s="365">
        <v>4271</v>
      </c>
      <c r="P16" s="364">
        <v>85.03</v>
      </c>
      <c r="Q16" s="364">
        <v>79.819999999999993</v>
      </c>
      <c r="R16" s="364">
        <v>9.35</v>
      </c>
      <c r="S16" s="364">
        <v>94.3</v>
      </c>
      <c r="T16" s="365">
        <v>2550</v>
      </c>
      <c r="U16" s="364">
        <v>103.28</v>
      </c>
      <c r="V16" s="365">
        <v>430</v>
      </c>
      <c r="W16" s="364">
        <v>0</v>
      </c>
      <c r="X16" s="365">
        <v>0</v>
      </c>
      <c r="Y16" s="366">
        <v>0</v>
      </c>
      <c r="Z16" s="366">
        <v>24</v>
      </c>
      <c r="AA16" s="366">
        <v>2</v>
      </c>
      <c r="AB16" s="366">
        <v>41</v>
      </c>
      <c r="AC16" s="366">
        <v>1</v>
      </c>
      <c r="AD16" s="366">
        <v>4682</v>
      </c>
      <c r="AE16" s="366">
        <v>27</v>
      </c>
      <c r="AF16" s="366">
        <v>2</v>
      </c>
      <c r="AG16" s="366">
        <v>29</v>
      </c>
    </row>
    <row r="17" spans="1:33" x14ac:dyDescent="0.2">
      <c r="A17" s="359" t="s">
        <v>92</v>
      </c>
      <c r="B17" s="359" t="s">
        <v>93</v>
      </c>
      <c r="C17" s="366">
        <v>3044</v>
      </c>
      <c r="D17" s="366">
        <v>1</v>
      </c>
      <c r="E17" s="366">
        <v>221</v>
      </c>
      <c r="F17" s="366">
        <v>378</v>
      </c>
      <c r="G17" s="366">
        <v>704</v>
      </c>
      <c r="H17" s="363">
        <v>4348</v>
      </c>
      <c r="I17" s="363">
        <v>3644</v>
      </c>
      <c r="J17" s="366">
        <v>7</v>
      </c>
      <c r="K17" s="364">
        <v>110.5</v>
      </c>
      <c r="L17" s="364">
        <v>108.11</v>
      </c>
      <c r="M17" s="364">
        <v>5.29</v>
      </c>
      <c r="N17" s="364">
        <v>114.78</v>
      </c>
      <c r="O17" s="365">
        <v>2233</v>
      </c>
      <c r="P17" s="364">
        <v>96.44</v>
      </c>
      <c r="Q17" s="364">
        <v>89.01</v>
      </c>
      <c r="R17" s="364">
        <v>52.93</v>
      </c>
      <c r="S17" s="364">
        <v>149</v>
      </c>
      <c r="T17" s="365">
        <v>424</v>
      </c>
      <c r="U17" s="364">
        <v>155.04</v>
      </c>
      <c r="V17" s="365">
        <v>741</v>
      </c>
      <c r="W17" s="364">
        <v>0</v>
      </c>
      <c r="X17" s="365">
        <v>0</v>
      </c>
      <c r="Y17" s="366">
        <v>0</v>
      </c>
      <c r="Z17" s="366">
        <v>0</v>
      </c>
      <c r="AA17" s="366">
        <v>6</v>
      </c>
      <c r="AB17" s="366">
        <v>52</v>
      </c>
      <c r="AC17" s="366">
        <v>13</v>
      </c>
      <c r="AD17" s="366">
        <v>3042</v>
      </c>
      <c r="AE17" s="366">
        <v>10</v>
      </c>
      <c r="AF17" s="366">
        <v>3</v>
      </c>
      <c r="AG17" s="366">
        <v>13</v>
      </c>
    </row>
    <row r="18" spans="1:33" x14ac:dyDescent="0.2">
      <c r="A18" s="359" t="s">
        <v>94</v>
      </c>
      <c r="B18" s="359" t="s">
        <v>95</v>
      </c>
      <c r="C18" s="366">
        <v>1638</v>
      </c>
      <c r="D18" s="366">
        <v>0</v>
      </c>
      <c r="E18" s="366">
        <v>179</v>
      </c>
      <c r="F18" s="366">
        <v>284</v>
      </c>
      <c r="G18" s="366">
        <v>191</v>
      </c>
      <c r="H18" s="363">
        <v>2292</v>
      </c>
      <c r="I18" s="363">
        <v>2101</v>
      </c>
      <c r="J18" s="366">
        <v>0</v>
      </c>
      <c r="K18" s="364">
        <v>87.36</v>
      </c>
      <c r="L18" s="364">
        <v>85.8</v>
      </c>
      <c r="M18" s="364">
        <v>5.48</v>
      </c>
      <c r="N18" s="364">
        <v>90.07</v>
      </c>
      <c r="O18" s="365">
        <v>1339</v>
      </c>
      <c r="P18" s="364">
        <v>98.81</v>
      </c>
      <c r="Q18" s="364">
        <v>84.89</v>
      </c>
      <c r="R18" s="364">
        <v>51.48</v>
      </c>
      <c r="S18" s="364">
        <v>146.5</v>
      </c>
      <c r="T18" s="365">
        <v>462</v>
      </c>
      <c r="U18" s="364">
        <v>103.11</v>
      </c>
      <c r="V18" s="365">
        <v>227</v>
      </c>
      <c r="W18" s="364">
        <v>0</v>
      </c>
      <c r="X18" s="365">
        <v>0</v>
      </c>
      <c r="Y18" s="366">
        <v>0</v>
      </c>
      <c r="Z18" s="366">
        <v>6</v>
      </c>
      <c r="AA18" s="366">
        <v>4</v>
      </c>
      <c r="AB18" s="366">
        <v>25</v>
      </c>
      <c r="AC18" s="366">
        <v>3</v>
      </c>
      <c r="AD18" s="366">
        <v>1638</v>
      </c>
      <c r="AE18" s="366">
        <v>6</v>
      </c>
      <c r="AF18" s="366">
        <v>8</v>
      </c>
      <c r="AG18" s="366">
        <v>14</v>
      </c>
    </row>
    <row r="19" spans="1:33" x14ac:dyDescent="0.2">
      <c r="A19" s="359" t="s">
        <v>96</v>
      </c>
      <c r="B19" s="359" t="s">
        <v>97</v>
      </c>
      <c r="C19" s="366">
        <v>2359</v>
      </c>
      <c r="D19" s="366">
        <v>0</v>
      </c>
      <c r="E19" s="366">
        <v>113</v>
      </c>
      <c r="F19" s="366">
        <v>185</v>
      </c>
      <c r="G19" s="366">
        <v>817</v>
      </c>
      <c r="H19" s="363">
        <v>3474</v>
      </c>
      <c r="I19" s="363">
        <v>2657</v>
      </c>
      <c r="J19" s="366">
        <v>16</v>
      </c>
      <c r="K19" s="364">
        <v>101.67</v>
      </c>
      <c r="L19" s="364">
        <v>98.85</v>
      </c>
      <c r="M19" s="364">
        <v>7.44</v>
      </c>
      <c r="N19" s="364">
        <v>107.71</v>
      </c>
      <c r="O19" s="365">
        <v>1768</v>
      </c>
      <c r="P19" s="364">
        <v>114.28</v>
      </c>
      <c r="Q19" s="364">
        <v>82.82</v>
      </c>
      <c r="R19" s="364">
        <v>51.43</v>
      </c>
      <c r="S19" s="364">
        <v>164.25</v>
      </c>
      <c r="T19" s="365">
        <v>247</v>
      </c>
      <c r="U19" s="364">
        <v>142.19999999999999</v>
      </c>
      <c r="V19" s="365">
        <v>527</v>
      </c>
      <c r="W19" s="364">
        <v>205.17</v>
      </c>
      <c r="X19" s="365">
        <v>51</v>
      </c>
      <c r="Y19" s="366">
        <v>0</v>
      </c>
      <c r="Z19" s="366">
        <v>0</v>
      </c>
      <c r="AA19" s="366">
        <v>6</v>
      </c>
      <c r="AB19" s="366">
        <v>78</v>
      </c>
      <c r="AC19" s="366">
        <v>9</v>
      </c>
      <c r="AD19" s="366">
        <v>2319</v>
      </c>
      <c r="AE19" s="366">
        <v>15</v>
      </c>
      <c r="AF19" s="366">
        <v>2</v>
      </c>
      <c r="AG19" s="366">
        <v>17</v>
      </c>
    </row>
    <row r="20" spans="1:33" x14ac:dyDescent="0.2">
      <c r="A20" s="359" t="s">
        <v>98</v>
      </c>
      <c r="B20" s="359" t="s">
        <v>99</v>
      </c>
      <c r="C20" s="366">
        <v>1830</v>
      </c>
      <c r="D20" s="366">
        <v>0</v>
      </c>
      <c r="E20" s="366">
        <v>118</v>
      </c>
      <c r="F20" s="366">
        <v>92</v>
      </c>
      <c r="G20" s="366">
        <v>179</v>
      </c>
      <c r="H20" s="363">
        <v>2219</v>
      </c>
      <c r="I20" s="363">
        <v>2040</v>
      </c>
      <c r="J20" s="366">
        <v>1</v>
      </c>
      <c r="K20" s="364">
        <v>94.43</v>
      </c>
      <c r="L20" s="364">
        <v>94.02</v>
      </c>
      <c r="M20" s="364">
        <v>4.34</v>
      </c>
      <c r="N20" s="364">
        <v>96.87</v>
      </c>
      <c r="O20" s="365">
        <v>1273</v>
      </c>
      <c r="P20" s="364">
        <v>109.78</v>
      </c>
      <c r="Q20" s="364">
        <v>89.88</v>
      </c>
      <c r="R20" s="364">
        <v>59.97</v>
      </c>
      <c r="S20" s="364">
        <v>167.21</v>
      </c>
      <c r="T20" s="365">
        <v>189</v>
      </c>
      <c r="U20" s="364">
        <v>122.12</v>
      </c>
      <c r="V20" s="365">
        <v>533</v>
      </c>
      <c r="W20" s="364">
        <v>109.94</v>
      </c>
      <c r="X20" s="365">
        <v>2</v>
      </c>
      <c r="Y20" s="366">
        <v>0</v>
      </c>
      <c r="Z20" s="366">
        <v>0</v>
      </c>
      <c r="AA20" s="366">
        <v>0</v>
      </c>
      <c r="AB20" s="366">
        <v>8</v>
      </c>
      <c r="AC20" s="366">
        <v>2</v>
      </c>
      <c r="AD20" s="366">
        <v>1830</v>
      </c>
      <c r="AE20" s="366">
        <v>7</v>
      </c>
      <c r="AF20" s="366">
        <v>8</v>
      </c>
      <c r="AG20" s="366">
        <v>15</v>
      </c>
    </row>
    <row r="21" spans="1:33" x14ac:dyDescent="0.2">
      <c r="A21" s="359" t="s">
        <v>100</v>
      </c>
      <c r="B21" s="359" t="s">
        <v>101</v>
      </c>
      <c r="C21" s="366">
        <v>4463</v>
      </c>
      <c r="D21" s="366">
        <v>0</v>
      </c>
      <c r="E21" s="366">
        <v>373</v>
      </c>
      <c r="F21" s="366">
        <v>455</v>
      </c>
      <c r="G21" s="366">
        <v>1262</v>
      </c>
      <c r="H21" s="363">
        <v>6553</v>
      </c>
      <c r="I21" s="363">
        <v>5291</v>
      </c>
      <c r="J21" s="366">
        <v>33</v>
      </c>
      <c r="K21" s="364">
        <v>118.71</v>
      </c>
      <c r="L21" s="364">
        <v>115.12</v>
      </c>
      <c r="M21" s="364">
        <v>8.27</v>
      </c>
      <c r="N21" s="364">
        <v>123.42</v>
      </c>
      <c r="O21" s="365">
        <v>2773</v>
      </c>
      <c r="P21" s="364">
        <v>105.17</v>
      </c>
      <c r="Q21" s="364">
        <v>100.49</v>
      </c>
      <c r="R21" s="364">
        <v>70.03</v>
      </c>
      <c r="S21" s="364">
        <v>175</v>
      </c>
      <c r="T21" s="365">
        <v>669</v>
      </c>
      <c r="U21" s="364">
        <v>174.12</v>
      </c>
      <c r="V21" s="365">
        <v>820</v>
      </c>
      <c r="W21" s="364">
        <v>0</v>
      </c>
      <c r="X21" s="365">
        <v>0</v>
      </c>
      <c r="Y21" s="366">
        <v>0</v>
      </c>
      <c r="Z21" s="366">
        <v>2</v>
      </c>
      <c r="AA21" s="366">
        <v>2</v>
      </c>
      <c r="AB21" s="366">
        <v>125</v>
      </c>
      <c r="AC21" s="366">
        <v>26</v>
      </c>
      <c r="AD21" s="366">
        <v>4448</v>
      </c>
      <c r="AE21" s="366">
        <v>88</v>
      </c>
      <c r="AF21" s="366">
        <v>21</v>
      </c>
      <c r="AG21" s="366">
        <v>109</v>
      </c>
    </row>
    <row r="22" spans="1:33" x14ac:dyDescent="0.2">
      <c r="A22" s="359" t="s">
        <v>102</v>
      </c>
      <c r="B22" s="359" t="s">
        <v>103</v>
      </c>
      <c r="C22" s="366">
        <v>7796</v>
      </c>
      <c r="D22" s="366">
        <v>29</v>
      </c>
      <c r="E22" s="366">
        <v>572</v>
      </c>
      <c r="F22" s="366">
        <v>1151</v>
      </c>
      <c r="G22" s="366">
        <v>1500</v>
      </c>
      <c r="H22" s="363">
        <v>11048</v>
      </c>
      <c r="I22" s="363">
        <v>9548</v>
      </c>
      <c r="J22" s="366">
        <v>19</v>
      </c>
      <c r="K22" s="364">
        <v>128.78</v>
      </c>
      <c r="L22" s="364">
        <v>129.13999999999999</v>
      </c>
      <c r="M22" s="364">
        <v>15.52</v>
      </c>
      <c r="N22" s="364">
        <v>141.71</v>
      </c>
      <c r="O22" s="365">
        <v>5771</v>
      </c>
      <c r="P22" s="364">
        <v>117.76</v>
      </c>
      <c r="Q22" s="364">
        <v>110.7</v>
      </c>
      <c r="R22" s="364">
        <v>55.49</v>
      </c>
      <c r="S22" s="364">
        <v>169.39</v>
      </c>
      <c r="T22" s="365">
        <v>906</v>
      </c>
      <c r="U22" s="364">
        <v>216.2</v>
      </c>
      <c r="V22" s="365">
        <v>1433</v>
      </c>
      <c r="W22" s="364">
        <v>225.96</v>
      </c>
      <c r="X22" s="365">
        <v>41</v>
      </c>
      <c r="Y22" s="366">
        <v>16</v>
      </c>
      <c r="Z22" s="366">
        <v>0</v>
      </c>
      <c r="AA22" s="366">
        <v>7</v>
      </c>
      <c r="AB22" s="366">
        <v>57</v>
      </c>
      <c r="AC22" s="366">
        <v>43</v>
      </c>
      <c r="AD22" s="366">
        <v>7009</v>
      </c>
      <c r="AE22" s="366">
        <v>21</v>
      </c>
      <c r="AF22" s="366">
        <v>73</v>
      </c>
      <c r="AG22" s="366">
        <v>94</v>
      </c>
    </row>
    <row r="23" spans="1:33" x14ac:dyDescent="0.2">
      <c r="A23" s="359" t="s">
        <v>104</v>
      </c>
      <c r="B23" s="359" t="s">
        <v>105</v>
      </c>
      <c r="C23" s="366">
        <v>3141</v>
      </c>
      <c r="D23" s="366">
        <v>0</v>
      </c>
      <c r="E23" s="366">
        <v>340</v>
      </c>
      <c r="F23" s="366">
        <v>672</v>
      </c>
      <c r="G23" s="366">
        <v>328</v>
      </c>
      <c r="H23" s="363">
        <v>4481</v>
      </c>
      <c r="I23" s="363">
        <v>4153</v>
      </c>
      <c r="J23" s="366">
        <v>10</v>
      </c>
      <c r="K23" s="364">
        <v>86.51</v>
      </c>
      <c r="L23" s="364">
        <v>83.19</v>
      </c>
      <c r="M23" s="364">
        <v>4.79</v>
      </c>
      <c r="N23" s="364">
        <v>88.7</v>
      </c>
      <c r="O23" s="365">
        <v>1884</v>
      </c>
      <c r="P23" s="364">
        <v>89.94</v>
      </c>
      <c r="Q23" s="364">
        <v>83.79</v>
      </c>
      <c r="R23" s="364">
        <v>39.19</v>
      </c>
      <c r="S23" s="364">
        <v>125.73</v>
      </c>
      <c r="T23" s="365">
        <v>979</v>
      </c>
      <c r="U23" s="364">
        <v>96.08</v>
      </c>
      <c r="V23" s="365">
        <v>1163</v>
      </c>
      <c r="W23" s="364">
        <v>0</v>
      </c>
      <c r="X23" s="365">
        <v>0</v>
      </c>
      <c r="Y23" s="366">
        <v>0</v>
      </c>
      <c r="Z23" s="366">
        <v>0</v>
      </c>
      <c r="AA23" s="366">
        <v>7</v>
      </c>
      <c r="AB23" s="366">
        <v>23</v>
      </c>
      <c r="AC23" s="366">
        <v>7</v>
      </c>
      <c r="AD23" s="366">
        <v>3136</v>
      </c>
      <c r="AE23" s="366">
        <v>24</v>
      </c>
      <c r="AF23" s="366">
        <v>18</v>
      </c>
      <c r="AG23" s="366">
        <v>42</v>
      </c>
    </row>
    <row r="24" spans="1:33" x14ac:dyDescent="0.2">
      <c r="A24" s="359" t="s">
        <v>106</v>
      </c>
      <c r="B24" s="359" t="s">
        <v>107</v>
      </c>
      <c r="C24" s="366">
        <v>518</v>
      </c>
      <c r="D24" s="366">
        <v>0</v>
      </c>
      <c r="E24" s="366">
        <v>252</v>
      </c>
      <c r="F24" s="366">
        <v>196</v>
      </c>
      <c r="G24" s="366">
        <v>11</v>
      </c>
      <c r="H24" s="363">
        <v>977</v>
      </c>
      <c r="I24" s="363">
        <v>966</v>
      </c>
      <c r="J24" s="366">
        <v>2</v>
      </c>
      <c r="K24" s="364">
        <v>80.8</v>
      </c>
      <c r="L24" s="364">
        <v>77.39</v>
      </c>
      <c r="M24" s="364">
        <v>6.89</v>
      </c>
      <c r="N24" s="364">
        <v>85.27</v>
      </c>
      <c r="O24" s="365">
        <v>474</v>
      </c>
      <c r="P24" s="364">
        <v>100.22</v>
      </c>
      <c r="Q24" s="364">
        <v>78.53</v>
      </c>
      <c r="R24" s="364">
        <v>87.99</v>
      </c>
      <c r="S24" s="364">
        <v>183.26</v>
      </c>
      <c r="T24" s="365">
        <v>391</v>
      </c>
      <c r="U24" s="364">
        <v>109.83</v>
      </c>
      <c r="V24" s="365">
        <v>27</v>
      </c>
      <c r="W24" s="364">
        <v>0</v>
      </c>
      <c r="X24" s="365">
        <v>0</v>
      </c>
      <c r="Y24" s="366">
        <v>22</v>
      </c>
      <c r="Z24" s="366">
        <v>0</v>
      </c>
      <c r="AA24" s="366">
        <v>1</v>
      </c>
      <c r="AB24" s="366">
        <v>0</v>
      </c>
      <c r="AC24" s="366">
        <v>0</v>
      </c>
      <c r="AD24" s="366">
        <v>516</v>
      </c>
      <c r="AE24" s="366">
        <v>0</v>
      </c>
      <c r="AF24" s="366">
        <v>1</v>
      </c>
      <c r="AG24" s="366">
        <v>1</v>
      </c>
    </row>
    <row r="25" spans="1:33" x14ac:dyDescent="0.2">
      <c r="A25" s="359" t="s">
        <v>108</v>
      </c>
      <c r="B25" s="359" t="s">
        <v>109</v>
      </c>
      <c r="C25" s="366">
        <v>5307</v>
      </c>
      <c r="D25" s="366">
        <v>0</v>
      </c>
      <c r="E25" s="366">
        <v>272</v>
      </c>
      <c r="F25" s="366">
        <v>331</v>
      </c>
      <c r="G25" s="366">
        <v>755</v>
      </c>
      <c r="H25" s="363">
        <v>6665</v>
      </c>
      <c r="I25" s="363">
        <v>5910</v>
      </c>
      <c r="J25" s="366">
        <v>0</v>
      </c>
      <c r="K25" s="364">
        <v>111.59</v>
      </c>
      <c r="L25" s="364">
        <v>110.99</v>
      </c>
      <c r="M25" s="364">
        <v>5.46</v>
      </c>
      <c r="N25" s="364">
        <v>114.52</v>
      </c>
      <c r="O25" s="365">
        <v>4985</v>
      </c>
      <c r="P25" s="364">
        <v>100.38</v>
      </c>
      <c r="Q25" s="364">
        <v>92.68</v>
      </c>
      <c r="R25" s="364">
        <v>49.41</v>
      </c>
      <c r="S25" s="364">
        <v>148.82</v>
      </c>
      <c r="T25" s="365">
        <v>512</v>
      </c>
      <c r="U25" s="364">
        <v>132.82</v>
      </c>
      <c r="V25" s="365">
        <v>186</v>
      </c>
      <c r="W25" s="364">
        <v>0</v>
      </c>
      <c r="X25" s="365">
        <v>0</v>
      </c>
      <c r="Y25" s="366">
        <v>0</v>
      </c>
      <c r="Z25" s="366">
        <v>0</v>
      </c>
      <c r="AA25" s="366">
        <v>2</v>
      </c>
      <c r="AB25" s="366">
        <v>14</v>
      </c>
      <c r="AC25" s="366">
        <v>8</v>
      </c>
      <c r="AD25" s="366">
        <v>5307</v>
      </c>
      <c r="AE25" s="366">
        <v>13</v>
      </c>
      <c r="AF25" s="366">
        <v>13</v>
      </c>
      <c r="AG25" s="366">
        <v>26</v>
      </c>
    </row>
    <row r="26" spans="1:33" x14ac:dyDescent="0.2">
      <c r="A26" s="359" t="s">
        <v>110</v>
      </c>
      <c r="B26" s="359" t="s">
        <v>111</v>
      </c>
      <c r="C26" s="366">
        <v>12931</v>
      </c>
      <c r="D26" s="366">
        <v>312</v>
      </c>
      <c r="E26" s="366">
        <v>399</v>
      </c>
      <c r="F26" s="366">
        <v>862</v>
      </c>
      <c r="G26" s="366">
        <v>1430</v>
      </c>
      <c r="H26" s="363">
        <v>15934</v>
      </c>
      <c r="I26" s="363">
        <v>14504</v>
      </c>
      <c r="J26" s="366">
        <v>3</v>
      </c>
      <c r="K26" s="364">
        <v>113.84</v>
      </c>
      <c r="L26" s="364">
        <v>110.77</v>
      </c>
      <c r="M26" s="364">
        <v>5.32</v>
      </c>
      <c r="N26" s="364">
        <v>115.99</v>
      </c>
      <c r="O26" s="365">
        <v>11367</v>
      </c>
      <c r="P26" s="364">
        <v>102.82</v>
      </c>
      <c r="Q26" s="364">
        <v>92.24</v>
      </c>
      <c r="R26" s="364">
        <v>36.94</v>
      </c>
      <c r="S26" s="364">
        <v>137.1</v>
      </c>
      <c r="T26" s="365">
        <v>1112</v>
      </c>
      <c r="U26" s="364">
        <v>155.66999999999999</v>
      </c>
      <c r="V26" s="365">
        <v>1286</v>
      </c>
      <c r="W26" s="364">
        <v>151.15</v>
      </c>
      <c r="X26" s="365">
        <v>2</v>
      </c>
      <c r="Y26" s="366">
        <v>22</v>
      </c>
      <c r="Z26" s="366">
        <v>9</v>
      </c>
      <c r="AA26" s="366">
        <v>1</v>
      </c>
      <c r="AB26" s="366">
        <v>81</v>
      </c>
      <c r="AC26" s="366">
        <v>31</v>
      </c>
      <c r="AD26" s="366">
        <v>12892</v>
      </c>
      <c r="AE26" s="366">
        <v>84</v>
      </c>
      <c r="AF26" s="366">
        <v>30</v>
      </c>
      <c r="AG26" s="366">
        <v>114</v>
      </c>
    </row>
    <row r="27" spans="1:33" x14ac:dyDescent="0.2">
      <c r="A27" s="359" t="s">
        <v>112</v>
      </c>
      <c r="B27" s="359" t="s">
        <v>113</v>
      </c>
      <c r="C27" s="366">
        <v>1102</v>
      </c>
      <c r="D27" s="366">
        <v>0</v>
      </c>
      <c r="E27" s="366">
        <v>284</v>
      </c>
      <c r="F27" s="366">
        <v>141</v>
      </c>
      <c r="G27" s="366">
        <v>127</v>
      </c>
      <c r="H27" s="363">
        <v>1654</v>
      </c>
      <c r="I27" s="363">
        <v>1527</v>
      </c>
      <c r="J27" s="366">
        <v>1</v>
      </c>
      <c r="K27" s="364">
        <v>87.54</v>
      </c>
      <c r="L27" s="364">
        <v>85.68</v>
      </c>
      <c r="M27" s="364">
        <v>3.25</v>
      </c>
      <c r="N27" s="364">
        <v>89.62</v>
      </c>
      <c r="O27" s="365">
        <v>893</v>
      </c>
      <c r="P27" s="364">
        <v>123.58</v>
      </c>
      <c r="Q27" s="364">
        <v>71.3</v>
      </c>
      <c r="R27" s="364">
        <v>76.17</v>
      </c>
      <c r="S27" s="364">
        <v>199.53</v>
      </c>
      <c r="T27" s="365">
        <v>362</v>
      </c>
      <c r="U27" s="364">
        <v>104.15</v>
      </c>
      <c r="V27" s="365">
        <v>191</v>
      </c>
      <c r="W27" s="364">
        <v>147.1</v>
      </c>
      <c r="X27" s="365">
        <v>21</v>
      </c>
      <c r="Y27" s="366">
        <v>0</v>
      </c>
      <c r="Z27" s="366">
        <v>2</v>
      </c>
      <c r="AA27" s="366">
        <v>5</v>
      </c>
      <c r="AB27" s="366">
        <v>11</v>
      </c>
      <c r="AC27" s="366">
        <v>3</v>
      </c>
      <c r="AD27" s="366">
        <v>1099</v>
      </c>
      <c r="AE27" s="366">
        <v>6</v>
      </c>
      <c r="AF27" s="366">
        <v>8</v>
      </c>
      <c r="AG27" s="366">
        <v>14</v>
      </c>
    </row>
    <row r="28" spans="1:33" x14ac:dyDescent="0.2">
      <c r="A28" s="359" t="s">
        <v>114</v>
      </c>
      <c r="B28" s="359" t="s">
        <v>115</v>
      </c>
      <c r="C28" s="366">
        <v>9297</v>
      </c>
      <c r="D28" s="366">
        <v>0</v>
      </c>
      <c r="E28" s="366">
        <v>392</v>
      </c>
      <c r="F28" s="366">
        <v>2110</v>
      </c>
      <c r="G28" s="366">
        <v>687</v>
      </c>
      <c r="H28" s="363">
        <v>12486</v>
      </c>
      <c r="I28" s="363">
        <v>11799</v>
      </c>
      <c r="J28" s="366">
        <v>8</v>
      </c>
      <c r="K28" s="364">
        <v>101.89</v>
      </c>
      <c r="L28" s="364">
        <v>99.03</v>
      </c>
      <c r="M28" s="364">
        <v>4.8</v>
      </c>
      <c r="N28" s="364">
        <v>106.08</v>
      </c>
      <c r="O28" s="365">
        <v>8479</v>
      </c>
      <c r="P28" s="364">
        <v>94.81</v>
      </c>
      <c r="Q28" s="364">
        <v>87.53</v>
      </c>
      <c r="R28" s="364">
        <v>18.43</v>
      </c>
      <c r="S28" s="364">
        <v>112.99</v>
      </c>
      <c r="T28" s="365">
        <v>2201</v>
      </c>
      <c r="U28" s="364">
        <v>138.97999999999999</v>
      </c>
      <c r="V28" s="365">
        <v>728</v>
      </c>
      <c r="W28" s="364">
        <v>121.93</v>
      </c>
      <c r="X28" s="365">
        <v>79</v>
      </c>
      <c r="Y28" s="366">
        <v>0</v>
      </c>
      <c r="Z28" s="366">
        <v>12</v>
      </c>
      <c r="AA28" s="366">
        <v>3</v>
      </c>
      <c r="AB28" s="366">
        <v>22</v>
      </c>
      <c r="AC28" s="366">
        <v>10</v>
      </c>
      <c r="AD28" s="366">
        <v>9231</v>
      </c>
      <c r="AE28" s="366">
        <v>12</v>
      </c>
      <c r="AF28" s="366">
        <v>110</v>
      </c>
      <c r="AG28" s="366">
        <v>122</v>
      </c>
    </row>
    <row r="29" spans="1:33" x14ac:dyDescent="0.2">
      <c r="A29" s="359" t="s">
        <v>116</v>
      </c>
      <c r="B29" s="359" t="s">
        <v>117</v>
      </c>
      <c r="C29" s="366">
        <v>10902</v>
      </c>
      <c r="D29" s="366">
        <v>0</v>
      </c>
      <c r="E29" s="366">
        <v>419</v>
      </c>
      <c r="F29" s="366">
        <v>1114</v>
      </c>
      <c r="G29" s="366">
        <v>1375</v>
      </c>
      <c r="H29" s="363">
        <v>13810</v>
      </c>
      <c r="I29" s="363">
        <v>12435</v>
      </c>
      <c r="J29" s="366">
        <v>0</v>
      </c>
      <c r="K29" s="364">
        <v>99.52</v>
      </c>
      <c r="L29" s="364">
        <v>98.97</v>
      </c>
      <c r="M29" s="364">
        <v>8.6300000000000008</v>
      </c>
      <c r="N29" s="364">
        <v>105.61</v>
      </c>
      <c r="O29" s="365">
        <v>9148</v>
      </c>
      <c r="P29" s="364">
        <v>103.08</v>
      </c>
      <c r="Q29" s="364">
        <v>94.41</v>
      </c>
      <c r="R29" s="364">
        <v>52.78</v>
      </c>
      <c r="S29" s="364">
        <v>154.83000000000001</v>
      </c>
      <c r="T29" s="365">
        <v>1278</v>
      </c>
      <c r="U29" s="364">
        <v>136.6</v>
      </c>
      <c r="V29" s="365">
        <v>1456</v>
      </c>
      <c r="W29" s="364">
        <v>110.03</v>
      </c>
      <c r="X29" s="365">
        <v>5</v>
      </c>
      <c r="Y29" s="366">
        <v>16</v>
      </c>
      <c r="Z29" s="366">
        <v>3</v>
      </c>
      <c r="AA29" s="366">
        <v>5</v>
      </c>
      <c r="AB29" s="366">
        <v>118</v>
      </c>
      <c r="AC29" s="366">
        <v>19</v>
      </c>
      <c r="AD29" s="366">
        <v>10819</v>
      </c>
      <c r="AE29" s="366">
        <v>56</v>
      </c>
      <c r="AF29" s="366">
        <v>18</v>
      </c>
      <c r="AG29" s="366">
        <v>74</v>
      </c>
    </row>
    <row r="30" spans="1:33" x14ac:dyDescent="0.2">
      <c r="A30" s="359" t="s">
        <v>118</v>
      </c>
      <c r="B30" s="359" t="s">
        <v>119</v>
      </c>
      <c r="C30" s="366">
        <v>12120</v>
      </c>
      <c r="D30" s="366">
        <v>60</v>
      </c>
      <c r="E30" s="366">
        <v>158</v>
      </c>
      <c r="F30" s="366">
        <v>1302</v>
      </c>
      <c r="G30" s="366">
        <v>1345</v>
      </c>
      <c r="H30" s="363">
        <v>14985</v>
      </c>
      <c r="I30" s="363">
        <v>13640</v>
      </c>
      <c r="J30" s="366">
        <v>18</v>
      </c>
      <c r="K30" s="364">
        <v>112.22</v>
      </c>
      <c r="L30" s="364">
        <v>109.57</v>
      </c>
      <c r="M30" s="364">
        <v>12.24</v>
      </c>
      <c r="N30" s="364">
        <v>123.59</v>
      </c>
      <c r="O30" s="365">
        <v>9592</v>
      </c>
      <c r="P30" s="364">
        <v>98.35</v>
      </c>
      <c r="Q30" s="364">
        <v>94.11</v>
      </c>
      <c r="R30" s="364">
        <v>36.64</v>
      </c>
      <c r="S30" s="364">
        <v>134.35</v>
      </c>
      <c r="T30" s="365">
        <v>1319</v>
      </c>
      <c r="U30" s="364">
        <v>165.37</v>
      </c>
      <c r="V30" s="365">
        <v>1545</v>
      </c>
      <c r="W30" s="364">
        <v>0</v>
      </c>
      <c r="X30" s="365">
        <v>0</v>
      </c>
      <c r="Y30" s="366">
        <v>1</v>
      </c>
      <c r="Z30" s="366">
        <v>15</v>
      </c>
      <c r="AA30" s="366">
        <v>13</v>
      </c>
      <c r="AB30" s="366">
        <v>26</v>
      </c>
      <c r="AC30" s="366">
        <v>49</v>
      </c>
      <c r="AD30" s="366">
        <v>11267</v>
      </c>
      <c r="AE30" s="366">
        <v>164</v>
      </c>
      <c r="AF30" s="366">
        <v>46</v>
      </c>
      <c r="AG30" s="366">
        <v>210</v>
      </c>
    </row>
    <row r="31" spans="1:33" x14ac:dyDescent="0.2">
      <c r="A31" s="359" t="s">
        <v>120</v>
      </c>
      <c r="B31" s="359" t="s">
        <v>121</v>
      </c>
      <c r="C31" s="366">
        <v>33803</v>
      </c>
      <c r="D31" s="366">
        <v>836</v>
      </c>
      <c r="E31" s="366">
        <v>9396</v>
      </c>
      <c r="F31" s="366">
        <v>4476</v>
      </c>
      <c r="G31" s="366">
        <v>3038</v>
      </c>
      <c r="H31" s="363">
        <v>51549</v>
      </c>
      <c r="I31" s="363">
        <v>48511</v>
      </c>
      <c r="J31" s="366">
        <v>243</v>
      </c>
      <c r="K31" s="364">
        <v>93.74</v>
      </c>
      <c r="L31" s="364">
        <v>92.35</v>
      </c>
      <c r="M31" s="364">
        <v>8.32</v>
      </c>
      <c r="N31" s="364">
        <v>100.16</v>
      </c>
      <c r="O31" s="365">
        <v>30212</v>
      </c>
      <c r="P31" s="364">
        <v>85.78</v>
      </c>
      <c r="Q31" s="364">
        <v>80.540000000000006</v>
      </c>
      <c r="R31" s="364">
        <v>100.53</v>
      </c>
      <c r="S31" s="364">
        <v>185.5</v>
      </c>
      <c r="T31" s="365">
        <v>10478</v>
      </c>
      <c r="U31" s="364">
        <v>118.6</v>
      </c>
      <c r="V31" s="365">
        <v>1731</v>
      </c>
      <c r="W31" s="364">
        <v>183.32</v>
      </c>
      <c r="X31" s="365">
        <v>132</v>
      </c>
      <c r="Y31" s="366">
        <v>75</v>
      </c>
      <c r="Z31" s="366">
        <v>39</v>
      </c>
      <c r="AA31" s="366">
        <v>35</v>
      </c>
      <c r="AB31" s="366">
        <v>62</v>
      </c>
      <c r="AC31" s="366">
        <v>83</v>
      </c>
      <c r="AD31" s="366">
        <v>32407</v>
      </c>
      <c r="AE31" s="366">
        <v>167</v>
      </c>
      <c r="AF31" s="366">
        <v>82</v>
      </c>
      <c r="AG31" s="366">
        <v>249</v>
      </c>
    </row>
    <row r="32" spans="1:33" x14ac:dyDescent="0.2">
      <c r="A32" s="359" t="s">
        <v>122</v>
      </c>
      <c r="B32" s="359" t="s">
        <v>123</v>
      </c>
      <c r="C32" s="366">
        <v>2219</v>
      </c>
      <c r="D32" s="366">
        <v>0</v>
      </c>
      <c r="E32" s="366">
        <v>117</v>
      </c>
      <c r="F32" s="366">
        <v>1361</v>
      </c>
      <c r="G32" s="366">
        <v>412</v>
      </c>
      <c r="H32" s="363">
        <v>4109</v>
      </c>
      <c r="I32" s="363">
        <v>3697</v>
      </c>
      <c r="J32" s="366">
        <v>1</v>
      </c>
      <c r="K32" s="364">
        <v>87.79</v>
      </c>
      <c r="L32" s="364">
        <v>88.81</v>
      </c>
      <c r="M32" s="364">
        <v>4.67</v>
      </c>
      <c r="N32" s="364">
        <v>90.52</v>
      </c>
      <c r="O32" s="365">
        <v>1617</v>
      </c>
      <c r="P32" s="364">
        <v>76.47</v>
      </c>
      <c r="Q32" s="364">
        <v>75.239999999999995</v>
      </c>
      <c r="R32" s="364">
        <v>17.170000000000002</v>
      </c>
      <c r="S32" s="364">
        <v>93.5</v>
      </c>
      <c r="T32" s="365">
        <v>1361</v>
      </c>
      <c r="U32" s="364">
        <v>112.78</v>
      </c>
      <c r="V32" s="365">
        <v>512</v>
      </c>
      <c r="W32" s="364">
        <v>108.87</v>
      </c>
      <c r="X32" s="365">
        <v>112</v>
      </c>
      <c r="Y32" s="366">
        <v>0</v>
      </c>
      <c r="Z32" s="366">
        <v>4</v>
      </c>
      <c r="AA32" s="366">
        <v>3</v>
      </c>
      <c r="AB32" s="366">
        <v>7</v>
      </c>
      <c r="AC32" s="366">
        <v>7</v>
      </c>
      <c r="AD32" s="366">
        <v>2219</v>
      </c>
      <c r="AE32" s="366">
        <v>16</v>
      </c>
      <c r="AF32" s="366">
        <v>6</v>
      </c>
      <c r="AG32" s="366">
        <v>22</v>
      </c>
    </row>
    <row r="33" spans="1:33" x14ac:dyDescent="0.2">
      <c r="A33" s="359" t="s">
        <v>124</v>
      </c>
      <c r="B33" s="359" t="s">
        <v>125</v>
      </c>
      <c r="C33" s="366">
        <v>9942</v>
      </c>
      <c r="D33" s="366">
        <v>0</v>
      </c>
      <c r="E33" s="366">
        <v>534</v>
      </c>
      <c r="F33" s="366">
        <v>1093</v>
      </c>
      <c r="G33" s="366">
        <v>199</v>
      </c>
      <c r="H33" s="363">
        <v>11768</v>
      </c>
      <c r="I33" s="363">
        <v>11569</v>
      </c>
      <c r="J33" s="366">
        <v>1</v>
      </c>
      <c r="K33" s="364">
        <v>79.2</v>
      </c>
      <c r="L33" s="364">
        <v>75.709999999999994</v>
      </c>
      <c r="M33" s="364">
        <v>1.91</v>
      </c>
      <c r="N33" s="364">
        <v>80.89</v>
      </c>
      <c r="O33" s="365">
        <v>8411</v>
      </c>
      <c r="P33" s="364">
        <v>88.55</v>
      </c>
      <c r="Q33" s="364">
        <v>71.12</v>
      </c>
      <c r="R33" s="364">
        <v>60.03</v>
      </c>
      <c r="S33" s="364">
        <v>146.54</v>
      </c>
      <c r="T33" s="365">
        <v>1317</v>
      </c>
      <c r="U33" s="364">
        <v>96.95</v>
      </c>
      <c r="V33" s="365">
        <v>1449</v>
      </c>
      <c r="W33" s="364">
        <v>153.52000000000001</v>
      </c>
      <c r="X33" s="365">
        <v>215</v>
      </c>
      <c r="Y33" s="366">
        <v>0</v>
      </c>
      <c r="Z33" s="366">
        <v>42</v>
      </c>
      <c r="AA33" s="366">
        <v>2</v>
      </c>
      <c r="AB33" s="366">
        <v>1</v>
      </c>
      <c r="AC33" s="366">
        <v>5</v>
      </c>
      <c r="AD33" s="366">
        <v>9933</v>
      </c>
      <c r="AE33" s="366">
        <v>55</v>
      </c>
      <c r="AF33" s="366">
        <v>65</v>
      </c>
      <c r="AG33" s="366">
        <v>120</v>
      </c>
    </row>
    <row r="34" spans="1:33" x14ac:dyDescent="0.2">
      <c r="A34" s="359" t="s">
        <v>126</v>
      </c>
      <c r="B34" s="359" t="s">
        <v>127</v>
      </c>
      <c r="C34" s="366">
        <v>1772</v>
      </c>
      <c r="D34" s="366">
        <v>0</v>
      </c>
      <c r="E34" s="366">
        <v>490</v>
      </c>
      <c r="F34" s="366">
        <v>201</v>
      </c>
      <c r="G34" s="366">
        <v>148</v>
      </c>
      <c r="H34" s="363">
        <v>2611</v>
      </c>
      <c r="I34" s="363">
        <v>2463</v>
      </c>
      <c r="J34" s="366">
        <v>0</v>
      </c>
      <c r="K34" s="364">
        <v>86.95</v>
      </c>
      <c r="L34" s="364">
        <v>84.49</v>
      </c>
      <c r="M34" s="364">
        <v>4.6900000000000004</v>
      </c>
      <c r="N34" s="364">
        <v>90.65</v>
      </c>
      <c r="O34" s="365">
        <v>1191</v>
      </c>
      <c r="P34" s="364">
        <v>113.23</v>
      </c>
      <c r="Q34" s="364">
        <v>84.96</v>
      </c>
      <c r="R34" s="364">
        <v>71.41</v>
      </c>
      <c r="S34" s="364">
        <v>178.73</v>
      </c>
      <c r="T34" s="365">
        <v>605</v>
      </c>
      <c r="U34" s="364">
        <v>106.33</v>
      </c>
      <c r="V34" s="365">
        <v>460</v>
      </c>
      <c r="W34" s="364">
        <v>0</v>
      </c>
      <c r="X34" s="365">
        <v>0</v>
      </c>
      <c r="Y34" s="366">
        <v>0</v>
      </c>
      <c r="Z34" s="366">
        <v>4</v>
      </c>
      <c r="AA34" s="366">
        <v>0</v>
      </c>
      <c r="AB34" s="366">
        <v>0</v>
      </c>
      <c r="AC34" s="366">
        <v>2</v>
      </c>
      <c r="AD34" s="366">
        <v>1681</v>
      </c>
      <c r="AE34" s="366">
        <v>7</v>
      </c>
      <c r="AF34" s="366">
        <v>15</v>
      </c>
      <c r="AG34" s="366">
        <v>22</v>
      </c>
    </row>
    <row r="35" spans="1:33" x14ac:dyDescent="0.2">
      <c r="A35" s="359" t="s">
        <v>128</v>
      </c>
      <c r="B35" s="359" t="s">
        <v>129</v>
      </c>
      <c r="C35" s="366">
        <v>814</v>
      </c>
      <c r="D35" s="366">
        <v>0</v>
      </c>
      <c r="E35" s="366">
        <v>102</v>
      </c>
      <c r="F35" s="366">
        <v>261</v>
      </c>
      <c r="G35" s="366">
        <v>49</v>
      </c>
      <c r="H35" s="363">
        <v>1226</v>
      </c>
      <c r="I35" s="363">
        <v>1177</v>
      </c>
      <c r="J35" s="366">
        <v>0</v>
      </c>
      <c r="K35" s="364">
        <v>90.32</v>
      </c>
      <c r="L35" s="364">
        <v>88.49</v>
      </c>
      <c r="M35" s="364">
        <v>3.79</v>
      </c>
      <c r="N35" s="364">
        <v>92.61</v>
      </c>
      <c r="O35" s="365">
        <v>650</v>
      </c>
      <c r="P35" s="364">
        <v>103.04</v>
      </c>
      <c r="Q35" s="364">
        <v>86.91</v>
      </c>
      <c r="R35" s="364">
        <v>33.840000000000003</v>
      </c>
      <c r="S35" s="364">
        <v>134.05000000000001</v>
      </c>
      <c r="T35" s="365">
        <v>346</v>
      </c>
      <c r="U35" s="364">
        <v>93.92</v>
      </c>
      <c r="V35" s="365">
        <v>130</v>
      </c>
      <c r="W35" s="364">
        <v>0</v>
      </c>
      <c r="X35" s="365">
        <v>0</v>
      </c>
      <c r="Y35" s="366">
        <v>0</v>
      </c>
      <c r="Z35" s="366">
        <v>2</v>
      </c>
      <c r="AA35" s="366">
        <v>0</v>
      </c>
      <c r="AB35" s="366">
        <v>13</v>
      </c>
      <c r="AC35" s="366">
        <v>0</v>
      </c>
      <c r="AD35" s="366">
        <v>762</v>
      </c>
      <c r="AE35" s="366">
        <v>5</v>
      </c>
      <c r="AF35" s="366">
        <v>0</v>
      </c>
      <c r="AG35" s="366">
        <v>5</v>
      </c>
    </row>
    <row r="36" spans="1:33" x14ac:dyDescent="0.2">
      <c r="A36" s="359" t="s">
        <v>130</v>
      </c>
      <c r="B36" s="359" t="s">
        <v>131</v>
      </c>
      <c r="C36" s="366">
        <v>20520</v>
      </c>
      <c r="D36" s="366">
        <v>25</v>
      </c>
      <c r="E36" s="366">
        <v>859</v>
      </c>
      <c r="F36" s="366">
        <v>3995</v>
      </c>
      <c r="G36" s="366">
        <v>343</v>
      </c>
      <c r="H36" s="363">
        <v>25742</v>
      </c>
      <c r="I36" s="363">
        <v>25399</v>
      </c>
      <c r="J36" s="366">
        <v>73</v>
      </c>
      <c r="K36" s="364">
        <v>78.37</v>
      </c>
      <c r="L36" s="364">
        <v>79.680000000000007</v>
      </c>
      <c r="M36" s="364">
        <v>3.65</v>
      </c>
      <c r="N36" s="364">
        <v>81.67</v>
      </c>
      <c r="O36" s="365">
        <v>16983</v>
      </c>
      <c r="P36" s="364">
        <v>77.709999999999994</v>
      </c>
      <c r="Q36" s="364">
        <v>72.16</v>
      </c>
      <c r="R36" s="364">
        <v>35.79</v>
      </c>
      <c r="S36" s="364">
        <v>113.29</v>
      </c>
      <c r="T36" s="365">
        <v>4767</v>
      </c>
      <c r="U36" s="364">
        <v>97.15</v>
      </c>
      <c r="V36" s="365">
        <v>3280</v>
      </c>
      <c r="W36" s="364">
        <v>94.69</v>
      </c>
      <c r="X36" s="365">
        <v>1</v>
      </c>
      <c r="Y36" s="366">
        <v>0</v>
      </c>
      <c r="Z36" s="366">
        <v>113</v>
      </c>
      <c r="AA36" s="366">
        <v>2</v>
      </c>
      <c r="AB36" s="366">
        <v>14</v>
      </c>
      <c r="AC36" s="366">
        <v>7</v>
      </c>
      <c r="AD36" s="366">
        <v>20485</v>
      </c>
      <c r="AE36" s="366">
        <v>74</v>
      </c>
      <c r="AF36" s="366">
        <v>250</v>
      </c>
      <c r="AG36" s="366">
        <v>324</v>
      </c>
    </row>
    <row r="37" spans="1:33" x14ac:dyDescent="0.2">
      <c r="A37" s="359" t="s">
        <v>132</v>
      </c>
      <c r="B37" s="359" t="s">
        <v>133</v>
      </c>
      <c r="C37" s="366">
        <v>4774</v>
      </c>
      <c r="D37" s="366">
        <v>0</v>
      </c>
      <c r="E37" s="366">
        <v>172</v>
      </c>
      <c r="F37" s="366">
        <v>904</v>
      </c>
      <c r="G37" s="366">
        <v>361</v>
      </c>
      <c r="H37" s="363">
        <v>6211</v>
      </c>
      <c r="I37" s="363">
        <v>5850</v>
      </c>
      <c r="J37" s="366">
        <v>1</v>
      </c>
      <c r="K37" s="364">
        <v>80.819999999999993</v>
      </c>
      <c r="L37" s="364">
        <v>77.77</v>
      </c>
      <c r="M37" s="364">
        <v>2.14</v>
      </c>
      <c r="N37" s="364">
        <v>82.94</v>
      </c>
      <c r="O37" s="365">
        <v>4058</v>
      </c>
      <c r="P37" s="364">
        <v>79.53</v>
      </c>
      <c r="Q37" s="364">
        <v>72.12</v>
      </c>
      <c r="R37" s="364">
        <v>25.46</v>
      </c>
      <c r="S37" s="364">
        <v>104.99</v>
      </c>
      <c r="T37" s="365">
        <v>1026</v>
      </c>
      <c r="U37" s="364">
        <v>107.86</v>
      </c>
      <c r="V37" s="365">
        <v>555</v>
      </c>
      <c r="W37" s="364">
        <v>335.65</v>
      </c>
      <c r="X37" s="365">
        <v>6</v>
      </c>
      <c r="Y37" s="366">
        <v>0</v>
      </c>
      <c r="Z37" s="366">
        <v>13</v>
      </c>
      <c r="AA37" s="366">
        <v>0</v>
      </c>
      <c r="AB37" s="366">
        <v>33</v>
      </c>
      <c r="AC37" s="366">
        <v>6</v>
      </c>
      <c r="AD37" s="366">
        <v>4738</v>
      </c>
      <c r="AE37" s="366">
        <v>19</v>
      </c>
      <c r="AF37" s="366">
        <v>15</v>
      </c>
      <c r="AG37" s="366">
        <v>34</v>
      </c>
    </row>
    <row r="38" spans="1:33" x14ac:dyDescent="0.2">
      <c r="A38" s="359" t="s">
        <v>134</v>
      </c>
      <c r="B38" s="359" t="s">
        <v>135</v>
      </c>
      <c r="C38" s="366">
        <v>6868</v>
      </c>
      <c r="D38" s="366">
        <v>20</v>
      </c>
      <c r="E38" s="366">
        <v>1241</v>
      </c>
      <c r="F38" s="366">
        <v>975</v>
      </c>
      <c r="G38" s="366">
        <v>882</v>
      </c>
      <c r="H38" s="363">
        <v>9986</v>
      </c>
      <c r="I38" s="363">
        <v>9104</v>
      </c>
      <c r="J38" s="366">
        <v>20</v>
      </c>
      <c r="K38" s="364">
        <v>105.12</v>
      </c>
      <c r="L38" s="364">
        <v>103.01</v>
      </c>
      <c r="M38" s="364">
        <v>5.88</v>
      </c>
      <c r="N38" s="364">
        <v>109.28</v>
      </c>
      <c r="O38" s="365">
        <v>5846</v>
      </c>
      <c r="P38" s="364">
        <v>98.52</v>
      </c>
      <c r="Q38" s="364">
        <v>84.03</v>
      </c>
      <c r="R38" s="364">
        <v>49.68</v>
      </c>
      <c r="S38" s="364">
        <v>145.77000000000001</v>
      </c>
      <c r="T38" s="365">
        <v>1740</v>
      </c>
      <c r="U38" s="364">
        <v>146.06</v>
      </c>
      <c r="V38" s="365">
        <v>581</v>
      </c>
      <c r="W38" s="364">
        <v>343.62</v>
      </c>
      <c r="X38" s="365">
        <v>50</v>
      </c>
      <c r="Y38" s="366">
        <v>11</v>
      </c>
      <c r="Z38" s="366">
        <v>0</v>
      </c>
      <c r="AA38" s="366">
        <v>2</v>
      </c>
      <c r="AB38" s="366">
        <v>7</v>
      </c>
      <c r="AC38" s="366">
        <v>12</v>
      </c>
      <c r="AD38" s="366">
        <v>6431</v>
      </c>
      <c r="AE38" s="366">
        <v>36</v>
      </c>
      <c r="AF38" s="366">
        <v>34</v>
      </c>
      <c r="AG38" s="366">
        <v>70</v>
      </c>
    </row>
    <row r="39" spans="1:33" x14ac:dyDescent="0.2">
      <c r="A39" s="359" t="s">
        <v>136</v>
      </c>
      <c r="B39" s="359" t="s">
        <v>137</v>
      </c>
      <c r="C39" s="366">
        <v>7413</v>
      </c>
      <c r="D39" s="366">
        <v>0</v>
      </c>
      <c r="E39" s="366">
        <v>259</v>
      </c>
      <c r="F39" s="366">
        <v>545</v>
      </c>
      <c r="G39" s="366">
        <v>800</v>
      </c>
      <c r="H39" s="363">
        <v>9017</v>
      </c>
      <c r="I39" s="363">
        <v>8217</v>
      </c>
      <c r="J39" s="366">
        <v>22</v>
      </c>
      <c r="K39" s="364">
        <v>110.38</v>
      </c>
      <c r="L39" s="364">
        <v>110.04</v>
      </c>
      <c r="M39" s="364">
        <v>8.0299999999999994</v>
      </c>
      <c r="N39" s="364">
        <v>113.48</v>
      </c>
      <c r="O39" s="365">
        <v>6705</v>
      </c>
      <c r="P39" s="364">
        <v>99.4</v>
      </c>
      <c r="Q39" s="364">
        <v>97.67</v>
      </c>
      <c r="R39" s="364">
        <v>36.020000000000003</v>
      </c>
      <c r="S39" s="364">
        <v>133.87</v>
      </c>
      <c r="T39" s="365">
        <v>773</v>
      </c>
      <c r="U39" s="364">
        <v>167.26</v>
      </c>
      <c r="V39" s="365">
        <v>647</v>
      </c>
      <c r="W39" s="364">
        <v>0</v>
      </c>
      <c r="X39" s="365">
        <v>0</v>
      </c>
      <c r="Y39" s="366">
        <v>12</v>
      </c>
      <c r="Z39" s="366">
        <v>9</v>
      </c>
      <c r="AA39" s="366">
        <v>0</v>
      </c>
      <c r="AB39" s="366">
        <v>62</v>
      </c>
      <c r="AC39" s="366">
        <v>12</v>
      </c>
      <c r="AD39" s="366">
        <v>7401</v>
      </c>
      <c r="AE39" s="366">
        <v>29</v>
      </c>
      <c r="AF39" s="366">
        <v>170</v>
      </c>
      <c r="AG39" s="366">
        <v>199</v>
      </c>
    </row>
    <row r="40" spans="1:33" x14ac:dyDescent="0.2">
      <c r="A40" s="359" t="s">
        <v>138</v>
      </c>
      <c r="B40" s="359" t="s">
        <v>139</v>
      </c>
      <c r="C40" s="366">
        <v>26878</v>
      </c>
      <c r="D40" s="366">
        <v>0</v>
      </c>
      <c r="E40" s="366">
        <v>1808</v>
      </c>
      <c r="F40" s="366">
        <v>2846</v>
      </c>
      <c r="G40" s="366">
        <v>584</v>
      </c>
      <c r="H40" s="363">
        <v>32116</v>
      </c>
      <c r="I40" s="363">
        <v>31532</v>
      </c>
      <c r="J40" s="366">
        <v>2102</v>
      </c>
      <c r="K40" s="364">
        <v>79.72</v>
      </c>
      <c r="L40" s="364">
        <v>79.23</v>
      </c>
      <c r="M40" s="364">
        <v>5.34</v>
      </c>
      <c r="N40" s="364">
        <v>84.81</v>
      </c>
      <c r="O40" s="365">
        <v>23401</v>
      </c>
      <c r="P40" s="364">
        <v>85.11</v>
      </c>
      <c r="Q40" s="364">
        <v>75.959999999999994</v>
      </c>
      <c r="R40" s="364">
        <v>44.38</v>
      </c>
      <c r="S40" s="364">
        <v>128.26</v>
      </c>
      <c r="T40" s="365">
        <v>3651</v>
      </c>
      <c r="U40" s="364">
        <v>100.08</v>
      </c>
      <c r="V40" s="365">
        <v>3408</v>
      </c>
      <c r="W40" s="364">
        <v>154.87</v>
      </c>
      <c r="X40" s="365">
        <v>152</v>
      </c>
      <c r="Y40" s="366">
        <v>100</v>
      </c>
      <c r="Z40" s="366">
        <v>59</v>
      </c>
      <c r="AA40" s="366">
        <v>32</v>
      </c>
      <c r="AB40" s="366">
        <v>16</v>
      </c>
      <c r="AC40" s="366">
        <v>16</v>
      </c>
      <c r="AD40" s="366">
        <v>26860</v>
      </c>
      <c r="AE40" s="366">
        <v>306</v>
      </c>
      <c r="AF40" s="366">
        <v>189</v>
      </c>
      <c r="AG40" s="366">
        <v>495</v>
      </c>
    </row>
    <row r="41" spans="1:33" x14ac:dyDescent="0.2">
      <c r="A41" s="359" t="s">
        <v>140</v>
      </c>
      <c r="B41" s="359" t="s">
        <v>141</v>
      </c>
      <c r="C41" s="366">
        <v>9876</v>
      </c>
      <c r="D41" s="366">
        <v>0</v>
      </c>
      <c r="E41" s="366">
        <v>305</v>
      </c>
      <c r="F41" s="366">
        <v>701</v>
      </c>
      <c r="G41" s="366">
        <v>460</v>
      </c>
      <c r="H41" s="363">
        <v>11342</v>
      </c>
      <c r="I41" s="363">
        <v>10882</v>
      </c>
      <c r="J41" s="366">
        <v>0</v>
      </c>
      <c r="K41" s="364">
        <v>97.4</v>
      </c>
      <c r="L41" s="364">
        <v>97.59</v>
      </c>
      <c r="M41" s="364">
        <v>4.08</v>
      </c>
      <c r="N41" s="364">
        <v>98.53</v>
      </c>
      <c r="O41" s="365">
        <v>8725</v>
      </c>
      <c r="P41" s="364">
        <v>90</v>
      </c>
      <c r="Q41" s="364">
        <v>85.75</v>
      </c>
      <c r="R41" s="364">
        <v>44.84</v>
      </c>
      <c r="S41" s="364">
        <v>133.66999999999999</v>
      </c>
      <c r="T41" s="365">
        <v>842</v>
      </c>
      <c r="U41" s="364">
        <v>142.29</v>
      </c>
      <c r="V41" s="365">
        <v>1058</v>
      </c>
      <c r="W41" s="364">
        <v>157.13</v>
      </c>
      <c r="X41" s="365">
        <v>24</v>
      </c>
      <c r="Y41" s="366">
        <v>10</v>
      </c>
      <c r="Z41" s="366">
        <v>10</v>
      </c>
      <c r="AA41" s="366">
        <v>1</v>
      </c>
      <c r="AB41" s="366">
        <v>75</v>
      </c>
      <c r="AC41" s="366">
        <v>5</v>
      </c>
      <c r="AD41" s="366">
        <v>9864</v>
      </c>
      <c r="AE41" s="366">
        <v>22</v>
      </c>
      <c r="AF41" s="366">
        <v>65</v>
      </c>
      <c r="AG41" s="366">
        <v>87</v>
      </c>
    </row>
    <row r="42" spans="1:33" x14ac:dyDescent="0.2">
      <c r="A42" s="359" t="s">
        <v>142</v>
      </c>
      <c r="B42" s="359" t="s">
        <v>143</v>
      </c>
      <c r="C42" s="366">
        <v>7486</v>
      </c>
      <c r="D42" s="366">
        <v>0</v>
      </c>
      <c r="E42" s="366">
        <v>179</v>
      </c>
      <c r="F42" s="366">
        <v>975</v>
      </c>
      <c r="G42" s="366">
        <v>313</v>
      </c>
      <c r="H42" s="363">
        <v>8953</v>
      </c>
      <c r="I42" s="363">
        <v>8640</v>
      </c>
      <c r="J42" s="366">
        <v>0</v>
      </c>
      <c r="K42" s="364">
        <v>89.64</v>
      </c>
      <c r="L42" s="364">
        <v>89.79</v>
      </c>
      <c r="M42" s="364">
        <v>3.25</v>
      </c>
      <c r="N42" s="364">
        <v>90.57</v>
      </c>
      <c r="O42" s="365">
        <v>6742</v>
      </c>
      <c r="P42" s="364">
        <v>82</v>
      </c>
      <c r="Q42" s="364">
        <v>79.180000000000007</v>
      </c>
      <c r="R42" s="364">
        <v>22.44</v>
      </c>
      <c r="S42" s="364">
        <v>104.02</v>
      </c>
      <c r="T42" s="365">
        <v>1112</v>
      </c>
      <c r="U42" s="364">
        <v>114.61</v>
      </c>
      <c r="V42" s="365">
        <v>732</v>
      </c>
      <c r="W42" s="364">
        <v>0</v>
      </c>
      <c r="X42" s="365">
        <v>0</v>
      </c>
      <c r="Y42" s="366">
        <v>36</v>
      </c>
      <c r="Z42" s="366">
        <v>5</v>
      </c>
      <c r="AA42" s="366">
        <v>9</v>
      </c>
      <c r="AB42" s="366">
        <v>28</v>
      </c>
      <c r="AC42" s="366">
        <v>7</v>
      </c>
      <c r="AD42" s="366">
        <v>7486</v>
      </c>
      <c r="AE42" s="366">
        <v>39</v>
      </c>
      <c r="AF42" s="366">
        <v>41</v>
      </c>
      <c r="AG42" s="366">
        <v>80</v>
      </c>
    </row>
    <row r="43" spans="1:33" x14ac:dyDescent="0.2">
      <c r="A43" s="359" t="s">
        <v>144</v>
      </c>
      <c r="B43" s="359" t="s">
        <v>145</v>
      </c>
      <c r="C43" s="366">
        <v>16493</v>
      </c>
      <c r="D43" s="366">
        <v>171</v>
      </c>
      <c r="E43" s="366">
        <v>1038</v>
      </c>
      <c r="F43" s="366">
        <v>1072</v>
      </c>
      <c r="G43" s="366">
        <v>2207</v>
      </c>
      <c r="H43" s="363">
        <v>20981</v>
      </c>
      <c r="I43" s="363">
        <v>18774</v>
      </c>
      <c r="J43" s="366">
        <v>43</v>
      </c>
      <c r="K43" s="364">
        <v>127.79</v>
      </c>
      <c r="L43" s="364">
        <v>130.30000000000001</v>
      </c>
      <c r="M43" s="364">
        <v>11.31</v>
      </c>
      <c r="N43" s="364">
        <v>135.86000000000001</v>
      </c>
      <c r="O43" s="365">
        <v>11794</v>
      </c>
      <c r="P43" s="364">
        <v>116.94</v>
      </c>
      <c r="Q43" s="364">
        <v>98.59</v>
      </c>
      <c r="R43" s="364">
        <v>54.14</v>
      </c>
      <c r="S43" s="364">
        <v>161.74</v>
      </c>
      <c r="T43" s="365">
        <v>1772</v>
      </c>
      <c r="U43" s="364">
        <v>225.14</v>
      </c>
      <c r="V43" s="365">
        <v>1954</v>
      </c>
      <c r="W43" s="364">
        <v>208.69</v>
      </c>
      <c r="X43" s="365">
        <v>139</v>
      </c>
      <c r="Y43" s="366">
        <v>0</v>
      </c>
      <c r="Z43" s="366">
        <v>1</v>
      </c>
      <c r="AA43" s="366">
        <v>22</v>
      </c>
      <c r="AB43" s="366">
        <v>105</v>
      </c>
      <c r="AC43" s="366">
        <v>77</v>
      </c>
      <c r="AD43" s="366">
        <v>14644</v>
      </c>
      <c r="AE43" s="366">
        <v>270</v>
      </c>
      <c r="AF43" s="366">
        <v>26</v>
      </c>
      <c r="AG43" s="366">
        <v>296</v>
      </c>
    </row>
    <row r="44" spans="1:33" x14ac:dyDescent="0.2">
      <c r="A44" s="359" t="s">
        <v>146</v>
      </c>
      <c r="B44" s="359" t="s">
        <v>147</v>
      </c>
      <c r="C44" s="366">
        <v>851</v>
      </c>
      <c r="D44" s="366">
        <v>7</v>
      </c>
      <c r="E44" s="366">
        <v>79</v>
      </c>
      <c r="F44" s="366">
        <v>168</v>
      </c>
      <c r="G44" s="366">
        <v>200</v>
      </c>
      <c r="H44" s="363">
        <v>1305</v>
      </c>
      <c r="I44" s="363">
        <v>1105</v>
      </c>
      <c r="J44" s="366">
        <v>0</v>
      </c>
      <c r="K44" s="364">
        <v>118.82</v>
      </c>
      <c r="L44" s="364">
        <v>116.83</v>
      </c>
      <c r="M44" s="364">
        <v>8.8699999999999992</v>
      </c>
      <c r="N44" s="364">
        <v>127.05</v>
      </c>
      <c r="O44" s="365">
        <v>512</v>
      </c>
      <c r="P44" s="364">
        <v>99.64</v>
      </c>
      <c r="Q44" s="364">
        <v>95.78</v>
      </c>
      <c r="R44" s="364">
        <v>52.76</v>
      </c>
      <c r="S44" s="364">
        <v>152.16999999999999</v>
      </c>
      <c r="T44" s="365">
        <v>241</v>
      </c>
      <c r="U44" s="364">
        <v>146.38999999999999</v>
      </c>
      <c r="V44" s="365">
        <v>109</v>
      </c>
      <c r="W44" s="364">
        <v>0</v>
      </c>
      <c r="X44" s="365">
        <v>0</v>
      </c>
      <c r="Y44" s="366">
        <v>3</v>
      </c>
      <c r="Z44" s="366">
        <v>0</v>
      </c>
      <c r="AA44" s="366">
        <v>0</v>
      </c>
      <c r="AB44" s="366">
        <v>0</v>
      </c>
      <c r="AC44" s="366">
        <v>3</v>
      </c>
      <c r="AD44" s="366">
        <v>624</v>
      </c>
      <c r="AE44" s="366">
        <v>5</v>
      </c>
      <c r="AF44" s="366">
        <v>0</v>
      </c>
      <c r="AG44" s="366">
        <v>5</v>
      </c>
    </row>
    <row r="45" spans="1:33" x14ac:dyDescent="0.2">
      <c r="A45" s="359" t="s">
        <v>148</v>
      </c>
      <c r="B45" s="359" t="s">
        <v>149</v>
      </c>
      <c r="C45" s="366">
        <v>4689</v>
      </c>
      <c r="D45" s="366">
        <v>16</v>
      </c>
      <c r="E45" s="366">
        <v>1007</v>
      </c>
      <c r="F45" s="366">
        <v>953</v>
      </c>
      <c r="G45" s="366">
        <v>885</v>
      </c>
      <c r="H45" s="363">
        <v>7550</v>
      </c>
      <c r="I45" s="363">
        <v>6665</v>
      </c>
      <c r="J45" s="366">
        <v>68</v>
      </c>
      <c r="K45" s="364">
        <v>96.87</v>
      </c>
      <c r="L45" s="364">
        <v>94.4</v>
      </c>
      <c r="M45" s="364">
        <v>9.6300000000000008</v>
      </c>
      <c r="N45" s="364">
        <v>104.61</v>
      </c>
      <c r="O45" s="365">
        <v>3781</v>
      </c>
      <c r="P45" s="364">
        <v>94.3</v>
      </c>
      <c r="Q45" s="364">
        <v>82.94</v>
      </c>
      <c r="R45" s="364">
        <v>67.180000000000007</v>
      </c>
      <c r="S45" s="364">
        <v>158.49</v>
      </c>
      <c r="T45" s="365">
        <v>1193</v>
      </c>
      <c r="U45" s="364">
        <v>164.62</v>
      </c>
      <c r="V45" s="365">
        <v>455</v>
      </c>
      <c r="W45" s="364">
        <v>149.86000000000001</v>
      </c>
      <c r="X45" s="365">
        <v>26</v>
      </c>
      <c r="Y45" s="366">
        <v>21</v>
      </c>
      <c r="Z45" s="366">
        <v>0</v>
      </c>
      <c r="AA45" s="366">
        <v>3</v>
      </c>
      <c r="AB45" s="366">
        <v>30</v>
      </c>
      <c r="AC45" s="366">
        <v>34</v>
      </c>
      <c r="AD45" s="366">
        <v>4293</v>
      </c>
      <c r="AE45" s="366">
        <v>37</v>
      </c>
      <c r="AF45" s="366">
        <v>30</v>
      </c>
      <c r="AG45" s="366">
        <v>67</v>
      </c>
    </row>
    <row r="46" spans="1:33" x14ac:dyDescent="0.2">
      <c r="A46" s="359" t="s">
        <v>150</v>
      </c>
      <c r="B46" s="359" t="s">
        <v>151</v>
      </c>
      <c r="C46" s="366">
        <v>8851</v>
      </c>
      <c r="D46" s="366">
        <v>41</v>
      </c>
      <c r="E46" s="366">
        <v>2711</v>
      </c>
      <c r="F46" s="366">
        <v>1039</v>
      </c>
      <c r="G46" s="366">
        <v>1423</v>
      </c>
      <c r="H46" s="363">
        <v>14065</v>
      </c>
      <c r="I46" s="363">
        <v>12642</v>
      </c>
      <c r="J46" s="366">
        <v>94</v>
      </c>
      <c r="K46" s="364">
        <v>98.27</v>
      </c>
      <c r="L46" s="364">
        <v>96.98</v>
      </c>
      <c r="M46" s="364">
        <v>9.9700000000000006</v>
      </c>
      <c r="N46" s="364">
        <v>105.34</v>
      </c>
      <c r="O46" s="365">
        <v>7054</v>
      </c>
      <c r="P46" s="364">
        <v>90.57</v>
      </c>
      <c r="Q46" s="364">
        <v>89.66</v>
      </c>
      <c r="R46" s="364">
        <v>41.22</v>
      </c>
      <c r="S46" s="364">
        <v>130.06</v>
      </c>
      <c r="T46" s="365">
        <v>3071</v>
      </c>
      <c r="U46" s="364">
        <v>137.71</v>
      </c>
      <c r="V46" s="365">
        <v>1181</v>
      </c>
      <c r="W46" s="364">
        <v>143.13999999999999</v>
      </c>
      <c r="X46" s="365">
        <v>65</v>
      </c>
      <c r="Y46" s="366">
        <v>5</v>
      </c>
      <c r="Z46" s="366">
        <v>4</v>
      </c>
      <c r="AA46" s="366">
        <v>4</v>
      </c>
      <c r="AB46" s="366">
        <v>57</v>
      </c>
      <c r="AC46" s="366">
        <v>36</v>
      </c>
      <c r="AD46" s="366">
        <v>8450</v>
      </c>
      <c r="AE46" s="366">
        <v>42</v>
      </c>
      <c r="AF46" s="366">
        <v>32</v>
      </c>
      <c r="AG46" s="366">
        <v>74</v>
      </c>
    </row>
    <row r="47" spans="1:33" x14ac:dyDescent="0.2">
      <c r="A47" s="359" t="s">
        <v>152</v>
      </c>
      <c r="B47" s="359" t="s">
        <v>153</v>
      </c>
      <c r="C47" s="366">
        <v>4992</v>
      </c>
      <c r="D47" s="366">
        <v>0</v>
      </c>
      <c r="E47" s="366">
        <v>145</v>
      </c>
      <c r="F47" s="366">
        <v>559</v>
      </c>
      <c r="G47" s="366">
        <v>423</v>
      </c>
      <c r="H47" s="363">
        <v>6119</v>
      </c>
      <c r="I47" s="363">
        <v>5696</v>
      </c>
      <c r="J47" s="366">
        <v>0</v>
      </c>
      <c r="K47" s="364">
        <v>93.18</v>
      </c>
      <c r="L47" s="364">
        <v>90.02</v>
      </c>
      <c r="M47" s="364">
        <v>2.5099999999999998</v>
      </c>
      <c r="N47" s="364">
        <v>94.87</v>
      </c>
      <c r="O47" s="365">
        <v>3698</v>
      </c>
      <c r="P47" s="364">
        <v>91.2</v>
      </c>
      <c r="Q47" s="364">
        <v>79.59</v>
      </c>
      <c r="R47" s="364">
        <v>32.51</v>
      </c>
      <c r="S47" s="364">
        <v>123.61</v>
      </c>
      <c r="T47" s="365">
        <v>702</v>
      </c>
      <c r="U47" s="364">
        <v>113.11</v>
      </c>
      <c r="V47" s="365">
        <v>1143</v>
      </c>
      <c r="W47" s="364">
        <v>0</v>
      </c>
      <c r="X47" s="365">
        <v>0</v>
      </c>
      <c r="Y47" s="366">
        <v>44</v>
      </c>
      <c r="Z47" s="366">
        <v>4</v>
      </c>
      <c r="AA47" s="366">
        <v>4</v>
      </c>
      <c r="AB47" s="366">
        <v>34</v>
      </c>
      <c r="AC47" s="366">
        <v>3</v>
      </c>
      <c r="AD47" s="366">
        <v>4992</v>
      </c>
      <c r="AE47" s="366">
        <v>35</v>
      </c>
      <c r="AF47" s="366">
        <v>25</v>
      </c>
      <c r="AG47" s="366">
        <v>60</v>
      </c>
    </row>
    <row r="48" spans="1:33" x14ac:dyDescent="0.2">
      <c r="A48" s="359" t="s">
        <v>154</v>
      </c>
      <c r="B48" s="359" t="s">
        <v>155</v>
      </c>
      <c r="C48" s="366">
        <v>16202</v>
      </c>
      <c r="D48" s="366">
        <v>108</v>
      </c>
      <c r="E48" s="366">
        <v>600</v>
      </c>
      <c r="F48" s="366">
        <v>2012</v>
      </c>
      <c r="G48" s="366">
        <v>1221</v>
      </c>
      <c r="H48" s="363">
        <v>20143</v>
      </c>
      <c r="I48" s="363">
        <v>18922</v>
      </c>
      <c r="J48" s="366">
        <v>21</v>
      </c>
      <c r="K48" s="364">
        <v>116.32</v>
      </c>
      <c r="L48" s="364">
        <v>112.21</v>
      </c>
      <c r="M48" s="364">
        <v>11.1</v>
      </c>
      <c r="N48" s="364">
        <v>122.78</v>
      </c>
      <c r="O48" s="365">
        <v>13350</v>
      </c>
      <c r="P48" s="364">
        <v>112.3</v>
      </c>
      <c r="Q48" s="364">
        <v>100.32</v>
      </c>
      <c r="R48" s="364">
        <v>52.08</v>
      </c>
      <c r="S48" s="364">
        <v>163.71</v>
      </c>
      <c r="T48" s="365">
        <v>2085</v>
      </c>
      <c r="U48" s="364">
        <v>177.19</v>
      </c>
      <c r="V48" s="365">
        <v>1800</v>
      </c>
      <c r="W48" s="364">
        <v>0</v>
      </c>
      <c r="X48" s="365">
        <v>0</v>
      </c>
      <c r="Y48" s="366">
        <v>13</v>
      </c>
      <c r="Z48" s="366">
        <v>5</v>
      </c>
      <c r="AA48" s="366">
        <v>31</v>
      </c>
      <c r="AB48" s="366">
        <v>46</v>
      </c>
      <c r="AC48" s="366">
        <v>36</v>
      </c>
      <c r="AD48" s="366">
        <v>15361</v>
      </c>
      <c r="AE48" s="366">
        <v>145</v>
      </c>
      <c r="AF48" s="366">
        <v>79</v>
      </c>
      <c r="AG48" s="366">
        <v>224</v>
      </c>
    </row>
    <row r="49" spans="1:33" x14ac:dyDescent="0.2">
      <c r="A49" s="359" t="s">
        <v>156</v>
      </c>
      <c r="B49" s="359" t="s">
        <v>157</v>
      </c>
      <c r="C49" s="366">
        <v>3473</v>
      </c>
      <c r="D49" s="366">
        <v>0</v>
      </c>
      <c r="E49" s="366">
        <v>93</v>
      </c>
      <c r="F49" s="366">
        <v>1002</v>
      </c>
      <c r="G49" s="366">
        <v>452</v>
      </c>
      <c r="H49" s="363">
        <v>5020</v>
      </c>
      <c r="I49" s="363">
        <v>4568</v>
      </c>
      <c r="J49" s="366">
        <v>0</v>
      </c>
      <c r="K49" s="364">
        <v>92.8</v>
      </c>
      <c r="L49" s="364">
        <v>92.59</v>
      </c>
      <c r="M49" s="364">
        <v>4.7699999999999996</v>
      </c>
      <c r="N49" s="364">
        <v>95.66</v>
      </c>
      <c r="O49" s="365">
        <v>3096</v>
      </c>
      <c r="P49" s="364">
        <v>86.57</v>
      </c>
      <c r="Q49" s="364">
        <v>85.9</v>
      </c>
      <c r="R49" s="364">
        <v>25.83</v>
      </c>
      <c r="S49" s="364">
        <v>112.13</v>
      </c>
      <c r="T49" s="365">
        <v>1053</v>
      </c>
      <c r="U49" s="364">
        <v>117.04</v>
      </c>
      <c r="V49" s="365">
        <v>336</v>
      </c>
      <c r="W49" s="364">
        <v>0</v>
      </c>
      <c r="X49" s="365">
        <v>0</v>
      </c>
      <c r="Y49" s="366">
        <v>0</v>
      </c>
      <c r="Z49" s="366">
        <v>6</v>
      </c>
      <c r="AA49" s="366">
        <v>1</v>
      </c>
      <c r="AB49" s="366">
        <v>11</v>
      </c>
      <c r="AC49" s="366">
        <v>8</v>
      </c>
      <c r="AD49" s="366">
        <v>3473</v>
      </c>
      <c r="AE49" s="366">
        <v>10</v>
      </c>
      <c r="AF49" s="366">
        <v>22</v>
      </c>
      <c r="AG49" s="366">
        <v>32</v>
      </c>
    </row>
    <row r="50" spans="1:33" x14ac:dyDescent="0.2">
      <c r="A50" s="359" t="s">
        <v>158</v>
      </c>
      <c r="B50" s="359" t="s">
        <v>159</v>
      </c>
      <c r="C50" s="366">
        <v>4764</v>
      </c>
      <c r="D50" s="366">
        <v>0</v>
      </c>
      <c r="E50" s="366">
        <v>103</v>
      </c>
      <c r="F50" s="366">
        <v>378</v>
      </c>
      <c r="G50" s="366">
        <v>377</v>
      </c>
      <c r="H50" s="363">
        <v>5622</v>
      </c>
      <c r="I50" s="363">
        <v>5245</v>
      </c>
      <c r="J50" s="366">
        <v>0</v>
      </c>
      <c r="K50" s="364">
        <v>114.58</v>
      </c>
      <c r="L50" s="364">
        <v>112.39</v>
      </c>
      <c r="M50" s="364">
        <v>8.2200000000000006</v>
      </c>
      <c r="N50" s="364">
        <v>119.61</v>
      </c>
      <c r="O50" s="365">
        <v>3912</v>
      </c>
      <c r="P50" s="364">
        <v>101.75</v>
      </c>
      <c r="Q50" s="364">
        <v>93.44</v>
      </c>
      <c r="R50" s="364">
        <v>36.299999999999997</v>
      </c>
      <c r="S50" s="364">
        <v>137.66</v>
      </c>
      <c r="T50" s="365">
        <v>481</v>
      </c>
      <c r="U50" s="364">
        <v>172.73</v>
      </c>
      <c r="V50" s="365">
        <v>827</v>
      </c>
      <c r="W50" s="364">
        <v>0</v>
      </c>
      <c r="X50" s="365">
        <v>0</v>
      </c>
      <c r="Y50" s="366">
        <v>0</v>
      </c>
      <c r="Z50" s="366">
        <v>7</v>
      </c>
      <c r="AA50" s="366">
        <v>0</v>
      </c>
      <c r="AB50" s="366">
        <v>8</v>
      </c>
      <c r="AC50" s="366">
        <v>13</v>
      </c>
      <c r="AD50" s="366">
        <v>4764</v>
      </c>
      <c r="AE50" s="366">
        <v>19</v>
      </c>
      <c r="AF50" s="366">
        <v>7</v>
      </c>
      <c r="AG50" s="366">
        <v>26</v>
      </c>
    </row>
    <row r="51" spans="1:33" x14ac:dyDescent="0.2">
      <c r="A51" s="359" t="s">
        <v>160</v>
      </c>
      <c r="B51" s="359" t="s">
        <v>161</v>
      </c>
      <c r="C51" s="366">
        <v>1096</v>
      </c>
      <c r="D51" s="366">
        <v>0</v>
      </c>
      <c r="E51" s="366">
        <v>121</v>
      </c>
      <c r="F51" s="366">
        <v>108</v>
      </c>
      <c r="G51" s="366">
        <v>119</v>
      </c>
      <c r="H51" s="363">
        <v>1444</v>
      </c>
      <c r="I51" s="363">
        <v>1325</v>
      </c>
      <c r="J51" s="366">
        <v>9</v>
      </c>
      <c r="K51" s="364">
        <v>81.2</v>
      </c>
      <c r="L51" s="364">
        <v>78.83</v>
      </c>
      <c r="M51" s="364">
        <v>7.51</v>
      </c>
      <c r="N51" s="364">
        <v>87.52</v>
      </c>
      <c r="O51" s="365">
        <v>904</v>
      </c>
      <c r="P51" s="364">
        <v>99.03</v>
      </c>
      <c r="Q51" s="364">
        <v>71.64</v>
      </c>
      <c r="R51" s="364">
        <v>65.34</v>
      </c>
      <c r="S51" s="364">
        <v>164.05</v>
      </c>
      <c r="T51" s="365">
        <v>202</v>
      </c>
      <c r="U51" s="364">
        <v>98.6</v>
      </c>
      <c r="V51" s="365">
        <v>179</v>
      </c>
      <c r="W51" s="364">
        <v>201.67</v>
      </c>
      <c r="X51" s="365">
        <v>27</v>
      </c>
      <c r="Y51" s="366">
        <v>0</v>
      </c>
      <c r="Z51" s="366">
        <v>2</v>
      </c>
      <c r="AA51" s="366">
        <v>3</v>
      </c>
      <c r="AB51" s="366">
        <v>12</v>
      </c>
      <c r="AC51" s="366">
        <v>3</v>
      </c>
      <c r="AD51" s="366">
        <v>1096</v>
      </c>
      <c r="AE51" s="366">
        <v>1</v>
      </c>
      <c r="AF51" s="366">
        <v>1</v>
      </c>
      <c r="AG51" s="366">
        <v>2</v>
      </c>
    </row>
    <row r="52" spans="1:33" x14ac:dyDescent="0.2">
      <c r="A52" s="359" t="s">
        <v>775</v>
      </c>
      <c r="B52" s="359" t="s">
        <v>770</v>
      </c>
      <c r="C52" s="366">
        <v>25238</v>
      </c>
      <c r="D52" s="366">
        <v>3</v>
      </c>
      <c r="E52" s="366">
        <v>988</v>
      </c>
      <c r="F52" s="366">
        <v>3268</v>
      </c>
      <c r="G52" s="366">
        <v>2496</v>
      </c>
      <c r="H52" s="363">
        <v>31993</v>
      </c>
      <c r="I52" s="363">
        <v>29497</v>
      </c>
      <c r="J52" s="366">
        <v>172</v>
      </c>
      <c r="K52" s="364">
        <v>111.74</v>
      </c>
      <c r="L52" s="364">
        <v>111.41</v>
      </c>
      <c r="M52" s="364">
        <v>5.25</v>
      </c>
      <c r="N52" s="364">
        <v>115.16</v>
      </c>
      <c r="O52" s="365">
        <v>20898</v>
      </c>
      <c r="P52" s="364">
        <v>105.62</v>
      </c>
      <c r="Q52" s="364">
        <v>100.24</v>
      </c>
      <c r="R52" s="364">
        <v>30.13</v>
      </c>
      <c r="S52" s="364">
        <v>133.68</v>
      </c>
      <c r="T52" s="365">
        <v>3839</v>
      </c>
      <c r="U52" s="364">
        <v>165.94</v>
      </c>
      <c r="V52" s="365">
        <v>3739</v>
      </c>
      <c r="W52" s="364">
        <v>154.24</v>
      </c>
      <c r="X52" s="365">
        <v>58</v>
      </c>
      <c r="Y52" s="366">
        <v>645</v>
      </c>
      <c r="Z52" s="366">
        <v>40</v>
      </c>
      <c r="AA52" s="366">
        <v>12</v>
      </c>
      <c r="AB52" s="366">
        <v>136</v>
      </c>
      <c r="AC52" s="366">
        <v>71</v>
      </c>
      <c r="AD52" s="366">
        <v>24888</v>
      </c>
      <c r="AE52" s="366">
        <v>197</v>
      </c>
      <c r="AF52" s="366">
        <v>225</v>
      </c>
      <c r="AG52" s="366">
        <v>422</v>
      </c>
    </row>
    <row r="53" spans="1:33" x14ac:dyDescent="0.2">
      <c r="A53" s="359" t="s">
        <v>162</v>
      </c>
      <c r="B53" s="359" t="s">
        <v>163</v>
      </c>
      <c r="C53" s="366">
        <v>4606</v>
      </c>
      <c r="D53" s="366">
        <v>0</v>
      </c>
      <c r="E53" s="366">
        <v>359</v>
      </c>
      <c r="F53" s="366">
        <v>1444</v>
      </c>
      <c r="G53" s="366">
        <v>22</v>
      </c>
      <c r="H53" s="363">
        <v>6431</v>
      </c>
      <c r="I53" s="363">
        <v>6409</v>
      </c>
      <c r="J53" s="366">
        <v>4</v>
      </c>
      <c r="K53" s="364">
        <v>81.47</v>
      </c>
      <c r="L53" s="364">
        <v>79.23</v>
      </c>
      <c r="M53" s="364">
        <v>2.69</v>
      </c>
      <c r="N53" s="364">
        <v>83.93</v>
      </c>
      <c r="O53" s="365">
        <v>3827</v>
      </c>
      <c r="P53" s="364">
        <v>80.56</v>
      </c>
      <c r="Q53" s="364">
        <v>70.77</v>
      </c>
      <c r="R53" s="364">
        <v>36.96</v>
      </c>
      <c r="S53" s="364">
        <v>117.2</v>
      </c>
      <c r="T53" s="365">
        <v>1618</v>
      </c>
      <c r="U53" s="364">
        <v>97.08</v>
      </c>
      <c r="V53" s="365">
        <v>740</v>
      </c>
      <c r="W53" s="364">
        <v>266.41000000000003</v>
      </c>
      <c r="X53" s="365">
        <v>100</v>
      </c>
      <c r="Y53" s="366">
        <v>1</v>
      </c>
      <c r="Z53" s="366">
        <v>20</v>
      </c>
      <c r="AA53" s="366">
        <v>21</v>
      </c>
      <c r="AB53" s="366">
        <v>3</v>
      </c>
      <c r="AC53" s="366">
        <v>0</v>
      </c>
      <c r="AD53" s="366">
        <v>4573</v>
      </c>
      <c r="AE53" s="366">
        <v>47</v>
      </c>
      <c r="AF53" s="366">
        <v>12</v>
      </c>
      <c r="AG53" s="366">
        <v>59</v>
      </c>
    </row>
    <row r="54" spans="1:33" x14ac:dyDescent="0.2">
      <c r="A54" s="359" t="s">
        <v>164</v>
      </c>
      <c r="B54" s="359" t="s">
        <v>165</v>
      </c>
      <c r="C54" s="366">
        <v>3788</v>
      </c>
      <c r="D54" s="366">
        <v>0</v>
      </c>
      <c r="E54" s="366">
        <v>511</v>
      </c>
      <c r="F54" s="366">
        <v>588</v>
      </c>
      <c r="G54" s="366">
        <v>141</v>
      </c>
      <c r="H54" s="363">
        <v>5028</v>
      </c>
      <c r="I54" s="363">
        <v>4887</v>
      </c>
      <c r="J54" s="366">
        <v>0</v>
      </c>
      <c r="K54" s="364">
        <v>82.65</v>
      </c>
      <c r="L54" s="364">
        <v>81.05</v>
      </c>
      <c r="M54" s="364">
        <v>5.56</v>
      </c>
      <c r="N54" s="364">
        <v>86.08</v>
      </c>
      <c r="O54" s="365">
        <v>3024</v>
      </c>
      <c r="P54" s="364">
        <v>89.94</v>
      </c>
      <c r="Q54" s="364">
        <v>76.739999999999995</v>
      </c>
      <c r="R54" s="364">
        <v>48.99</v>
      </c>
      <c r="S54" s="364">
        <v>133.62</v>
      </c>
      <c r="T54" s="365">
        <v>821</v>
      </c>
      <c r="U54" s="364">
        <v>105.08</v>
      </c>
      <c r="V54" s="365">
        <v>507</v>
      </c>
      <c r="W54" s="364">
        <v>125.98</v>
      </c>
      <c r="X54" s="365">
        <v>17</v>
      </c>
      <c r="Y54" s="366">
        <v>4</v>
      </c>
      <c r="Z54" s="366">
        <v>4</v>
      </c>
      <c r="AA54" s="366">
        <v>0</v>
      </c>
      <c r="AB54" s="366">
        <v>0</v>
      </c>
      <c r="AC54" s="366">
        <v>3</v>
      </c>
      <c r="AD54" s="366">
        <v>3414</v>
      </c>
      <c r="AE54" s="366">
        <v>16</v>
      </c>
      <c r="AF54" s="366">
        <v>13</v>
      </c>
      <c r="AG54" s="366">
        <v>29</v>
      </c>
    </row>
    <row r="55" spans="1:33" x14ac:dyDescent="0.2">
      <c r="A55" s="359" t="s">
        <v>166</v>
      </c>
      <c r="B55" s="359" t="s">
        <v>167</v>
      </c>
      <c r="C55" s="366">
        <v>12454</v>
      </c>
      <c r="D55" s="366">
        <v>0</v>
      </c>
      <c r="E55" s="366">
        <v>394</v>
      </c>
      <c r="F55" s="366">
        <v>1076</v>
      </c>
      <c r="G55" s="366">
        <v>223</v>
      </c>
      <c r="H55" s="363">
        <v>14147</v>
      </c>
      <c r="I55" s="363">
        <v>13924</v>
      </c>
      <c r="J55" s="366">
        <v>9</v>
      </c>
      <c r="K55" s="364">
        <v>78.87</v>
      </c>
      <c r="L55" s="364">
        <v>77.290000000000006</v>
      </c>
      <c r="M55" s="364">
        <v>7</v>
      </c>
      <c r="N55" s="364">
        <v>85.56</v>
      </c>
      <c r="O55" s="365">
        <v>11674</v>
      </c>
      <c r="P55" s="364">
        <v>88.55</v>
      </c>
      <c r="Q55" s="364">
        <v>76.17</v>
      </c>
      <c r="R55" s="364">
        <v>39.82</v>
      </c>
      <c r="S55" s="364">
        <v>128.12</v>
      </c>
      <c r="T55" s="365">
        <v>1284</v>
      </c>
      <c r="U55" s="364">
        <v>99.95</v>
      </c>
      <c r="V55" s="365">
        <v>705</v>
      </c>
      <c r="W55" s="364">
        <v>96.57</v>
      </c>
      <c r="X55" s="365">
        <v>10</v>
      </c>
      <c r="Y55" s="366">
        <v>68</v>
      </c>
      <c r="Z55" s="366">
        <v>37</v>
      </c>
      <c r="AA55" s="366">
        <v>4</v>
      </c>
      <c r="AB55" s="366">
        <v>1</v>
      </c>
      <c r="AC55" s="366">
        <v>5</v>
      </c>
      <c r="AD55" s="366">
        <v>12430</v>
      </c>
      <c r="AE55" s="366">
        <v>69</v>
      </c>
      <c r="AF55" s="366">
        <v>143</v>
      </c>
      <c r="AG55" s="366">
        <v>212</v>
      </c>
    </row>
    <row r="56" spans="1:33" x14ac:dyDescent="0.2">
      <c r="A56" s="359" t="s">
        <v>168</v>
      </c>
      <c r="B56" s="359" t="s">
        <v>169</v>
      </c>
      <c r="C56" s="366">
        <v>3831</v>
      </c>
      <c r="D56" s="366">
        <v>595</v>
      </c>
      <c r="E56" s="366">
        <v>466</v>
      </c>
      <c r="F56" s="366">
        <v>495</v>
      </c>
      <c r="G56" s="366">
        <v>737</v>
      </c>
      <c r="H56" s="363">
        <v>6124</v>
      </c>
      <c r="I56" s="363">
        <v>5387</v>
      </c>
      <c r="J56" s="366">
        <v>0</v>
      </c>
      <c r="K56" s="364">
        <v>109.37</v>
      </c>
      <c r="L56" s="364">
        <v>109.97</v>
      </c>
      <c r="M56" s="364">
        <v>8.86</v>
      </c>
      <c r="N56" s="364">
        <v>115.39</v>
      </c>
      <c r="O56" s="365">
        <v>2641</v>
      </c>
      <c r="P56" s="364">
        <v>97.52</v>
      </c>
      <c r="Q56" s="364">
        <v>94.57</v>
      </c>
      <c r="R56" s="364">
        <v>67.06</v>
      </c>
      <c r="S56" s="364">
        <v>164.51</v>
      </c>
      <c r="T56" s="365">
        <v>867</v>
      </c>
      <c r="U56" s="364">
        <v>155.01</v>
      </c>
      <c r="V56" s="365">
        <v>947</v>
      </c>
      <c r="W56" s="364">
        <v>167.41</v>
      </c>
      <c r="X56" s="365">
        <v>2</v>
      </c>
      <c r="Y56" s="366">
        <v>7</v>
      </c>
      <c r="Z56" s="366">
        <v>2</v>
      </c>
      <c r="AA56" s="366">
        <v>5</v>
      </c>
      <c r="AB56" s="366">
        <v>14</v>
      </c>
      <c r="AC56" s="366">
        <v>45</v>
      </c>
      <c r="AD56" s="366">
        <v>3814</v>
      </c>
      <c r="AE56" s="366">
        <v>59</v>
      </c>
      <c r="AF56" s="366">
        <v>6</v>
      </c>
      <c r="AG56" s="366">
        <v>65</v>
      </c>
    </row>
    <row r="57" spans="1:33" x14ac:dyDescent="0.2">
      <c r="A57" s="359" t="s">
        <v>170</v>
      </c>
      <c r="B57" s="359" t="s">
        <v>171</v>
      </c>
      <c r="C57" s="366">
        <v>8329</v>
      </c>
      <c r="D57" s="366">
        <v>975</v>
      </c>
      <c r="E57" s="366">
        <v>1496</v>
      </c>
      <c r="F57" s="366">
        <v>936</v>
      </c>
      <c r="G57" s="366">
        <v>545</v>
      </c>
      <c r="H57" s="363">
        <v>12281</v>
      </c>
      <c r="I57" s="363">
        <v>11736</v>
      </c>
      <c r="J57" s="366">
        <v>234</v>
      </c>
      <c r="K57" s="364">
        <v>134.75</v>
      </c>
      <c r="L57" s="364">
        <v>141.04</v>
      </c>
      <c r="M57" s="364">
        <v>14.37</v>
      </c>
      <c r="N57" s="364">
        <v>147.66999999999999</v>
      </c>
      <c r="O57" s="365">
        <v>6132</v>
      </c>
      <c r="P57" s="364">
        <v>113.2</v>
      </c>
      <c r="Q57" s="364">
        <v>114.46</v>
      </c>
      <c r="R57" s="364">
        <v>79.52</v>
      </c>
      <c r="S57" s="364">
        <v>190.85</v>
      </c>
      <c r="T57" s="365">
        <v>2250</v>
      </c>
      <c r="U57" s="364">
        <v>217.09</v>
      </c>
      <c r="V57" s="365">
        <v>469</v>
      </c>
      <c r="W57" s="364">
        <v>260.8</v>
      </c>
      <c r="X57" s="365">
        <v>57</v>
      </c>
      <c r="Y57" s="366">
        <v>0</v>
      </c>
      <c r="Z57" s="366">
        <v>0</v>
      </c>
      <c r="AA57" s="366">
        <v>32</v>
      </c>
      <c r="AB57" s="366">
        <v>3</v>
      </c>
      <c r="AC57" s="366">
        <v>12</v>
      </c>
      <c r="AD57" s="366">
        <v>6929</v>
      </c>
      <c r="AE57" s="366">
        <v>232</v>
      </c>
      <c r="AF57" s="366">
        <v>20</v>
      </c>
      <c r="AG57" s="366">
        <v>252</v>
      </c>
    </row>
    <row r="58" spans="1:33" x14ac:dyDescent="0.2">
      <c r="A58" s="359" t="s">
        <v>172</v>
      </c>
      <c r="B58" s="359" t="s">
        <v>173</v>
      </c>
      <c r="C58" s="366">
        <v>1720</v>
      </c>
      <c r="D58" s="366">
        <v>2</v>
      </c>
      <c r="E58" s="366">
        <v>231</v>
      </c>
      <c r="F58" s="366">
        <v>271</v>
      </c>
      <c r="G58" s="366">
        <v>480</v>
      </c>
      <c r="H58" s="363">
        <v>2704</v>
      </c>
      <c r="I58" s="363">
        <v>2224</v>
      </c>
      <c r="J58" s="366">
        <v>0</v>
      </c>
      <c r="K58" s="364">
        <v>92.1</v>
      </c>
      <c r="L58" s="364">
        <v>89.89</v>
      </c>
      <c r="M58" s="364">
        <v>5.36</v>
      </c>
      <c r="N58" s="364">
        <v>95.43</v>
      </c>
      <c r="O58" s="365">
        <v>1345</v>
      </c>
      <c r="P58" s="364">
        <v>91.37</v>
      </c>
      <c r="Q58" s="364">
        <v>80.89</v>
      </c>
      <c r="R58" s="364">
        <v>65.59</v>
      </c>
      <c r="S58" s="364">
        <v>156.96</v>
      </c>
      <c r="T58" s="365">
        <v>354</v>
      </c>
      <c r="U58" s="364">
        <v>114.81</v>
      </c>
      <c r="V58" s="365">
        <v>334</v>
      </c>
      <c r="W58" s="364">
        <v>215.84</v>
      </c>
      <c r="X58" s="365">
        <v>69</v>
      </c>
      <c r="Y58" s="366">
        <v>0</v>
      </c>
      <c r="Z58" s="366">
        <v>1</v>
      </c>
      <c r="AA58" s="366">
        <v>0</v>
      </c>
      <c r="AB58" s="366">
        <v>20</v>
      </c>
      <c r="AC58" s="366">
        <v>8</v>
      </c>
      <c r="AD58" s="366">
        <v>1698</v>
      </c>
      <c r="AE58" s="366">
        <v>6</v>
      </c>
      <c r="AF58" s="366">
        <v>4</v>
      </c>
      <c r="AG58" s="366">
        <v>10</v>
      </c>
    </row>
    <row r="59" spans="1:33" x14ac:dyDescent="0.2">
      <c r="A59" s="359" t="s">
        <v>174</v>
      </c>
      <c r="B59" s="359" t="s">
        <v>175</v>
      </c>
      <c r="C59" s="366">
        <v>2067</v>
      </c>
      <c r="D59" s="366">
        <v>0</v>
      </c>
      <c r="E59" s="366">
        <v>179</v>
      </c>
      <c r="F59" s="366">
        <v>380</v>
      </c>
      <c r="G59" s="366">
        <v>525</v>
      </c>
      <c r="H59" s="363">
        <v>3151</v>
      </c>
      <c r="I59" s="363">
        <v>2626</v>
      </c>
      <c r="J59" s="366">
        <v>0</v>
      </c>
      <c r="K59" s="364">
        <v>104.35</v>
      </c>
      <c r="L59" s="364">
        <v>103.04</v>
      </c>
      <c r="M59" s="364">
        <v>7.98</v>
      </c>
      <c r="N59" s="364">
        <v>110.89</v>
      </c>
      <c r="O59" s="365">
        <v>1379</v>
      </c>
      <c r="P59" s="364">
        <v>90.32</v>
      </c>
      <c r="Q59" s="364">
        <v>81.48</v>
      </c>
      <c r="R59" s="364">
        <v>51.96</v>
      </c>
      <c r="S59" s="364">
        <v>140.83000000000001</v>
      </c>
      <c r="T59" s="365">
        <v>535</v>
      </c>
      <c r="U59" s="364">
        <v>152.35</v>
      </c>
      <c r="V59" s="365">
        <v>399</v>
      </c>
      <c r="W59" s="364">
        <v>120.23</v>
      </c>
      <c r="X59" s="365">
        <v>6</v>
      </c>
      <c r="Y59" s="366">
        <v>0</v>
      </c>
      <c r="Z59" s="366">
        <v>0</v>
      </c>
      <c r="AA59" s="366">
        <v>1</v>
      </c>
      <c r="AB59" s="366">
        <v>34</v>
      </c>
      <c r="AC59" s="366">
        <v>10</v>
      </c>
      <c r="AD59" s="366">
        <v>1881</v>
      </c>
      <c r="AE59" s="366">
        <v>9</v>
      </c>
      <c r="AF59" s="366">
        <v>11</v>
      </c>
      <c r="AG59" s="366">
        <v>20</v>
      </c>
    </row>
    <row r="60" spans="1:33" x14ac:dyDescent="0.2">
      <c r="A60" s="359" t="s">
        <v>176</v>
      </c>
      <c r="B60" s="359" t="s">
        <v>177</v>
      </c>
      <c r="C60" s="366">
        <v>7170</v>
      </c>
      <c r="D60" s="366">
        <v>11</v>
      </c>
      <c r="E60" s="366">
        <v>287</v>
      </c>
      <c r="F60" s="366">
        <v>337</v>
      </c>
      <c r="G60" s="366">
        <v>272</v>
      </c>
      <c r="H60" s="363">
        <v>8077</v>
      </c>
      <c r="I60" s="363">
        <v>7805</v>
      </c>
      <c r="J60" s="366">
        <v>0</v>
      </c>
      <c r="K60" s="364">
        <v>82.58</v>
      </c>
      <c r="L60" s="364">
        <v>79.42</v>
      </c>
      <c r="M60" s="364">
        <v>4.01</v>
      </c>
      <c r="N60" s="364">
        <v>85.62</v>
      </c>
      <c r="O60" s="365">
        <v>5710</v>
      </c>
      <c r="P60" s="364">
        <v>99.04</v>
      </c>
      <c r="Q60" s="364">
        <v>78.180000000000007</v>
      </c>
      <c r="R60" s="364">
        <v>60.84</v>
      </c>
      <c r="S60" s="364">
        <v>158.76</v>
      </c>
      <c r="T60" s="365">
        <v>542</v>
      </c>
      <c r="U60" s="364">
        <v>93.17</v>
      </c>
      <c r="V60" s="365">
        <v>1453</v>
      </c>
      <c r="W60" s="364">
        <v>0</v>
      </c>
      <c r="X60" s="365">
        <v>0</v>
      </c>
      <c r="Y60" s="366">
        <v>0</v>
      </c>
      <c r="Z60" s="366">
        <v>25</v>
      </c>
      <c r="AA60" s="366">
        <v>11</v>
      </c>
      <c r="AB60" s="366">
        <v>8</v>
      </c>
      <c r="AC60" s="366">
        <v>3</v>
      </c>
      <c r="AD60" s="366">
        <v>7155</v>
      </c>
      <c r="AE60" s="366">
        <v>68</v>
      </c>
      <c r="AF60" s="366">
        <v>21</v>
      </c>
      <c r="AG60" s="366">
        <v>89</v>
      </c>
    </row>
    <row r="61" spans="1:33" x14ac:dyDescent="0.2">
      <c r="A61" s="359" t="s">
        <v>178</v>
      </c>
      <c r="B61" s="359" t="s">
        <v>179</v>
      </c>
      <c r="C61" s="366">
        <v>457</v>
      </c>
      <c r="D61" s="366">
        <v>0</v>
      </c>
      <c r="E61" s="366">
        <v>71</v>
      </c>
      <c r="F61" s="366">
        <v>73</v>
      </c>
      <c r="G61" s="366">
        <v>94</v>
      </c>
      <c r="H61" s="363">
        <v>695</v>
      </c>
      <c r="I61" s="363">
        <v>601</v>
      </c>
      <c r="J61" s="366">
        <v>0</v>
      </c>
      <c r="K61" s="364">
        <v>108.32</v>
      </c>
      <c r="L61" s="364">
        <v>106.78</v>
      </c>
      <c r="M61" s="364">
        <v>8.6300000000000008</v>
      </c>
      <c r="N61" s="364">
        <v>113.29</v>
      </c>
      <c r="O61" s="365">
        <v>365</v>
      </c>
      <c r="P61" s="364">
        <v>93.22</v>
      </c>
      <c r="Q61" s="364">
        <v>83.25</v>
      </c>
      <c r="R61" s="364">
        <v>65.83</v>
      </c>
      <c r="S61" s="364">
        <v>157.44</v>
      </c>
      <c r="T61" s="365">
        <v>123</v>
      </c>
      <c r="U61" s="364">
        <v>150.75</v>
      </c>
      <c r="V61" s="365">
        <v>77</v>
      </c>
      <c r="W61" s="364">
        <v>0</v>
      </c>
      <c r="X61" s="365">
        <v>0</v>
      </c>
      <c r="Y61" s="366">
        <v>0</v>
      </c>
      <c r="Z61" s="366">
        <v>1</v>
      </c>
      <c r="AA61" s="366">
        <v>0</v>
      </c>
      <c r="AB61" s="366">
        <v>0</v>
      </c>
      <c r="AC61" s="366">
        <v>1</v>
      </c>
      <c r="AD61" s="366">
        <v>457</v>
      </c>
      <c r="AE61" s="366">
        <v>1</v>
      </c>
      <c r="AF61" s="366">
        <v>0</v>
      </c>
      <c r="AG61" s="366">
        <v>1</v>
      </c>
    </row>
    <row r="62" spans="1:33" x14ac:dyDescent="0.2">
      <c r="A62" s="359" t="s">
        <v>180</v>
      </c>
      <c r="B62" s="359" t="s">
        <v>181</v>
      </c>
      <c r="C62" s="366">
        <v>10301</v>
      </c>
      <c r="D62" s="366">
        <v>0</v>
      </c>
      <c r="E62" s="366">
        <v>310</v>
      </c>
      <c r="F62" s="366">
        <v>789</v>
      </c>
      <c r="G62" s="366">
        <v>2084</v>
      </c>
      <c r="H62" s="363">
        <v>13484</v>
      </c>
      <c r="I62" s="363">
        <v>11400</v>
      </c>
      <c r="J62" s="366">
        <v>415</v>
      </c>
      <c r="K62" s="364">
        <v>103.05</v>
      </c>
      <c r="L62" s="364">
        <v>104.02</v>
      </c>
      <c r="M62" s="364">
        <v>5.0999999999999996</v>
      </c>
      <c r="N62" s="364">
        <v>104.61</v>
      </c>
      <c r="O62" s="365">
        <v>8453</v>
      </c>
      <c r="P62" s="364">
        <v>97.38</v>
      </c>
      <c r="Q62" s="364">
        <v>87.5</v>
      </c>
      <c r="R62" s="364">
        <v>35.81</v>
      </c>
      <c r="S62" s="364">
        <v>129.33000000000001</v>
      </c>
      <c r="T62" s="365">
        <v>1001</v>
      </c>
      <c r="U62" s="364">
        <v>149.41</v>
      </c>
      <c r="V62" s="365">
        <v>1689</v>
      </c>
      <c r="W62" s="364">
        <v>123.65</v>
      </c>
      <c r="X62" s="365">
        <v>50</v>
      </c>
      <c r="Y62" s="366">
        <v>75</v>
      </c>
      <c r="Z62" s="366">
        <v>10</v>
      </c>
      <c r="AA62" s="366">
        <v>2</v>
      </c>
      <c r="AB62" s="366">
        <v>189</v>
      </c>
      <c r="AC62" s="366">
        <v>22</v>
      </c>
      <c r="AD62" s="366">
        <v>10225</v>
      </c>
      <c r="AE62" s="366">
        <v>32</v>
      </c>
      <c r="AF62" s="366">
        <v>32</v>
      </c>
      <c r="AG62" s="366">
        <v>64</v>
      </c>
    </row>
    <row r="63" spans="1:33" x14ac:dyDescent="0.2">
      <c r="A63" s="359" t="s">
        <v>182</v>
      </c>
      <c r="B63" s="359" t="s">
        <v>183</v>
      </c>
      <c r="C63" s="366">
        <v>3223</v>
      </c>
      <c r="D63" s="366">
        <v>0</v>
      </c>
      <c r="E63" s="366">
        <v>346</v>
      </c>
      <c r="F63" s="366">
        <v>253</v>
      </c>
      <c r="G63" s="366">
        <v>714</v>
      </c>
      <c r="H63" s="363">
        <v>4536</v>
      </c>
      <c r="I63" s="363">
        <v>3822</v>
      </c>
      <c r="J63" s="366">
        <v>0</v>
      </c>
      <c r="K63" s="364">
        <v>92.68</v>
      </c>
      <c r="L63" s="364">
        <v>90.16</v>
      </c>
      <c r="M63" s="364">
        <v>6.87</v>
      </c>
      <c r="N63" s="364">
        <v>98.13</v>
      </c>
      <c r="O63" s="365">
        <v>2229</v>
      </c>
      <c r="P63" s="364">
        <v>98.48</v>
      </c>
      <c r="Q63" s="364">
        <v>83.15</v>
      </c>
      <c r="R63" s="364">
        <v>64.349999999999994</v>
      </c>
      <c r="S63" s="364">
        <v>160.66999999999999</v>
      </c>
      <c r="T63" s="365">
        <v>447</v>
      </c>
      <c r="U63" s="364">
        <v>112.32</v>
      </c>
      <c r="V63" s="365">
        <v>914</v>
      </c>
      <c r="W63" s="364">
        <v>116.54</v>
      </c>
      <c r="X63" s="365">
        <v>69</v>
      </c>
      <c r="Y63" s="366">
        <v>0</v>
      </c>
      <c r="Z63" s="366">
        <v>2</v>
      </c>
      <c r="AA63" s="366">
        <v>1</v>
      </c>
      <c r="AB63" s="366">
        <v>52</v>
      </c>
      <c r="AC63" s="366">
        <v>17</v>
      </c>
      <c r="AD63" s="366">
        <v>3223</v>
      </c>
      <c r="AE63" s="366">
        <v>15</v>
      </c>
      <c r="AF63" s="366">
        <v>6</v>
      </c>
      <c r="AG63" s="366">
        <v>21</v>
      </c>
    </row>
    <row r="64" spans="1:33" x14ac:dyDescent="0.2">
      <c r="A64" s="359" t="s">
        <v>184</v>
      </c>
      <c r="B64" s="359" t="s">
        <v>185</v>
      </c>
      <c r="C64" s="366">
        <v>9771</v>
      </c>
      <c r="D64" s="366">
        <v>250</v>
      </c>
      <c r="E64" s="366">
        <v>325</v>
      </c>
      <c r="F64" s="366">
        <v>288</v>
      </c>
      <c r="G64" s="366">
        <v>750</v>
      </c>
      <c r="H64" s="363">
        <v>11384</v>
      </c>
      <c r="I64" s="363">
        <v>10634</v>
      </c>
      <c r="J64" s="366">
        <v>2</v>
      </c>
      <c r="K64" s="364">
        <v>102.63</v>
      </c>
      <c r="L64" s="364">
        <v>100.82</v>
      </c>
      <c r="M64" s="364">
        <v>11.16</v>
      </c>
      <c r="N64" s="364">
        <v>107.97</v>
      </c>
      <c r="O64" s="365">
        <v>8611</v>
      </c>
      <c r="P64" s="364">
        <v>100.26</v>
      </c>
      <c r="Q64" s="364">
        <v>91.7</v>
      </c>
      <c r="R64" s="364">
        <v>87.45</v>
      </c>
      <c r="S64" s="364">
        <v>183.48</v>
      </c>
      <c r="T64" s="365">
        <v>517</v>
      </c>
      <c r="U64" s="364">
        <v>147.77000000000001</v>
      </c>
      <c r="V64" s="365">
        <v>1019</v>
      </c>
      <c r="W64" s="364">
        <v>0</v>
      </c>
      <c r="X64" s="365">
        <v>0</v>
      </c>
      <c r="Y64" s="366">
        <v>0</v>
      </c>
      <c r="Z64" s="366">
        <v>3</v>
      </c>
      <c r="AA64" s="366">
        <v>0</v>
      </c>
      <c r="AB64" s="366">
        <v>34</v>
      </c>
      <c r="AC64" s="366">
        <v>13</v>
      </c>
      <c r="AD64" s="366">
        <v>9766</v>
      </c>
      <c r="AE64" s="366">
        <v>99</v>
      </c>
      <c r="AF64" s="366">
        <v>47</v>
      </c>
      <c r="AG64" s="366">
        <v>146</v>
      </c>
    </row>
    <row r="65" spans="1:33" x14ac:dyDescent="0.2">
      <c r="A65" s="359" t="s">
        <v>186</v>
      </c>
      <c r="B65" s="359" t="s">
        <v>187</v>
      </c>
      <c r="C65" s="366">
        <v>1891</v>
      </c>
      <c r="D65" s="366">
        <v>0</v>
      </c>
      <c r="E65" s="366">
        <v>401</v>
      </c>
      <c r="F65" s="366">
        <v>223</v>
      </c>
      <c r="G65" s="366">
        <v>328</v>
      </c>
      <c r="H65" s="363">
        <v>2843</v>
      </c>
      <c r="I65" s="363">
        <v>2515</v>
      </c>
      <c r="J65" s="366">
        <v>1</v>
      </c>
      <c r="K65" s="364">
        <v>96.16</v>
      </c>
      <c r="L65" s="364">
        <v>92.69</v>
      </c>
      <c r="M65" s="364">
        <v>6.59</v>
      </c>
      <c r="N65" s="364">
        <v>101.66</v>
      </c>
      <c r="O65" s="365">
        <v>1476</v>
      </c>
      <c r="P65" s="364">
        <v>86.79</v>
      </c>
      <c r="Q65" s="364">
        <v>82.81</v>
      </c>
      <c r="R65" s="364">
        <v>61.98</v>
      </c>
      <c r="S65" s="364">
        <v>141.84</v>
      </c>
      <c r="T65" s="365">
        <v>465</v>
      </c>
      <c r="U65" s="364">
        <v>135.24</v>
      </c>
      <c r="V65" s="365">
        <v>328</v>
      </c>
      <c r="W65" s="364">
        <v>239.96</v>
      </c>
      <c r="X65" s="365">
        <v>110</v>
      </c>
      <c r="Y65" s="366">
        <v>0</v>
      </c>
      <c r="Z65" s="366">
        <v>1</v>
      </c>
      <c r="AA65" s="366">
        <v>21</v>
      </c>
      <c r="AB65" s="366">
        <v>5</v>
      </c>
      <c r="AC65" s="366">
        <v>7</v>
      </c>
      <c r="AD65" s="366">
        <v>1734</v>
      </c>
      <c r="AE65" s="366">
        <v>6</v>
      </c>
      <c r="AF65" s="366">
        <v>65</v>
      </c>
      <c r="AG65" s="366">
        <v>71</v>
      </c>
    </row>
    <row r="66" spans="1:33" x14ac:dyDescent="0.2">
      <c r="A66" s="359" t="s">
        <v>188</v>
      </c>
      <c r="B66" s="359" t="s">
        <v>189</v>
      </c>
      <c r="C66" s="366">
        <v>7037</v>
      </c>
      <c r="D66" s="366">
        <v>10</v>
      </c>
      <c r="E66" s="366">
        <v>216</v>
      </c>
      <c r="F66" s="366">
        <v>1510</v>
      </c>
      <c r="G66" s="366">
        <v>1027</v>
      </c>
      <c r="H66" s="363">
        <v>9800</v>
      </c>
      <c r="I66" s="363">
        <v>8773</v>
      </c>
      <c r="J66" s="366">
        <v>5</v>
      </c>
      <c r="K66" s="364">
        <v>106.2</v>
      </c>
      <c r="L66" s="364">
        <v>105.96</v>
      </c>
      <c r="M66" s="364">
        <v>6.2</v>
      </c>
      <c r="N66" s="364">
        <v>108.21</v>
      </c>
      <c r="O66" s="365">
        <v>5075</v>
      </c>
      <c r="P66" s="364">
        <v>96.47</v>
      </c>
      <c r="Q66" s="364">
        <v>97.35</v>
      </c>
      <c r="R66" s="364">
        <v>20.52</v>
      </c>
      <c r="S66" s="364">
        <v>115.91</v>
      </c>
      <c r="T66" s="365">
        <v>1525</v>
      </c>
      <c r="U66" s="364">
        <v>162.16</v>
      </c>
      <c r="V66" s="365">
        <v>1904</v>
      </c>
      <c r="W66" s="364">
        <v>195.76</v>
      </c>
      <c r="X66" s="365">
        <v>166</v>
      </c>
      <c r="Y66" s="366">
        <v>22</v>
      </c>
      <c r="Z66" s="366">
        <v>8</v>
      </c>
      <c r="AA66" s="366">
        <v>2</v>
      </c>
      <c r="AB66" s="366">
        <v>104</v>
      </c>
      <c r="AC66" s="366">
        <v>16</v>
      </c>
      <c r="AD66" s="366">
        <v>6932</v>
      </c>
      <c r="AE66" s="366">
        <v>12</v>
      </c>
      <c r="AF66" s="366">
        <v>40</v>
      </c>
      <c r="AG66" s="366">
        <v>52</v>
      </c>
    </row>
    <row r="67" spans="1:33" x14ac:dyDescent="0.2">
      <c r="A67" s="359" t="s">
        <v>190</v>
      </c>
      <c r="B67" s="359" t="s">
        <v>191</v>
      </c>
      <c r="C67" s="366">
        <v>17548</v>
      </c>
      <c r="D67" s="366">
        <v>4</v>
      </c>
      <c r="E67" s="366">
        <v>910</v>
      </c>
      <c r="F67" s="366">
        <v>2916</v>
      </c>
      <c r="G67" s="366">
        <v>1324</v>
      </c>
      <c r="H67" s="363">
        <v>22702</v>
      </c>
      <c r="I67" s="363">
        <v>21378</v>
      </c>
      <c r="J67" s="366">
        <v>32</v>
      </c>
      <c r="K67" s="364">
        <v>90.3</v>
      </c>
      <c r="L67" s="364">
        <v>89.11</v>
      </c>
      <c r="M67" s="364">
        <v>5.97</v>
      </c>
      <c r="N67" s="364">
        <v>93.17</v>
      </c>
      <c r="O67" s="365">
        <v>13323</v>
      </c>
      <c r="P67" s="364">
        <v>89.27</v>
      </c>
      <c r="Q67" s="364">
        <v>80.39</v>
      </c>
      <c r="R67" s="364">
        <v>32.1</v>
      </c>
      <c r="S67" s="364">
        <v>112.64</v>
      </c>
      <c r="T67" s="365">
        <v>3379</v>
      </c>
      <c r="U67" s="364">
        <v>111.66</v>
      </c>
      <c r="V67" s="365">
        <v>4120</v>
      </c>
      <c r="W67" s="364">
        <v>105.96</v>
      </c>
      <c r="X67" s="365">
        <v>177</v>
      </c>
      <c r="Y67" s="366">
        <v>49</v>
      </c>
      <c r="Z67" s="366">
        <v>21</v>
      </c>
      <c r="AA67" s="366">
        <v>8</v>
      </c>
      <c r="AB67" s="366">
        <v>166</v>
      </c>
      <c r="AC67" s="366">
        <v>13</v>
      </c>
      <c r="AD67" s="366">
        <v>17474</v>
      </c>
      <c r="AE67" s="366">
        <v>130</v>
      </c>
      <c r="AF67" s="366">
        <v>87</v>
      </c>
      <c r="AG67" s="366">
        <v>217</v>
      </c>
    </row>
    <row r="68" spans="1:33" x14ac:dyDescent="0.2">
      <c r="A68" s="359" t="s">
        <v>192</v>
      </c>
      <c r="B68" s="359" t="s">
        <v>193</v>
      </c>
      <c r="C68" s="366">
        <v>14723</v>
      </c>
      <c r="D68" s="366">
        <v>12</v>
      </c>
      <c r="E68" s="366">
        <v>880</v>
      </c>
      <c r="F68" s="366">
        <v>2999</v>
      </c>
      <c r="G68" s="366">
        <v>1804</v>
      </c>
      <c r="H68" s="363">
        <v>20418</v>
      </c>
      <c r="I68" s="363">
        <v>18614</v>
      </c>
      <c r="J68" s="366">
        <v>0</v>
      </c>
      <c r="K68" s="364">
        <v>93.29</v>
      </c>
      <c r="L68" s="364">
        <v>95.09</v>
      </c>
      <c r="M68" s="364">
        <v>4.66</v>
      </c>
      <c r="N68" s="364">
        <v>95.08</v>
      </c>
      <c r="O68" s="365">
        <v>12066</v>
      </c>
      <c r="P68" s="364">
        <v>92.64</v>
      </c>
      <c r="Q68" s="364">
        <v>89.03</v>
      </c>
      <c r="R68" s="364">
        <v>34.64</v>
      </c>
      <c r="S68" s="364">
        <v>117.19</v>
      </c>
      <c r="T68" s="365">
        <v>3051</v>
      </c>
      <c r="U68" s="364">
        <v>113.99</v>
      </c>
      <c r="V68" s="365">
        <v>2354</v>
      </c>
      <c r="W68" s="364">
        <v>158.66999999999999</v>
      </c>
      <c r="X68" s="365">
        <v>495</v>
      </c>
      <c r="Y68" s="366">
        <v>24</v>
      </c>
      <c r="Z68" s="366">
        <v>31</v>
      </c>
      <c r="AA68" s="366">
        <v>3</v>
      </c>
      <c r="AB68" s="366">
        <v>97</v>
      </c>
      <c r="AC68" s="366">
        <v>28</v>
      </c>
      <c r="AD68" s="366">
        <v>14577</v>
      </c>
      <c r="AE68" s="366">
        <v>81</v>
      </c>
      <c r="AF68" s="366">
        <v>86</v>
      </c>
      <c r="AG68" s="366">
        <v>167</v>
      </c>
    </row>
    <row r="69" spans="1:33" x14ac:dyDescent="0.2">
      <c r="A69" s="359" t="s">
        <v>194</v>
      </c>
      <c r="B69" s="359" t="s">
        <v>195</v>
      </c>
      <c r="C69" s="366">
        <v>852</v>
      </c>
      <c r="D69" s="366">
        <v>0</v>
      </c>
      <c r="E69" s="366">
        <v>163</v>
      </c>
      <c r="F69" s="366">
        <v>499</v>
      </c>
      <c r="G69" s="366">
        <v>104</v>
      </c>
      <c r="H69" s="363">
        <v>1618</v>
      </c>
      <c r="I69" s="363">
        <v>1514</v>
      </c>
      <c r="J69" s="366">
        <v>0</v>
      </c>
      <c r="K69" s="364">
        <v>88.12</v>
      </c>
      <c r="L69" s="364">
        <v>85.83</v>
      </c>
      <c r="M69" s="364">
        <v>6.53</v>
      </c>
      <c r="N69" s="364">
        <v>91.09</v>
      </c>
      <c r="O69" s="365">
        <v>649</v>
      </c>
      <c r="P69" s="364">
        <v>91.12</v>
      </c>
      <c r="Q69" s="364">
        <v>82.65</v>
      </c>
      <c r="R69" s="364">
        <v>24.16</v>
      </c>
      <c r="S69" s="364">
        <v>114.49</v>
      </c>
      <c r="T69" s="365">
        <v>577</v>
      </c>
      <c r="U69" s="364">
        <v>102.28</v>
      </c>
      <c r="V69" s="365">
        <v>100</v>
      </c>
      <c r="W69" s="364">
        <v>282.97000000000003</v>
      </c>
      <c r="X69" s="365">
        <v>25</v>
      </c>
      <c r="Y69" s="366">
        <v>0</v>
      </c>
      <c r="Z69" s="366">
        <v>2</v>
      </c>
      <c r="AA69" s="366">
        <v>1</v>
      </c>
      <c r="AB69" s="366">
        <v>2</v>
      </c>
      <c r="AC69" s="366">
        <v>0</v>
      </c>
      <c r="AD69" s="366">
        <v>748</v>
      </c>
      <c r="AE69" s="366">
        <v>6</v>
      </c>
      <c r="AF69" s="366">
        <v>3</v>
      </c>
      <c r="AG69" s="366">
        <v>9</v>
      </c>
    </row>
    <row r="70" spans="1:33" x14ac:dyDescent="0.2">
      <c r="A70" s="359" t="s">
        <v>196</v>
      </c>
      <c r="B70" s="359" t="s">
        <v>197</v>
      </c>
      <c r="C70" s="366">
        <v>7457</v>
      </c>
      <c r="D70" s="366">
        <v>0</v>
      </c>
      <c r="E70" s="366">
        <v>157</v>
      </c>
      <c r="F70" s="366">
        <v>738</v>
      </c>
      <c r="G70" s="366">
        <v>775</v>
      </c>
      <c r="H70" s="363">
        <v>9127</v>
      </c>
      <c r="I70" s="363">
        <v>8352</v>
      </c>
      <c r="J70" s="366">
        <v>3</v>
      </c>
      <c r="K70" s="364">
        <v>106.9</v>
      </c>
      <c r="L70" s="364">
        <v>113.14</v>
      </c>
      <c r="M70" s="364">
        <v>6.93</v>
      </c>
      <c r="N70" s="364">
        <v>110.08</v>
      </c>
      <c r="O70" s="365">
        <v>6279</v>
      </c>
      <c r="P70" s="364">
        <v>96.91</v>
      </c>
      <c r="Q70" s="364">
        <v>93.63</v>
      </c>
      <c r="R70" s="364">
        <v>31.13</v>
      </c>
      <c r="S70" s="364">
        <v>126.53</v>
      </c>
      <c r="T70" s="365">
        <v>678</v>
      </c>
      <c r="U70" s="364">
        <v>163.44</v>
      </c>
      <c r="V70" s="365">
        <v>1128</v>
      </c>
      <c r="W70" s="364">
        <v>144.91</v>
      </c>
      <c r="X70" s="365">
        <v>4</v>
      </c>
      <c r="Y70" s="366">
        <v>3</v>
      </c>
      <c r="Z70" s="366">
        <v>5</v>
      </c>
      <c r="AA70" s="366">
        <v>1</v>
      </c>
      <c r="AB70" s="366">
        <v>57</v>
      </c>
      <c r="AC70" s="366">
        <v>18</v>
      </c>
      <c r="AD70" s="366">
        <v>7435</v>
      </c>
      <c r="AE70" s="366">
        <v>77</v>
      </c>
      <c r="AF70" s="366">
        <v>4</v>
      </c>
      <c r="AG70" s="366">
        <v>81</v>
      </c>
    </row>
    <row r="71" spans="1:33" x14ac:dyDescent="0.2">
      <c r="A71" s="359" t="s">
        <v>198</v>
      </c>
      <c r="B71" s="359" t="s">
        <v>199</v>
      </c>
      <c r="C71" s="366">
        <v>6038</v>
      </c>
      <c r="D71" s="366">
        <v>57</v>
      </c>
      <c r="E71" s="366">
        <v>383</v>
      </c>
      <c r="F71" s="366">
        <v>654</v>
      </c>
      <c r="G71" s="366">
        <v>242</v>
      </c>
      <c r="H71" s="363">
        <v>7374</v>
      </c>
      <c r="I71" s="363">
        <v>7132</v>
      </c>
      <c r="J71" s="366">
        <v>3</v>
      </c>
      <c r="K71" s="364">
        <v>81.66</v>
      </c>
      <c r="L71" s="364">
        <v>78.849999999999994</v>
      </c>
      <c r="M71" s="364">
        <v>5.8</v>
      </c>
      <c r="N71" s="364">
        <v>85.91</v>
      </c>
      <c r="O71" s="365">
        <v>5080</v>
      </c>
      <c r="P71" s="364">
        <v>85.83</v>
      </c>
      <c r="Q71" s="364">
        <v>70.19</v>
      </c>
      <c r="R71" s="364">
        <v>31.66</v>
      </c>
      <c r="S71" s="364">
        <v>115.75</v>
      </c>
      <c r="T71" s="365">
        <v>873</v>
      </c>
      <c r="U71" s="364">
        <v>104.11</v>
      </c>
      <c r="V71" s="365">
        <v>905</v>
      </c>
      <c r="W71" s="364">
        <v>0</v>
      </c>
      <c r="X71" s="365">
        <v>0</v>
      </c>
      <c r="Y71" s="366">
        <v>7</v>
      </c>
      <c r="Z71" s="366">
        <v>6</v>
      </c>
      <c r="AA71" s="366">
        <v>0</v>
      </c>
      <c r="AB71" s="366">
        <v>41</v>
      </c>
      <c r="AC71" s="366">
        <v>5</v>
      </c>
      <c r="AD71" s="366">
        <v>5946</v>
      </c>
      <c r="AE71" s="366">
        <v>57</v>
      </c>
      <c r="AF71" s="366">
        <v>12</v>
      </c>
      <c r="AG71" s="366">
        <v>69</v>
      </c>
    </row>
    <row r="72" spans="1:33" x14ac:dyDescent="0.2">
      <c r="A72" s="359" t="s">
        <v>200</v>
      </c>
      <c r="B72" s="359" t="s">
        <v>201</v>
      </c>
      <c r="C72" s="366">
        <v>194</v>
      </c>
      <c r="D72" s="366">
        <v>0</v>
      </c>
      <c r="E72" s="366">
        <v>17</v>
      </c>
      <c r="F72" s="366">
        <v>19</v>
      </c>
      <c r="G72" s="366">
        <v>0</v>
      </c>
      <c r="H72" s="363">
        <v>230</v>
      </c>
      <c r="I72" s="363">
        <v>230</v>
      </c>
      <c r="J72" s="366">
        <v>0</v>
      </c>
      <c r="K72" s="364">
        <v>128.55000000000001</v>
      </c>
      <c r="L72" s="364">
        <v>130.63</v>
      </c>
      <c r="M72" s="364">
        <v>11.65</v>
      </c>
      <c r="N72" s="364">
        <v>140.19999999999999</v>
      </c>
      <c r="O72" s="365">
        <v>160</v>
      </c>
      <c r="P72" s="364">
        <v>116.55</v>
      </c>
      <c r="Q72" s="364">
        <v>118.36</v>
      </c>
      <c r="R72" s="364">
        <v>113.3</v>
      </c>
      <c r="S72" s="364">
        <v>229.85</v>
      </c>
      <c r="T72" s="365">
        <v>36</v>
      </c>
      <c r="U72" s="364">
        <v>213.28</v>
      </c>
      <c r="V72" s="365">
        <v>34</v>
      </c>
      <c r="W72" s="364">
        <v>0</v>
      </c>
      <c r="X72" s="365">
        <v>0</v>
      </c>
      <c r="Y72" s="366">
        <v>0</v>
      </c>
      <c r="Z72" s="366">
        <v>0</v>
      </c>
      <c r="AA72" s="366">
        <v>0</v>
      </c>
      <c r="AB72" s="366">
        <v>0</v>
      </c>
      <c r="AC72" s="366">
        <v>0</v>
      </c>
      <c r="AD72" s="366">
        <v>194</v>
      </c>
      <c r="AE72" s="366">
        <v>1</v>
      </c>
      <c r="AF72" s="366">
        <v>0</v>
      </c>
      <c r="AG72" s="366">
        <v>1</v>
      </c>
    </row>
    <row r="73" spans="1:33" x14ac:dyDescent="0.2">
      <c r="A73" s="359" t="s">
        <v>202</v>
      </c>
      <c r="B73" s="359" t="s">
        <v>203</v>
      </c>
      <c r="C73" s="366">
        <v>4300</v>
      </c>
      <c r="D73" s="366">
        <v>135</v>
      </c>
      <c r="E73" s="366">
        <v>604</v>
      </c>
      <c r="F73" s="366">
        <v>357</v>
      </c>
      <c r="G73" s="366">
        <v>338</v>
      </c>
      <c r="H73" s="363">
        <v>5734</v>
      </c>
      <c r="I73" s="363">
        <v>5396</v>
      </c>
      <c r="J73" s="366">
        <v>18</v>
      </c>
      <c r="K73" s="364">
        <v>104.41</v>
      </c>
      <c r="L73" s="364">
        <v>103.27</v>
      </c>
      <c r="M73" s="364">
        <v>6.01</v>
      </c>
      <c r="N73" s="364">
        <v>109.19</v>
      </c>
      <c r="O73" s="365">
        <v>2756</v>
      </c>
      <c r="P73" s="364">
        <v>109.77</v>
      </c>
      <c r="Q73" s="364">
        <v>87.62</v>
      </c>
      <c r="R73" s="364">
        <v>50.21</v>
      </c>
      <c r="S73" s="364">
        <v>154.61000000000001</v>
      </c>
      <c r="T73" s="365">
        <v>655</v>
      </c>
      <c r="U73" s="364">
        <v>135.72999999999999</v>
      </c>
      <c r="V73" s="365">
        <v>1127</v>
      </c>
      <c r="W73" s="364">
        <v>146.29</v>
      </c>
      <c r="X73" s="365">
        <v>34</v>
      </c>
      <c r="Y73" s="366">
        <v>0</v>
      </c>
      <c r="Z73" s="366">
        <v>0</v>
      </c>
      <c r="AA73" s="366">
        <v>52</v>
      </c>
      <c r="AB73" s="366">
        <v>23</v>
      </c>
      <c r="AC73" s="366">
        <v>9</v>
      </c>
      <c r="AD73" s="366">
        <v>4233</v>
      </c>
      <c r="AE73" s="366">
        <v>24</v>
      </c>
      <c r="AF73" s="366">
        <v>18</v>
      </c>
      <c r="AG73" s="366">
        <v>42</v>
      </c>
    </row>
    <row r="74" spans="1:33" x14ac:dyDescent="0.2">
      <c r="A74" s="359" t="s">
        <v>204</v>
      </c>
      <c r="B74" s="359" t="s">
        <v>205</v>
      </c>
      <c r="C74" s="366">
        <v>5551</v>
      </c>
      <c r="D74" s="366">
        <v>0</v>
      </c>
      <c r="E74" s="366">
        <v>77</v>
      </c>
      <c r="F74" s="366">
        <v>309</v>
      </c>
      <c r="G74" s="366">
        <v>7</v>
      </c>
      <c r="H74" s="363">
        <v>5944</v>
      </c>
      <c r="I74" s="363">
        <v>5937</v>
      </c>
      <c r="J74" s="366">
        <v>20</v>
      </c>
      <c r="K74" s="364">
        <v>86.96</v>
      </c>
      <c r="L74" s="364">
        <v>83.82</v>
      </c>
      <c r="M74" s="364">
        <v>1.4</v>
      </c>
      <c r="N74" s="364">
        <v>88.25</v>
      </c>
      <c r="O74" s="365">
        <v>5211</v>
      </c>
      <c r="P74" s="364">
        <v>80.42</v>
      </c>
      <c r="Q74" s="364">
        <v>75.41</v>
      </c>
      <c r="R74" s="364">
        <v>45.8</v>
      </c>
      <c r="S74" s="364">
        <v>125.47</v>
      </c>
      <c r="T74" s="365">
        <v>367</v>
      </c>
      <c r="U74" s="364">
        <v>94.17</v>
      </c>
      <c r="V74" s="365">
        <v>307</v>
      </c>
      <c r="W74" s="364">
        <v>0</v>
      </c>
      <c r="X74" s="365">
        <v>0</v>
      </c>
      <c r="Y74" s="366">
        <v>0</v>
      </c>
      <c r="Z74" s="366">
        <v>16</v>
      </c>
      <c r="AA74" s="366">
        <v>8</v>
      </c>
      <c r="AB74" s="366">
        <v>0</v>
      </c>
      <c r="AC74" s="366">
        <v>1</v>
      </c>
      <c r="AD74" s="366">
        <v>5518</v>
      </c>
      <c r="AE74" s="366">
        <v>5</v>
      </c>
      <c r="AF74" s="366">
        <v>160</v>
      </c>
      <c r="AG74" s="366">
        <v>165</v>
      </c>
    </row>
    <row r="75" spans="1:33" x14ac:dyDescent="0.2">
      <c r="A75" s="359" t="s">
        <v>206</v>
      </c>
      <c r="B75" s="359" t="s">
        <v>207</v>
      </c>
      <c r="C75" s="366">
        <v>18923</v>
      </c>
      <c r="D75" s="366">
        <v>0</v>
      </c>
      <c r="E75" s="366">
        <v>862</v>
      </c>
      <c r="F75" s="366">
        <v>2538</v>
      </c>
      <c r="G75" s="366">
        <v>2585</v>
      </c>
      <c r="H75" s="363">
        <v>24908</v>
      </c>
      <c r="I75" s="363">
        <v>22323</v>
      </c>
      <c r="J75" s="366">
        <v>14</v>
      </c>
      <c r="K75" s="364">
        <v>84.2</v>
      </c>
      <c r="L75" s="364">
        <v>79.92</v>
      </c>
      <c r="M75" s="364">
        <v>3.79</v>
      </c>
      <c r="N75" s="364">
        <v>87.36</v>
      </c>
      <c r="O75" s="365">
        <v>13932</v>
      </c>
      <c r="P75" s="364">
        <v>83.43</v>
      </c>
      <c r="Q75" s="364">
        <v>72.14</v>
      </c>
      <c r="R75" s="364">
        <v>44.12</v>
      </c>
      <c r="S75" s="364">
        <v>126.04</v>
      </c>
      <c r="T75" s="365">
        <v>3091</v>
      </c>
      <c r="U75" s="364">
        <v>122.21</v>
      </c>
      <c r="V75" s="365">
        <v>3465</v>
      </c>
      <c r="W75" s="364">
        <v>119.79</v>
      </c>
      <c r="X75" s="365">
        <v>174</v>
      </c>
      <c r="Y75" s="366">
        <v>0</v>
      </c>
      <c r="Z75" s="366">
        <v>15</v>
      </c>
      <c r="AA75" s="366">
        <v>54</v>
      </c>
      <c r="AB75" s="366">
        <v>148</v>
      </c>
      <c r="AC75" s="366">
        <v>38</v>
      </c>
      <c r="AD75" s="366">
        <v>18463</v>
      </c>
      <c r="AE75" s="366">
        <v>142</v>
      </c>
      <c r="AF75" s="366">
        <v>34</v>
      </c>
      <c r="AG75" s="366">
        <v>176</v>
      </c>
    </row>
    <row r="76" spans="1:33" x14ac:dyDescent="0.2">
      <c r="A76" s="359" t="s">
        <v>208</v>
      </c>
      <c r="B76" s="359" t="s">
        <v>209</v>
      </c>
      <c r="C76" s="366">
        <v>5562</v>
      </c>
      <c r="D76" s="366">
        <v>0</v>
      </c>
      <c r="E76" s="366">
        <v>55</v>
      </c>
      <c r="F76" s="366">
        <v>552</v>
      </c>
      <c r="G76" s="366">
        <v>794</v>
      </c>
      <c r="H76" s="363">
        <v>6963</v>
      </c>
      <c r="I76" s="363">
        <v>6169</v>
      </c>
      <c r="J76" s="366">
        <v>0</v>
      </c>
      <c r="K76" s="364">
        <v>105.09</v>
      </c>
      <c r="L76" s="364">
        <v>100.65</v>
      </c>
      <c r="M76" s="364">
        <v>4.24</v>
      </c>
      <c r="N76" s="364">
        <v>106.86</v>
      </c>
      <c r="O76" s="365">
        <v>4388</v>
      </c>
      <c r="P76" s="364">
        <v>97.58</v>
      </c>
      <c r="Q76" s="364">
        <v>87.96</v>
      </c>
      <c r="R76" s="364">
        <v>24.12</v>
      </c>
      <c r="S76" s="364">
        <v>121.35</v>
      </c>
      <c r="T76" s="365">
        <v>547</v>
      </c>
      <c r="U76" s="364">
        <v>139.03</v>
      </c>
      <c r="V76" s="365">
        <v>949</v>
      </c>
      <c r="W76" s="364">
        <v>178.79</v>
      </c>
      <c r="X76" s="365">
        <v>53</v>
      </c>
      <c r="Y76" s="366">
        <v>0</v>
      </c>
      <c r="Z76" s="366">
        <v>0</v>
      </c>
      <c r="AA76" s="366">
        <v>3</v>
      </c>
      <c r="AB76" s="366">
        <v>56</v>
      </c>
      <c r="AC76" s="366">
        <v>9</v>
      </c>
      <c r="AD76" s="366">
        <v>5330</v>
      </c>
      <c r="AE76" s="366">
        <v>36</v>
      </c>
      <c r="AF76" s="366">
        <v>69</v>
      </c>
      <c r="AG76" s="366">
        <v>105</v>
      </c>
    </row>
    <row r="77" spans="1:33" x14ac:dyDescent="0.2">
      <c r="A77" s="359" t="s">
        <v>210</v>
      </c>
      <c r="B77" s="359" t="s">
        <v>211</v>
      </c>
      <c r="C77" s="366">
        <v>45876</v>
      </c>
      <c r="D77" s="366">
        <v>12</v>
      </c>
      <c r="E77" s="366">
        <v>1035</v>
      </c>
      <c r="F77" s="366">
        <v>1445</v>
      </c>
      <c r="G77" s="366">
        <v>341</v>
      </c>
      <c r="H77" s="363">
        <v>48709</v>
      </c>
      <c r="I77" s="363">
        <v>48368</v>
      </c>
      <c r="J77" s="366">
        <v>73</v>
      </c>
      <c r="K77" s="364">
        <v>73.5</v>
      </c>
      <c r="L77" s="364">
        <v>73.53</v>
      </c>
      <c r="M77" s="364">
        <v>3.95</v>
      </c>
      <c r="N77" s="364">
        <v>74.069999999999993</v>
      </c>
      <c r="O77" s="365">
        <v>41359</v>
      </c>
      <c r="P77" s="364">
        <v>102.58</v>
      </c>
      <c r="Q77" s="364">
        <v>76.44</v>
      </c>
      <c r="R77" s="364">
        <v>60.63</v>
      </c>
      <c r="S77" s="364">
        <v>161.94</v>
      </c>
      <c r="T77" s="365">
        <v>2013</v>
      </c>
      <c r="U77" s="364">
        <v>91.91</v>
      </c>
      <c r="V77" s="365">
        <v>3996</v>
      </c>
      <c r="W77" s="364">
        <v>143.78</v>
      </c>
      <c r="X77" s="365">
        <v>165</v>
      </c>
      <c r="Y77" s="366">
        <v>20</v>
      </c>
      <c r="Z77" s="366">
        <v>118</v>
      </c>
      <c r="AA77" s="366">
        <v>35</v>
      </c>
      <c r="AB77" s="366">
        <v>35</v>
      </c>
      <c r="AC77" s="366">
        <v>17</v>
      </c>
      <c r="AD77" s="366">
        <v>45827</v>
      </c>
      <c r="AE77" s="366">
        <v>622</v>
      </c>
      <c r="AF77" s="366">
        <v>314</v>
      </c>
      <c r="AG77" s="366">
        <v>936</v>
      </c>
    </row>
    <row r="78" spans="1:33" x14ac:dyDescent="0.2">
      <c r="A78" s="359" t="s">
        <v>212</v>
      </c>
      <c r="B78" s="359" t="s">
        <v>213</v>
      </c>
      <c r="C78" s="366">
        <v>22332</v>
      </c>
      <c r="D78" s="366">
        <v>0</v>
      </c>
      <c r="E78" s="366">
        <v>815</v>
      </c>
      <c r="F78" s="366">
        <v>1712</v>
      </c>
      <c r="G78" s="366">
        <v>611</v>
      </c>
      <c r="H78" s="363">
        <v>25470</v>
      </c>
      <c r="I78" s="363">
        <v>24859</v>
      </c>
      <c r="J78" s="366">
        <v>6</v>
      </c>
      <c r="K78" s="364">
        <v>86.21</v>
      </c>
      <c r="L78" s="364">
        <v>85.67</v>
      </c>
      <c r="M78" s="364">
        <v>5.6</v>
      </c>
      <c r="N78" s="364">
        <v>91.42</v>
      </c>
      <c r="O78" s="365">
        <v>19767</v>
      </c>
      <c r="P78" s="364">
        <v>92.18</v>
      </c>
      <c r="Q78" s="364">
        <v>84.21</v>
      </c>
      <c r="R78" s="364">
        <v>55.1</v>
      </c>
      <c r="S78" s="364">
        <v>146.38999999999999</v>
      </c>
      <c r="T78" s="365">
        <v>2053</v>
      </c>
      <c r="U78" s="364">
        <v>114.24</v>
      </c>
      <c r="V78" s="365">
        <v>2248</v>
      </c>
      <c r="W78" s="364">
        <v>0</v>
      </c>
      <c r="X78" s="365">
        <v>0</v>
      </c>
      <c r="Y78" s="366">
        <v>0</v>
      </c>
      <c r="Z78" s="366">
        <v>52</v>
      </c>
      <c r="AA78" s="366">
        <v>43</v>
      </c>
      <c r="AB78" s="366">
        <v>23</v>
      </c>
      <c r="AC78" s="366">
        <v>17</v>
      </c>
      <c r="AD78" s="366">
        <v>22199</v>
      </c>
      <c r="AE78" s="366">
        <v>126</v>
      </c>
      <c r="AF78" s="366">
        <v>170</v>
      </c>
      <c r="AG78" s="366">
        <v>296</v>
      </c>
    </row>
    <row r="79" spans="1:33" x14ac:dyDescent="0.2">
      <c r="A79" s="359" t="s">
        <v>214</v>
      </c>
      <c r="B79" s="359" t="s">
        <v>215</v>
      </c>
      <c r="C79" s="366">
        <v>2250</v>
      </c>
      <c r="D79" s="366">
        <v>0</v>
      </c>
      <c r="E79" s="366">
        <v>66</v>
      </c>
      <c r="F79" s="366">
        <v>182</v>
      </c>
      <c r="G79" s="366">
        <v>74</v>
      </c>
      <c r="H79" s="363">
        <v>2572</v>
      </c>
      <c r="I79" s="363">
        <v>2498</v>
      </c>
      <c r="J79" s="366">
        <v>23</v>
      </c>
      <c r="K79" s="364">
        <v>86.31</v>
      </c>
      <c r="L79" s="364">
        <v>82.74</v>
      </c>
      <c r="M79" s="364">
        <v>6.2</v>
      </c>
      <c r="N79" s="364">
        <v>90.19</v>
      </c>
      <c r="O79" s="365">
        <v>1524</v>
      </c>
      <c r="P79" s="364">
        <v>83.88</v>
      </c>
      <c r="Q79" s="364">
        <v>68.03</v>
      </c>
      <c r="R79" s="364">
        <v>31.95</v>
      </c>
      <c r="S79" s="364">
        <v>115.15</v>
      </c>
      <c r="T79" s="365">
        <v>188</v>
      </c>
      <c r="U79" s="364">
        <v>97.02</v>
      </c>
      <c r="V79" s="365">
        <v>681</v>
      </c>
      <c r="W79" s="364">
        <v>159.62</v>
      </c>
      <c r="X79" s="365">
        <v>34</v>
      </c>
      <c r="Y79" s="366">
        <v>0</v>
      </c>
      <c r="Z79" s="366">
        <v>4</v>
      </c>
      <c r="AA79" s="366">
        <v>1</v>
      </c>
      <c r="AB79" s="366">
        <v>6</v>
      </c>
      <c r="AC79" s="366">
        <v>2</v>
      </c>
      <c r="AD79" s="366">
        <v>2228</v>
      </c>
      <c r="AE79" s="366">
        <v>24</v>
      </c>
      <c r="AF79" s="366">
        <v>8</v>
      </c>
      <c r="AG79" s="366">
        <v>32</v>
      </c>
    </row>
    <row r="80" spans="1:33" x14ac:dyDescent="0.2">
      <c r="A80" s="359" t="s">
        <v>216</v>
      </c>
      <c r="B80" s="359" t="s">
        <v>217</v>
      </c>
      <c r="C80" s="366">
        <v>2136</v>
      </c>
      <c r="D80" s="366">
        <v>0</v>
      </c>
      <c r="E80" s="366">
        <v>161</v>
      </c>
      <c r="F80" s="366">
        <v>286</v>
      </c>
      <c r="G80" s="366">
        <v>431</v>
      </c>
      <c r="H80" s="363">
        <v>3014</v>
      </c>
      <c r="I80" s="363">
        <v>2583</v>
      </c>
      <c r="J80" s="366">
        <v>7</v>
      </c>
      <c r="K80" s="364">
        <v>112.75</v>
      </c>
      <c r="L80" s="364">
        <v>106.1</v>
      </c>
      <c r="M80" s="364">
        <v>9.15</v>
      </c>
      <c r="N80" s="364">
        <v>121.05</v>
      </c>
      <c r="O80" s="365">
        <v>1615</v>
      </c>
      <c r="P80" s="364">
        <v>107.45</v>
      </c>
      <c r="Q80" s="364">
        <v>98.54</v>
      </c>
      <c r="R80" s="364">
        <v>40.26</v>
      </c>
      <c r="S80" s="364">
        <v>147.32</v>
      </c>
      <c r="T80" s="365">
        <v>205</v>
      </c>
      <c r="U80" s="364">
        <v>160.38</v>
      </c>
      <c r="V80" s="365">
        <v>419</v>
      </c>
      <c r="W80" s="364">
        <v>294.32</v>
      </c>
      <c r="X80" s="365">
        <v>103</v>
      </c>
      <c r="Y80" s="366">
        <v>0</v>
      </c>
      <c r="Z80" s="366">
        <v>0</v>
      </c>
      <c r="AA80" s="366">
        <v>3</v>
      </c>
      <c r="AB80" s="366">
        <v>13</v>
      </c>
      <c r="AC80" s="366">
        <v>9</v>
      </c>
      <c r="AD80" s="366">
        <v>2107</v>
      </c>
      <c r="AE80" s="366">
        <v>11</v>
      </c>
      <c r="AF80" s="366">
        <v>3</v>
      </c>
      <c r="AG80" s="366">
        <v>14</v>
      </c>
    </row>
    <row r="81" spans="1:33" x14ac:dyDescent="0.2">
      <c r="A81" s="359" t="s">
        <v>218</v>
      </c>
      <c r="B81" s="359" t="s">
        <v>219</v>
      </c>
      <c r="C81" s="366">
        <v>11429</v>
      </c>
      <c r="D81" s="366">
        <v>83</v>
      </c>
      <c r="E81" s="366">
        <v>1048</v>
      </c>
      <c r="F81" s="366">
        <v>833</v>
      </c>
      <c r="G81" s="366">
        <v>2351</v>
      </c>
      <c r="H81" s="363">
        <v>15744</v>
      </c>
      <c r="I81" s="363">
        <v>13393</v>
      </c>
      <c r="J81" s="366">
        <v>32</v>
      </c>
      <c r="K81" s="364">
        <v>124.02</v>
      </c>
      <c r="L81" s="364">
        <v>122.99</v>
      </c>
      <c r="M81" s="364">
        <v>10.81</v>
      </c>
      <c r="N81" s="364">
        <v>131.56</v>
      </c>
      <c r="O81" s="365">
        <v>8751</v>
      </c>
      <c r="P81" s="364">
        <v>103.54</v>
      </c>
      <c r="Q81" s="364">
        <v>96.42</v>
      </c>
      <c r="R81" s="364">
        <v>68.45</v>
      </c>
      <c r="S81" s="364">
        <v>171.08</v>
      </c>
      <c r="T81" s="365">
        <v>1124</v>
      </c>
      <c r="U81" s="364">
        <v>189.05</v>
      </c>
      <c r="V81" s="365">
        <v>2049</v>
      </c>
      <c r="W81" s="364">
        <v>142.35</v>
      </c>
      <c r="X81" s="365">
        <v>34</v>
      </c>
      <c r="Y81" s="366">
        <v>5</v>
      </c>
      <c r="Z81" s="366">
        <v>2</v>
      </c>
      <c r="AA81" s="366">
        <v>17</v>
      </c>
      <c r="AB81" s="366">
        <v>74</v>
      </c>
      <c r="AC81" s="366">
        <v>38</v>
      </c>
      <c r="AD81" s="366">
        <v>11159</v>
      </c>
      <c r="AE81" s="366">
        <v>67</v>
      </c>
      <c r="AF81" s="366">
        <v>32</v>
      </c>
      <c r="AG81" s="366">
        <v>99</v>
      </c>
    </row>
    <row r="82" spans="1:33" x14ac:dyDescent="0.2">
      <c r="A82" s="359" t="s">
        <v>220</v>
      </c>
      <c r="B82" s="359" t="s">
        <v>221</v>
      </c>
      <c r="C82" s="366">
        <v>3024</v>
      </c>
      <c r="D82" s="366">
        <v>0</v>
      </c>
      <c r="E82" s="366">
        <v>239</v>
      </c>
      <c r="F82" s="366">
        <v>275</v>
      </c>
      <c r="G82" s="366">
        <v>353</v>
      </c>
      <c r="H82" s="363">
        <v>3891</v>
      </c>
      <c r="I82" s="363">
        <v>3538</v>
      </c>
      <c r="J82" s="366">
        <v>0</v>
      </c>
      <c r="K82" s="364">
        <v>118.14</v>
      </c>
      <c r="L82" s="364">
        <v>115.4</v>
      </c>
      <c r="M82" s="364">
        <v>7.21</v>
      </c>
      <c r="N82" s="364">
        <v>124.3</v>
      </c>
      <c r="O82" s="365">
        <v>1957</v>
      </c>
      <c r="P82" s="364">
        <v>120.72</v>
      </c>
      <c r="Q82" s="364">
        <v>100.12</v>
      </c>
      <c r="R82" s="364">
        <v>33.53</v>
      </c>
      <c r="S82" s="364">
        <v>153.34</v>
      </c>
      <c r="T82" s="365">
        <v>402</v>
      </c>
      <c r="U82" s="364">
        <v>175.43</v>
      </c>
      <c r="V82" s="365">
        <v>830</v>
      </c>
      <c r="W82" s="364">
        <v>156.55000000000001</v>
      </c>
      <c r="X82" s="365">
        <v>9</v>
      </c>
      <c r="Y82" s="366">
        <v>132</v>
      </c>
      <c r="Z82" s="366">
        <v>0</v>
      </c>
      <c r="AA82" s="366">
        <v>2</v>
      </c>
      <c r="AB82" s="366">
        <v>4</v>
      </c>
      <c r="AC82" s="366">
        <v>8</v>
      </c>
      <c r="AD82" s="366">
        <v>2973</v>
      </c>
      <c r="AE82" s="366">
        <v>32</v>
      </c>
      <c r="AF82" s="366">
        <v>21</v>
      </c>
      <c r="AG82" s="366">
        <v>53</v>
      </c>
    </row>
    <row r="83" spans="1:33" x14ac:dyDescent="0.2">
      <c r="A83" s="359" t="s">
        <v>222</v>
      </c>
      <c r="B83" s="359" t="s">
        <v>223</v>
      </c>
      <c r="C83" s="366">
        <v>2172</v>
      </c>
      <c r="D83" s="366">
        <v>6</v>
      </c>
      <c r="E83" s="366">
        <v>324</v>
      </c>
      <c r="F83" s="366">
        <v>529</v>
      </c>
      <c r="G83" s="366">
        <v>134</v>
      </c>
      <c r="H83" s="363">
        <v>3165</v>
      </c>
      <c r="I83" s="363">
        <v>3031</v>
      </c>
      <c r="J83" s="366">
        <v>3</v>
      </c>
      <c r="K83" s="364">
        <v>80.040000000000006</v>
      </c>
      <c r="L83" s="364">
        <v>77.17</v>
      </c>
      <c r="M83" s="364">
        <v>4.51</v>
      </c>
      <c r="N83" s="364">
        <v>82.92</v>
      </c>
      <c r="O83" s="365">
        <v>1349</v>
      </c>
      <c r="P83" s="364">
        <v>93.36</v>
      </c>
      <c r="Q83" s="364">
        <v>78.44</v>
      </c>
      <c r="R83" s="364">
        <v>57.54</v>
      </c>
      <c r="S83" s="364">
        <v>150.62</v>
      </c>
      <c r="T83" s="365">
        <v>616</v>
      </c>
      <c r="U83" s="364">
        <v>100.05</v>
      </c>
      <c r="V83" s="365">
        <v>624</v>
      </c>
      <c r="W83" s="364">
        <v>104.77</v>
      </c>
      <c r="X83" s="365">
        <v>38</v>
      </c>
      <c r="Y83" s="366">
        <v>24</v>
      </c>
      <c r="Z83" s="366">
        <v>4</v>
      </c>
      <c r="AA83" s="366">
        <v>0</v>
      </c>
      <c r="AB83" s="366">
        <v>7</v>
      </c>
      <c r="AC83" s="366">
        <v>5</v>
      </c>
      <c r="AD83" s="366">
        <v>2159</v>
      </c>
      <c r="AE83" s="366">
        <v>13</v>
      </c>
      <c r="AF83" s="366">
        <v>23</v>
      </c>
      <c r="AG83" s="366">
        <v>36</v>
      </c>
    </row>
    <row r="84" spans="1:33" x14ac:dyDescent="0.2">
      <c r="A84" s="359" t="s">
        <v>224</v>
      </c>
      <c r="B84" s="359" t="s">
        <v>225</v>
      </c>
      <c r="C84" s="366">
        <v>1752</v>
      </c>
      <c r="D84" s="366">
        <v>12</v>
      </c>
      <c r="E84" s="366">
        <v>179</v>
      </c>
      <c r="F84" s="366">
        <v>107</v>
      </c>
      <c r="G84" s="366">
        <v>1074</v>
      </c>
      <c r="H84" s="363">
        <v>3124</v>
      </c>
      <c r="I84" s="363">
        <v>2050</v>
      </c>
      <c r="J84" s="366">
        <v>0</v>
      </c>
      <c r="K84" s="364">
        <v>109.35</v>
      </c>
      <c r="L84" s="364">
        <v>105.42</v>
      </c>
      <c r="M84" s="364">
        <v>7.64</v>
      </c>
      <c r="N84" s="364">
        <v>116.45</v>
      </c>
      <c r="O84" s="365">
        <v>851</v>
      </c>
      <c r="P84" s="364">
        <v>127.2</v>
      </c>
      <c r="Q84" s="364">
        <v>87.26</v>
      </c>
      <c r="R84" s="364">
        <v>48.41</v>
      </c>
      <c r="S84" s="364">
        <v>170.17</v>
      </c>
      <c r="T84" s="365">
        <v>169</v>
      </c>
      <c r="U84" s="364">
        <v>162.87</v>
      </c>
      <c r="V84" s="365">
        <v>468</v>
      </c>
      <c r="W84" s="364">
        <v>0</v>
      </c>
      <c r="X84" s="365">
        <v>0</v>
      </c>
      <c r="Y84" s="366">
        <v>0</v>
      </c>
      <c r="Z84" s="366">
        <v>0</v>
      </c>
      <c r="AA84" s="366">
        <v>7</v>
      </c>
      <c r="AB84" s="366">
        <v>92</v>
      </c>
      <c r="AC84" s="366">
        <v>21</v>
      </c>
      <c r="AD84" s="366">
        <v>1373</v>
      </c>
      <c r="AE84" s="366">
        <v>5</v>
      </c>
      <c r="AF84" s="366">
        <v>0</v>
      </c>
      <c r="AG84" s="366">
        <v>5</v>
      </c>
    </row>
    <row r="85" spans="1:33" x14ac:dyDescent="0.2">
      <c r="A85" s="359" t="s">
        <v>226</v>
      </c>
      <c r="B85" s="359" t="s">
        <v>227</v>
      </c>
      <c r="C85" s="366">
        <v>6149</v>
      </c>
      <c r="D85" s="366">
        <v>100</v>
      </c>
      <c r="E85" s="366">
        <v>732</v>
      </c>
      <c r="F85" s="366">
        <v>1361</v>
      </c>
      <c r="G85" s="366">
        <v>521</v>
      </c>
      <c r="H85" s="363">
        <v>8863</v>
      </c>
      <c r="I85" s="363">
        <v>8342</v>
      </c>
      <c r="J85" s="366">
        <v>16</v>
      </c>
      <c r="K85" s="364">
        <v>89.96</v>
      </c>
      <c r="L85" s="364">
        <v>87.92</v>
      </c>
      <c r="M85" s="364">
        <v>6.4</v>
      </c>
      <c r="N85" s="364">
        <v>94.54</v>
      </c>
      <c r="O85" s="365">
        <v>5408</v>
      </c>
      <c r="P85" s="364">
        <v>84.73</v>
      </c>
      <c r="Q85" s="364">
        <v>78.400000000000006</v>
      </c>
      <c r="R85" s="364">
        <v>51.85</v>
      </c>
      <c r="S85" s="364">
        <v>135.16999999999999</v>
      </c>
      <c r="T85" s="365">
        <v>1539</v>
      </c>
      <c r="U85" s="364">
        <v>106.72</v>
      </c>
      <c r="V85" s="365">
        <v>557</v>
      </c>
      <c r="W85" s="364">
        <v>164.13</v>
      </c>
      <c r="X85" s="365">
        <v>107</v>
      </c>
      <c r="Y85" s="366">
        <v>35</v>
      </c>
      <c r="Z85" s="366">
        <v>22</v>
      </c>
      <c r="AA85" s="366">
        <v>2</v>
      </c>
      <c r="AB85" s="366">
        <v>21</v>
      </c>
      <c r="AC85" s="366">
        <v>15</v>
      </c>
      <c r="AD85" s="366">
        <v>5947</v>
      </c>
      <c r="AE85" s="366">
        <v>52</v>
      </c>
      <c r="AF85" s="366">
        <v>14</v>
      </c>
      <c r="AG85" s="366">
        <v>66</v>
      </c>
    </row>
    <row r="86" spans="1:33" x14ac:dyDescent="0.2">
      <c r="A86" s="359" t="s">
        <v>228</v>
      </c>
      <c r="B86" s="359" t="s">
        <v>229</v>
      </c>
      <c r="C86" s="366">
        <v>3823</v>
      </c>
      <c r="D86" s="366">
        <v>0</v>
      </c>
      <c r="E86" s="366">
        <v>59</v>
      </c>
      <c r="F86" s="366">
        <v>280</v>
      </c>
      <c r="G86" s="366">
        <v>241</v>
      </c>
      <c r="H86" s="363">
        <v>4403</v>
      </c>
      <c r="I86" s="363">
        <v>4162</v>
      </c>
      <c r="J86" s="366">
        <v>82</v>
      </c>
      <c r="K86" s="364">
        <v>93.13</v>
      </c>
      <c r="L86" s="364">
        <v>95.12</v>
      </c>
      <c r="M86" s="364">
        <v>2.99</v>
      </c>
      <c r="N86" s="364">
        <v>95.76</v>
      </c>
      <c r="O86" s="365">
        <v>3378</v>
      </c>
      <c r="P86" s="364">
        <v>87.78</v>
      </c>
      <c r="Q86" s="364">
        <v>85.17</v>
      </c>
      <c r="R86" s="364">
        <v>31.32</v>
      </c>
      <c r="S86" s="364">
        <v>118.9</v>
      </c>
      <c r="T86" s="365">
        <v>319</v>
      </c>
      <c r="U86" s="364">
        <v>112.19</v>
      </c>
      <c r="V86" s="365">
        <v>334</v>
      </c>
      <c r="W86" s="364">
        <v>194.81</v>
      </c>
      <c r="X86" s="365">
        <v>2</v>
      </c>
      <c r="Y86" s="366">
        <v>0</v>
      </c>
      <c r="Z86" s="366">
        <v>7</v>
      </c>
      <c r="AA86" s="366">
        <v>1</v>
      </c>
      <c r="AB86" s="366">
        <v>17</v>
      </c>
      <c r="AC86" s="366">
        <v>1</v>
      </c>
      <c r="AD86" s="366">
        <v>3686</v>
      </c>
      <c r="AE86" s="366">
        <v>14</v>
      </c>
      <c r="AF86" s="366">
        <v>9</v>
      </c>
      <c r="AG86" s="366">
        <v>23</v>
      </c>
    </row>
    <row r="87" spans="1:33" x14ac:dyDescent="0.2">
      <c r="A87" s="359" t="s">
        <v>230</v>
      </c>
      <c r="B87" s="359" t="s">
        <v>231</v>
      </c>
      <c r="C87" s="366">
        <v>2525</v>
      </c>
      <c r="D87" s="366">
        <v>3</v>
      </c>
      <c r="E87" s="366">
        <v>797</v>
      </c>
      <c r="F87" s="366">
        <v>924</v>
      </c>
      <c r="G87" s="366">
        <v>324</v>
      </c>
      <c r="H87" s="363">
        <v>4573</v>
      </c>
      <c r="I87" s="363">
        <v>4249</v>
      </c>
      <c r="J87" s="366">
        <v>2</v>
      </c>
      <c r="K87" s="364">
        <v>82.49</v>
      </c>
      <c r="L87" s="364">
        <v>80.02</v>
      </c>
      <c r="M87" s="364">
        <v>5.29</v>
      </c>
      <c r="N87" s="364">
        <v>85.53</v>
      </c>
      <c r="O87" s="365">
        <v>1695</v>
      </c>
      <c r="P87" s="364">
        <v>102.08</v>
      </c>
      <c r="Q87" s="364">
        <v>80.06</v>
      </c>
      <c r="R87" s="364">
        <v>40.18</v>
      </c>
      <c r="S87" s="364">
        <v>141.57</v>
      </c>
      <c r="T87" s="365">
        <v>1412</v>
      </c>
      <c r="U87" s="364">
        <v>96.8</v>
      </c>
      <c r="V87" s="365">
        <v>723</v>
      </c>
      <c r="W87" s="364">
        <v>162.13999999999999</v>
      </c>
      <c r="X87" s="365">
        <v>127</v>
      </c>
      <c r="Y87" s="366">
        <v>0</v>
      </c>
      <c r="Z87" s="366">
        <v>0</v>
      </c>
      <c r="AA87" s="366">
        <v>5</v>
      </c>
      <c r="AB87" s="366">
        <v>16</v>
      </c>
      <c r="AC87" s="366">
        <v>3</v>
      </c>
      <c r="AD87" s="366">
        <v>2454</v>
      </c>
      <c r="AE87" s="366">
        <v>22</v>
      </c>
      <c r="AF87" s="366">
        <v>19</v>
      </c>
      <c r="AG87" s="366">
        <v>41</v>
      </c>
    </row>
    <row r="88" spans="1:33" x14ac:dyDescent="0.2">
      <c r="A88" s="359" t="s">
        <v>232</v>
      </c>
      <c r="B88" s="359" t="s">
        <v>233</v>
      </c>
      <c r="C88" s="366">
        <v>16451</v>
      </c>
      <c r="D88" s="366">
        <v>26</v>
      </c>
      <c r="E88" s="366">
        <v>757</v>
      </c>
      <c r="F88" s="366">
        <v>3985</v>
      </c>
      <c r="G88" s="366">
        <v>1310</v>
      </c>
      <c r="H88" s="363">
        <v>22529</v>
      </c>
      <c r="I88" s="363">
        <v>21219</v>
      </c>
      <c r="J88" s="366">
        <v>315</v>
      </c>
      <c r="K88" s="364">
        <v>100.17</v>
      </c>
      <c r="L88" s="364">
        <v>99.91</v>
      </c>
      <c r="M88" s="364">
        <v>3.73</v>
      </c>
      <c r="N88" s="364">
        <v>102.63</v>
      </c>
      <c r="O88" s="365">
        <v>14375</v>
      </c>
      <c r="P88" s="364">
        <v>89.64</v>
      </c>
      <c r="Q88" s="364">
        <v>88.38</v>
      </c>
      <c r="R88" s="364">
        <v>21.67</v>
      </c>
      <c r="S88" s="364">
        <v>110.75</v>
      </c>
      <c r="T88" s="365">
        <v>4107</v>
      </c>
      <c r="U88" s="364">
        <v>139.16999999999999</v>
      </c>
      <c r="V88" s="365">
        <v>1762</v>
      </c>
      <c r="W88" s="364">
        <v>170.76</v>
      </c>
      <c r="X88" s="365">
        <v>87</v>
      </c>
      <c r="Y88" s="366">
        <v>65</v>
      </c>
      <c r="Z88" s="366">
        <v>11</v>
      </c>
      <c r="AA88" s="366">
        <v>50</v>
      </c>
      <c r="AB88" s="366">
        <v>70</v>
      </c>
      <c r="AC88" s="366">
        <v>23</v>
      </c>
      <c r="AD88" s="366">
        <v>16123</v>
      </c>
      <c r="AE88" s="366">
        <v>56</v>
      </c>
      <c r="AF88" s="366">
        <v>85</v>
      </c>
      <c r="AG88" s="366">
        <v>141</v>
      </c>
    </row>
    <row r="89" spans="1:33" x14ac:dyDescent="0.2">
      <c r="A89" s="359" t="s">
        <v>234</v>
      </c>
      <c r="B89" s="359" t="s">
        <v>235</v>
      </c>
      <c r="C89" s="366">
        <v>2101</v>
      </c>
      <c r="D89" s="366">
        <v>0</v>
      </c>
      <c r="E89" s="366">
        <v>135</v>
      </c>
      <c r="F89" s="366">
        <v>550</v>
      </c>
      <c r="G89" s="366">
        <v>266</v>
      </c>
      <c r="H89" s="363">
        <v>3052</v>
      </c>
      <c r="I89" s="363">
        <v>2786</v>
      </c>
      <c r="J89" s="366">
        <v>31</v>
      </c>
      <c r="K89" s="364">
        <v>91.44</v>
      </c>
      <c r="L89" s="364">
        <v>89.47</v>
      </c>
      <c r="M89" s="364">
        <v>6.89</v>
      </c>
      <c r="N89" s="364">
        <v>96.63</v>
      </c>
      <c r="O89" s="365">
        <v>1700</v>
      </c>
      <c r="P89" s="364">
        <v>107.38</v>
      </c>
      <c r="Q89" s="364">
        <v>89.42</v>
      </c>
      <c r="R89" s="364">
        <v>40.98</v>
      </c>
      <c r="S89" s="364">
        <v>145.32</v>
      </c>
      <c r="T89" s="365">
        <v>675</v>
      </c>
      <c r="U89" s="364">
        <v>126.73</v>
      </c>
      <c r="V89" s="365">
        <v>276</v>
      </c>
      <c r="W89" s="364">
        <v>0</v>
      </c>
      <c r="X89" s="365">
        <v>0</v>
      </c>
      <c r="Y89" s="366">
        <v>0</v>
      </c>
      <c r="Z89" s="366">
        <v>0</v>
      </c>
      <c r="AA89" s="366">
        <v>0</v>
      </c>
      <c r="AB89" s="366">
        <v>10</v>
      </c>
      <c r="AC89" s="366">
        <v>5</v>
      </c>
      <c r="AD89" s="366">
        <v>2013</v>
      </c>
      <c r="AE89" s="366">
        <v>34</v>
      </c>
      <c r="AF89" s="366">
        <v>20</v>
      </c>
      <c r="AG89" s="366">
        <v>54</v>
      </c>
    </row>
    <row r="90" spans="1:33" x14ac:dyDescent="0.2">
      <c r="A90" s="359" t="s">
        <v>236</v>
      </c>
      <c r="B90" s="359" t="s">
        <v>237</v>
      </c>
      <c r="C90" s="366">
        <v>3898</v>
      </c>
      <c r="D90" s="366">
        <v>0</v>
      </c>
      <c r="E90" s="366">
        <v>418</v>
      </c>
      <c r="F90" s="366">
        <v>790</v>
      </c>
      <c r="G90" s="366">
        <v>703</v>
      </c>
      <c r="H90" s="363">
        <v>5809</v>
      </c>
      <c r="I90" s="363">
        <v>5106</v>
      </c>
      <c r="J90" s="366">
        <v>1</v>
      </c>
      <c r="K90" s="364">
        <v>94.34</v>
      </c>
      <c r="L90" s="364">
        <v>91.68</v>
      </c>
      <c r="M90" s="364">
        <v>6.54</v>
      </c>
      <c r="N90" s="364">
        <v>99.81</v>
      </c>
      <c r="O90" s="365">
        <v>3222</v>
      </c>
      <c r="P90" s="364">
        <v>112.5</v>
      </c>
      <c r="Q90" s="364">
        <v>95.99</v>
      </c>
      <c r="R90" s="364">
        <v>59.87</v>
      </c>
      <c r="S90" s="364">
        <v>170.04</v>
      </c>
      <c r="T90" s="365">
        <v>952</v>
      </c>
      <c r="U90" s="364">
        <v>112.93</v>
      </c>
      <c r="V90" s="365">
        <v>589</v>
      </c>
      <c r="W90" s="364">
        <v>115.33</v>
      </c>
      <c r="X90" s="365">
        <v>8</v>
      </c>
      <c r="Y90" s="366">
        <v>0</v>
      </c>
      <c r="Z90" s="366">
        <v>3</v>
      </c>
      <c r="AA90" s="366">
        <v>6</v>
      </c>
      <c r="AB90" s="366">
        <v>27</v>
      </c>
      <c r="AC90" s="366">
        <v>14</v>
      </c>
      <c r="AD90" s="366">
        <v>3898</v>
      </c>
      <c r="AE90" s="366">
        <v>19</v>
      </c>
      <c r="AF90" s="366">
        <v>15</v>
      </c>
      <c r="AG90" s="366">
        <v>34</v>
      </c>
    </row>
    <row r="91" spans="1:33" x14ac:dyDescent="0.2">
      <c r="A91" s="359" t="s">
        <v>238</v>
      </c>
      <c r="B91" s="359" t="s">
        <v>239</v>
      </c>
      <c r="C91" s="366">
        <v>10675</v>
      </c>
      <c r="D91" s="366">
        <v>331</v>
      </c>
      <c r="E91" s="366">
        <v>973</v>
      </c>
      <c r="F91" s="366">
        <v>751</v>
      </c>
      <c r="G91" s="366">
        <v>3039</v>
      </c>
      <c r="H91" s="363">
        <v>15769</v>
      </c>
      <c r="I91" s="363">
        <v>12730</v>
      </c>
      <c r="J91" s="366">
        <v>87</v>
      </c>
      <c r="K91" s="364">
        <v>129.21</v>
      </c>
      <c r="L91" s="364">
        <v>129.88</v>
      </c>
      <c r="M91" s="364">
        <v>11.32</v>
      </c>
      <c r="N91" s="364">
        <v>137.46</v>
      </c>
      <c r="O91" s="365">
        <v>8209</v>
      </c>
      <c r="P91" s="364">
        <v>124.05</v>
      </c>
      <c r="Q91" s="364">
        <v>117.29</v>
      </c>
      <c r="R91" s="364">
        <v>52.82</v>
      </c>
      <c r="S91" s="364">
        <v>173.64</v>
      </c>
      <c r="T91" s="365">
        <v>1094</v>
      </c>
      <c r="U91" s="364">
        <v>202.91</v>
      </c>
      <c r="V91" s="365">
        <v>1605</v>
      </c>
      <c r="W91" s="364">
        <v>198.28</v>
      </c>
      <c r="X91" s="365">
        <v>44</v>
      </c>
      <c r="Y91" s="366">
        <v>16</v>
      </c>
      <c r="Z91" s="366">
        <v>4</v>
      </c>
      <c r="AA91" s="366">
        <v>8</v>
      </c>
      <c r="AB91" s="366">
        <v>192</v>
      </c>
      <c r="AC91" s="366">
        <v>50</v>
      </c>
      <c r="AD91" s="366">
        <v>10288</v>
      </c>
      <c r="AE91" s="366">
        <v>44</v>
      </c>
      <c r="AF91" s="366">
        <v>85</v>
      </c>
      <c r="AG91" s="366">
        <v>129</v>
      </c>
    </row>
    <row r="92" spans="1:33" x14ac:dyDescent="0.2">
      <c r="A92" s="359" t="s">
        <v>240</v>
      </c>
      <c r="B92" s="359" t="s">
        <v>241</v>
      </c>
      <c r="C92" s="366">
        <v>4186</v>
      </c>
      <c r="D92" s="366">
        <v>5</v>
      </c>
      <c r="E92" s="366">
        <v>118</v>
      </c>
      <c r="F92" s="366">
        <v>1022</v>
      </c>
      <c r="G92" s="366">
        <v>460</v>
      </c>
      <c r="H92" s="363">
        <v>5791</v>
      </c>
      <c r="I92" s="363">
        <v>5331</v>
      </c>
      <c r="J92" s="366">
        <v>0</v>
      </c>
      <c r="K92" s="364">
        <v>103.01</v>
      </c>
      <c r="L92" s="364">
        <v>103.28</v>
      </c>
      <c r="M92" s="364">
        <v>3.06</v>
      </c>
      <c r="N92" s="364">
        <v>104.19</v>
      </c>
      <c r="O92" s="365">
        <v>3661</v>
      </c>
      <c r="P92" s="364">
        <v>97.09</v>
      </c>
      <c r="Q92" s="364">
        <v>95.64</v>
      </c>
      <c r="R92" s="364">
        <v>27.69</v>
      </c>
      <c r="S92" s="364">
        <v>124.55</v>
      </c>
      <c r="T92" s="365">
        <v>1123</v>
      </c>
      <c r="U92" s="364">
        <v>133.28</v>
      </c>
      <c r="V92" s="365">
        <v>435</v>
      </c>
      <c r="W92" s="364">
        <v>0</v>
      </c>
      <c r="X92" s="365">
        <v>0</v>
      </c>
      <c r="Y92" s="366">
        <v>0</v>
      </c>
      <c r="Z92" s="366">
        <v>3</v>
      </c>
      <c r="AA92" s="366">
        <v>9</v>
      </c>
      <c r="AB92" s="366">
        <v>22</v>
      </c>
      <c r="AC92" s="366">
        <v>11</v>
      </c>
      <c r="AD92" s="366">
        <v>4178</v>
      </c>
      <c r="AE92" s="366">
        <v>9</v>
      </c>
      <c r="AF92" s="366">
        <v>55</v>
      </c>
      <c r="AG92" s="366">
        <v>64</v>
      </c>
    </row>
    <row r="93" spans="1:33" x14ac:dyDescent="0.2">
      <c r="A93" s="359" t="s">
        <v>242</v>
      </c>
      <c r="B93" s="359" t="s">
        <v>243</v>
      </c>
      <c r="C93" s="366">
        <v>2504</v>
      </c>
      <c r="D93" s="366">
        <v>1</v>
      </c>
      <c r="E93" s="366">
        <v>195</v>
      </c>
      <c r="F93" s="366">
        <v>145</v>
      </c>
      <c r="G93" s="366">
        <v>868</v>
      </c>
      <c r="H93" s="363">
        <v>3713</v>
      </c>
      <c r="I93" s="363">
        <v>2845</v>
      </c>
      <c r="J93" s="366">
        <v>0</v>
      </c>
      <c r="K93" s="364">
        <v>94.62</v>
      </c>
      <c r="L93" s="364">
        <v>91.84</v>
      </c>
      <c r="M93" s="364">
        <v>3.69</v>
      </c>
      <c r="N93" s="364">
        <v>97.2</v>
      </c>
      <c r="O93" s="365">
        <v>1552</v>
      </c>
      <c r="P93" s="364">
        <v>105.54</v>
      </c>
      <c r="Q93" s="364">
        <v>80.66</v>
      </c>
      <c r="R93" s="364">
        <v>54.57</v>
      </c>
      <c r="S93" s="364">
        <v>158.26</v>
      </c>
      <c r="T93" s="365">
        <v>237</v>
      </c>
      <c r="U93" s="364">
        <v>132.77000000000001</v>
      </c>
      <c r="V93" s="365">
        <v>735</v>
      </c>
      <c r="W93" s="364">
        <v>0</v>
      </c>
      <c r="X93" s="365">
        <v>0</v>
      </c>
      <c r="Y93" s="366">
        <v>0</v>
      </c>
      <c r="Z93" s="366">
        <v>0</v>
      </c>
      <c r="AA93" s="366">
        <v>17</v>
      </c>
      <c r="AB93" s="366">
        <v>77</v>
      </c>
      <c r="AC93" s="366">
        <v>12</v>
      </c>
      <c r="AD93" s="366">
        <v>2459</v>
      </c>
      <c r="AE93" s="366">
        <v>12</v>
      </c>
      <c r="AF93" s="366">
        <v>5</v>
      </c>
      <c r="AG93" s="366">
        <v>17</v>
      </c>
    </row>
    <row r="94" spans="1:33" x14ac:dyDescent="0.2">
      <c r="A94" s="359" t="s">
        <v>244</v>
      </c>
      <c r="B94" s="359" t="s">
        <v>245</v>
      </c>
      <c r="C94" s="366">
        <v>5807</v>
      </c>
      <c r="D94" s="366">
        <v>0</v>
      </c>
      <c r="E94" s="366">
        <v>123</v>
      </c>
      <c r="F94" s="366">
        <v>785</v>
      </c>
      <c r="G94" s="366">
        <v>697</v>
      </c>
      <c r="H94" s="363">
        <v>7412</v>
      </c>
      <c r="I94" s="363">
        <v>6715</v>
      </c>
      <c r="J94" s="366">
        <v>0</v>
      </c>
      <c r="K94" s="364">
        <v>116.51</v>
      </c>
      <c r="L94" s="364">
        <v>113.17</v>
      </c>
      <c r="M94" s="364">
        <v>4.4000000000000004</v>
      </c>
      <c r="N94" s="364">
        <v>118.05</v>
      </c>
      <c r="O94" s="365">
        <v>4246</v>
      </c>
      <c r="P94" s="364">
        <v>97.43</v>
      </c>
      <c r="Q94" s="364">
        <v>93.75</v>
      </c>
      <c r="R94" s="364">
        <v>15.69</v>
      </c>
      <c r="S94" s="364">
        <v>112.45</v>
      </c>
      <c r="T94" s="365">
        <v>889</v>
      </c>
      <c r="U94" s="364">
        <v>158.22</v>
      </c>
      <c r="V94" s="365">
        <v>1178</v>
      </c>
      <c r="W94" s="364">
        <v>0</v>
      </c>
      <c r="X94" s="365">
        <v>0</v>
      </c>
      <c r="Y94" s="366">
        <v>6</v>
      </c>
      <c r="Z94" s="366">
        <v>3</v>
      </c>
      <c r="AA94" s="366">
        <v>0</v>
      </c>
      <c r="AB94" s="366">
        <v>29</v>
      </c>
      <c r="AC94" s="366">
        <v>15</v>
      </c>
      <c r="AD94" s="366">
        <v>5534</v>
      </c>
      <c r="AE94" s="366">
        <v>31</v>
      </c>
      <c r="AF94" s="366">
        <v>1</v>
      </c>
      <c r="AG94" s="366">
        <v>32</v>
      </c>
    </row>
    <row r="95" spans="1:33" x14ac:dyDescent="0.2">
      <c r="A95" s="359" t="s">
        <v>246</v>
      </c>
      <c r="B95" s="359" t="s">
        <v>247</v>
      </c>
      <c r="C95" s="366">
        <v>7169</v>
      </c>
      <c r="D95" s="366">
        <v>0</v>
      </c>
      <c r="E95" s="366">
        <v>181</v>
      </c>
      <c r="F95" s="366">
        <v>1059</v>
      </c>
      <c r="G95" s="366">
        <v>953</v>
      </c>
      <c r="H95" s="363">
        <v>9362</v>
      </c>
      <c r="I95" s="363">
        <v>8409</v>
      </c>
      <c r="J95" s="366">
        <v>7</v>
      </c>
      <c r="K95" s="364">
        <v>117.27</v>
      </c>
      <c r="L95" s="364">
        <v>116.57</v>
      </c>
      <c r="M95" s="364">
        <v>6.15</v>
      </c>
      <c r="N95" s="364">
        <v>119.81</v>
      </c>
      <c r="O95" s="365">
        <v>5111</v>
      </c>
      <c r="P95" s="364">
        <v>106.18</v>
      </c>
      <c r="Q95" s="364">
        <v>98.05</v>
      </c>
      <c r="R95" s="364">
        <v>34.29</v>
      </c>
      <c r="S95" s="364">
        <v>139.41</v>
      </c>
      <c r="T95" s="365">
        <v>1198</v>
      </c>
      <c r="U95" s="364">
        <v>167.07</v>
      </c>
      <c r="V95" s="365">
        <v>1941</v>
      </c>
      <c r="W95" s="364">
        <v>0</v>
      </c>
      <c r="X95" s="365">
        <v>0</v>
      </c>
      <c r="Y95" s="366">
        <v>43</v>
      </c>
      <c r="Z95" s="366">
        <v>1</v>
      </c>
      <c r="AA95" s="366">
        <v>4</v>
      </c>
      <c r="AB95" s="366">
        <v>89</v>
      </c>
      <c r="AC95" s="366">
        <v>14</v>
      </c>
      <c r="AD95" s="366">
        <v>7147</v>
      </c>
      <c r="AE95" s="366">
        <v>82</v>
      </c>
      <c r="AF95" s="366">
        <v>16</v>
      </c>
      <c r="AG95" s="366">
        <v>98</v>
      </c>
    </row>
    <row r="96" spans="1:33" x14ac:dyDescent="0.2">
      <c r="A96" s="359" t="s">
        <v>248</v>
      </c>
      <c r="B96" s="359" t="s">
        <v>249</v>
      </c>
      <c r="C96" s="366">
        <v>6822</v>
      </c>
      <c r="D96" s="366">
        <v>8</v>
      </c>
      <c r="E96" s="366">
        <v>243</v>
      </c>
      <c r="F96" s="366">
        <v>577</v>
      </c>
      <c r="G96" s="366">
        <v>635</v>
      </c>
      <c r="H96" s="363">
        <v>8285</v>
      </c>
      <c r="I96" s="363">
        <v>7650</v>
      </c>
      <c r="J96" s="366">
        <v>1</v>
      </c>
      <c r="K96" s="364">
        <v>83.84</v>
      </c>
      <c r="L96" s="364">
        <v>83.29</v>
      </c>
      <c r="M96" s="364">
        <v>3.1</v>
      </c>
      <c r="N96" s="364">
        <v>86.36</v>
      </c>
      <c r="O96" s="365">
        <v>5158</v>
      </c>
      <c r="P96" s="364">
        <v>86.92</v>
      </c>
      <c r="Q96" s="364">
        <v>77.66</v>
      </c>
      <c r="R96" s="364">
        <v>46.33</v>
      </c>
      <c r="S96" s="364">
        <v>131.74</v>
      </c>
      <c r="T96" s="365">
        <v>772</v>
      </c>
      <c r="U96" s="364">
        <v>94.55</v>
      </c>
      <c r="V96" s="365">
        <v>1463</v>
      </c>
      <c r="W96" s="364">
        <v>151.79</v>
      </c>
      <c r="X96" s="365">
        <v>42</v>
      </c>
      <c r="Y96" s="366">
        <v>0</v>
      </c>
      <c r="Z96" s="366">
        <v>5</v>
      </c>
      <c r="AA96" s="366">
        <v>3</v>
      </c>
      <c r="AB96" s="366">
        <v>41</v>
      </c>
      <c r="AC96" s="366">
        <v>5</v>
      </c>
      <c r="AD96" s="366">
        <v>6666</v>
      </c>
      <c r="AE96" s="366">
        <v>47</v>
      </c>
      <c r="AF96" s="366">
        <v>41</v>
      </c>
      <c r="AG96" s="366">
        <v>88</v>
      </c>
    </row>
    <row r="97" spans="1:33" x14ac:dyDescent="0.2">
      <c r="A97" s="359" t="s">
        <v>250</v>
      </c>
      <c r="B97" s="359" t="s">
        <v>251</v>
      </c>
      <c r="C97" s="366">
        <v>2279</v>
      </c>
      <c r="D97" s="366">
        <v>0</v>
      </c>
      <c r="E97" s="366">
        <v>288</v>
      </c>
      <c r="F97" s="366">
        <v>618</v>
      </c>
      <c r="G97" s="366">
        <v>295</v>
      </c>
      <c r="H97" s="363">
        <v>3480</v>
      </c>
      <c r="I97" s="363">
        <v>3185</v>
      </c>
      <c r="J97" s="366">
        <v>0</v>
      </c>
      <c r="K97" s="364">
        <v>90.6</v>
      </c>
      <c r="L97" s="364">
        <v>87.72</v>
      </c>
      <c r="M97" s="364">
        <v>4.8499999999999996</v>
      </c>
      <c r="N97" s="364">
        <v>93.51</v>
      </c>
      <c r="O97" s="365">
        <v>1281</v>
      </c>
      <c r="P97" s="364">
        <v>93.93</v>
      </c>
      <c r="Q97" s="364">
        <v>82.74</v>
      </c>
      <c r="R97" s="364">
        <v>50.62</v>
      </c>
      <c r="S97" s="364">
        <v>142.77000000000001</v>
      </c>
      <c r="T97" s="365">
        <v>767</v>
      </c>
      <c r="U97" s="364">
        <v>104.37</v>
      </c>
      <c r="V97" s="365">
        <v>727</v>
      </c>
      <c r="W97" s="364">
        <v>116.49</v>
      </c>
      <c r="X97" s="365">
        <v>40</v>
      </c>
      <c r="Y97" s="366">
        <v>130</v>
      </c>
      <c r="Z97" s="366">
        <v>0</v>
      </c>
      <c r="AA97" s="366">
        <v>0</v>
      </c>
      <c r="AB97" s="366">
        <v>37</v>
      </c>
      <c r="AC97" s="366">
        <v>2</v>
      </c>
      <c r="AD97" s="366">
        <v>2070</v>
      </c>
      <c r="AE97" s="366">
        <v>26</v>
      </c>
      <c r="AF97" s="366">
        <v>8</v>
      </c>
      <c r="AG97" s="366">
        <v>34</v>
      </c>
    </row>
    <row r="98" spans="1:33" x14ac:dyDescent="0.2">
      <c r="A98" s="359" t="s">
        <v>252</v>
      </c>
      <c r="B98" s="359" t="s">
        <v>253</v>
      </c>
      <c r="C98" s="366">
        <v>6264</v>
      </c>
      <c r="D98" s="366">
        <v>0</v>
      </c>
      <c r="E98" s="366">
        <v>131</v>
      </c>
      <c r="F98" s="366">
        <v>441</v>
      </c>
      <c r="G98" s="366">
        <v>292</v>
      </c>
      <c r="H98" s="363">
        <v>7128</v>
      </c>
      <c r="I98" s="363">
        <v>6836</v>
      </c>
      <c r="J98" s="366">
        <v>2</v>
      </c>
      <c r="K98" s="364">
        <v>82.81</v>
      </c>
      <c r="L98" s="364">
        <v>79.92</v>
      </c>
      <c r="M98" s="364">
        <v>6.28</v>
      </c>
      <c r="N98" s="364">
        <v>85.37</v>
      </c>
      <c r="O98" s="365">
        <v>5027</v>
      </c>
      <c r="P98" s="364">
        <v>81.290000000000006</v>
      </c>
      <c r="Q98" s="364">
        <v>75.599999999999994</v>
      </c>
      <c r="R98" s="364">
        <v>55.25</v>
      </c>
      <c r="S98" s="364">
        <v>136.44999999999999</v>
      </c>
      <c r="T98" s="365">
        <v>553</v>
      </c>
      <c r="U98" s="364">
        <v>98.46</v>
      </c>
      <c r="V98" s="365">
        <v>1214</v>
      </c>
      <c r="W98" s="364">
        <v>0</v>
      </c>
      <c r="X98" s="365">
        <v>0</v>
      </c>
      <c r="Y98" s="366">
        <v>35</v>
      </c>
      <c r="Z98" s="366">
        <v>18</v>
      </c>
      <c r="AA98" s="366">
        <v>4</v>
      </c>
      <c r="AB98" s="366">
        <v>39</v>
      </c>
      <c r="AC98" s="366">
        <v>4</v>
      </c>
      <c r="AD98" s="366">
        <v>6264</v>
      </c>
      <c r="AE98" s="366">
        <v>65</v>
      </c>
      <c r="AF98" s="366">
        <v>12</v>
      </c>
      <c r="AG98" s="366">
        <v>77</v>
      </c>
    </row>
    <row r="99" spans="1:33" x14ac:dyDescent="0.2">
      <c r="A99" s="359" t="s">
        <v>254</v>
      </c>
      <c r="B99" s="359" t="s">
        <v>255</v>
      </c>
      <c r="C99" s="366">
        <v>8378</v>
      </c>
      <c r="D99" s="366">
        <v>0</v>
      </c>
      <c r="E99" s="366">
        <v>373</v>
      </c>
      <c r="F99" s="366">
        <v>1375</v>
      </c>
      <c r="G99" s="366">
        <v>274</v>
      </c>
      <c r="H99" s="363">
        <v>10400</v>
      </c>
      <c r="I99" s="363">
        <v>10126</v>
      </c>
      <c r="J99" s="366">
        <v>0</v>
      </c>
      <c r="K99" s="364">
        <v>92.88</v>
      </c>
      <c r="L99" s="364">
        <v>93.13</v>
      </c>
      <c r="M99" s="364">
        <v>3.38</v>
      </c>
      <c r="N99" s="364">
        <v>94.43</v>
      </c>
      <c r="O99" s="365">
        <v>7036</v>
      </c>
      <c r="P99" s="364">
        <v>83.29</v>
      </c>
      <c r="Q99" s="364">
        <v>80.349999999999994</v>
      </c>
      <c r="R99" s="364">
        <v>35.840000000000003</v>
      </c>
      <c r="S99" s="364">
        <v>118.29</v>
      </c>
      <c r="T99" s="365">
        <v>1589</v>
      </c>
      <c r="U99" s="364">
        <v>107.47</v>
      </c>
      <c r="V99" s="365">
        <v>1149</v>
      </c>
      <c r="W99" s="364">
        <v>153.38</v>
      </c>
      <c r="X99" s="365">
        <v>48</v>
      </c>
      <c r="Y99" s="366">
        <v>57</v>
      </c>
      <c r="Z99" s="366">
        <v>1</v>
      </c>
      <c r="AA99" s="366">
        <v>31</v>
      </c>
      <c r="AB99" s="366">
        <v>15</v>
      </c>
      <c r="AC99" s="366">
        <v>4</v>
      </c>
      <c r="AD99" s="366">
        <v>8349</v>
      </c>
      <c r="AE99" s="366">
        <v>29</v>
      </c>
      <c r="AF99" s="366">
        <v>39</v>
      </c>
      <c r="AG99" s="366">
        <v>68</v>
      </c>
    </row>
    <row r="100" spans="1:33" x14ac:dyDescent="0.2">
      <c r="A100" s="359" t="s">
        <v>256</v>
      </c>
      <c r="B100" s="359" t="s">
        <v>257</v>
      </c>
      <c r="C100" s="366">
        <v>1718</v>
      </c>
      <c r="D100" s="366">
        <v>0</v>
      </c>
      <c r="E100" s="366">
        <v>267</v>
      </c>
      <c r="F100" s="366">
        <v>658</v>
      </c>
      <c r="G100" s="366">
        <v>176</v>
      </c>
      <c r="H100" s="363">
        <v>2819</v>
      </c>
      <c r="I100" s="363">
        <v>2643</v>
      </c>
      <c r="J100" s="366">
        <v>0</v>
      </c>
      <c r="K100" s="364">
        <v>96.16</v>
      </c>
      <c r="L100" s="364">
        <v>92.42</v>
      </c>
      <c r="M100" s="364">
        <v>8.08</v>
      </c>
      <c r="N100" s="364">
        <v>102.96</v>
      </c>
      <c r="O100" s="365">
        <v>1473</v>
      </c>
      <c r="P100" s="364">
        <v>81.819999999999993</v>
      </c>
      <c r="Q100" s="364">
        <v>74.569999999999993</v>
      </c>
      <c r="R100" s="364">
        <v>42.01</v>
      </c>
      <c r="S100" s="364">
        <v>123.83</v>
      </c>
      <c r="T100" s="365">
        <v>684</v>
      </c>
      <c r="U100" s="364">
        <v>137.03</v>
      </c>
      <c r="V100" s="365">
        <v>220</v>
      </c>
      <c r="W100" s="364">
        <v>168.83</v>
      </c>
      <c r="X100" s="365">
        <v>66</v>
      </c>
      <c r="Y100" s="366">
        <v>0</v>
      </c>
      <c r="Z100" s="366">
        <v>0</v>
      </c>
      <c r="AA100" s="366">
        <v>0</v>
      </c>
      <c r="AB100" s="366">
        <v>0</v>
      </c>
      <c r="AC100" s="366">
        <v>6</v>
      </c>
      <c r="AD100" s="366">
        <v>1717</v>
      </c>
      <c r="AE100" s="366">
        <v>3</v>
      </c>
      <c r="AF100" s="366">
        <v>3</v>
      </c>
      <c r="AG100" s="366">
        <v>6</v>
      </c>
    </row>
    <row r="101" spans="1:33" x14ac:dyDescent="0.2">
      <c r="A101" s="359" t="s">
        <v>258</v>
      </c>
      <c r="B101" s="359" t="s">
        <v>259</v>
      </c>
      <c r="C101" s="366">
        <v>6629</v>
      </c>
      <c r="D101" s="366">
        <v>0</v>
      </c>
      <c r="E101" s="366">
        <v>171</v>
      </c>
      <c r="F101" s="366">
        <v>702</v>
      </c>
      <c r="G101" s="366">
        <v>1115</v>
      </c>
      <c r="H101" s="363">
        <v>8617</v>
      </c>
      <c r="I101" s="363">
        <v>7502</v>
      </c>
      <c r="J101" s="366">
        <v>0</v>
      </c>
      <c r="K101" s="364">
        <v>109.42</v>
      </c>
      <c r="L101" s="364">
        <v>104.6</v>
      </c>
      <c r="M101" s="364">
        <v>5.59</v>
      </c>
      <c r="N101" s="364">
        <v>112.33</v>
      </c>
      <c r="O101" s="365">
        <v>4801</v>
      </c>
      <c r="P101" s="364">
        <v>100.4</v>
      </c>
      <c r="Q101" s="364">
        <v>88.02</v>
      </c>
      <c r="R101" s="364">
        <v>34.61</v>
      </c>
      <c r="S101" s="364">
        <v>134.08000000000001</v>
      </c>
      <c r="T101" s="365">
        <v>745</v>
      </c>
      <c r="U101" s="364">
        <v>152.29</v>
      </c>
      <c r="V101" s="365">
        <v>1679</v>
      </c>
      <c r="W101" s="364">
        <v>179.13</v>
      </c>
      <c r="X101" s="365">
        <v>50</v>
      </c>
      <c r="Y101" s="366">
        <v>0</v>
      </c>
      <c r="Z101" s="366">
        <v>1</v>
      </c>
      <c r="AA101" s="366">
        <v>6</v>
      </c>
      <c r="AB101" s="366">
        <v>164</v>
      </c>
      <c r="AC101" s="366">
        <v>15</v>
      </c>
      <c r="AD101" s="366">
        <v>6627</v>
      </c>
      <c r="AE101" s="366">
        <v>26</v>
      </c>
      <c r="AF101" s="366">
        <v>22</v>
      </c>
      <c r="AG101" s="366">
        <v>48</v>
      </c>
    </row>
    <row r="102" spans="1:33" x14ac:dyDescent="0.2">
      <c r="A102" s="359" t="s">
        <v>260</v>
      </c>
      <c r="B102" s="359" t="s">
        <v>261</v>
      </c>
      <c r="C102" s="366">
        <v>2208</v>
      </c>
      <c r="D102" s="366">
        <v>9</v>
      </c>
      <c r="E102" s="366">
        <v>160</v>
      </c>
      <c r="F102" s="366">
        <v>185</v>
      </c>
      <c r="G102" s="366">
        <v>176</v>
      </c>
      <c r="H102" s="363">
        <v>2738</v>
      </c>
      <c r="I102" s="363">
        <v>2562</v>
      </c>
      <c r="J102" s="366">
        <v>17</v>
      </c>
      <c r="K102" s="364">
        <v>96.82</v>
      </c>
      <c r="L102" s="364">
        <v>98.15</v>
      </c>
      <c r="M102" s="364">
        <v>5.23</v>
      </c>
      <c r="N102" s="364">
        <v>98.86</v>
      </c>
      <c r="O102" s="365">
        <v>1941</v>
      </c>
      <c r="P102" s="364">
        <v>88.96</v>
      </c>
      <c r="Q102" s="364">
        <v>82.64</v>
      </c>
      <c r="R102" s="364">
        <v>42.83</v>
      </c>
      <c r="S102" s="364">
        <v>130.38</v>
      </c>
      <c r="T102" s="365">
        <v>335</v>
      </c>
      <c r="U102" s="364">
        <v>114.69</v>
      </c>
      <c r="V102" s="365">
        <v>240</v>
      </c>
      <c r="W102" s="364">
        <v>0</v>
      </c>
      <c r="X102" s="365">
        <v>0</v>
      </c>
      <c r="Y102" s="366">
        <v>0</v>
      </c>
      <c r="Z102" s="366">
        <v>3</v>
      </c>
      <c r="AA102" s="366">
        <v>1</v>
      </c>
      <c r="AB102" s="366">
        <v>0</v>
      </c>
      <c r="AC102" s="366">
        <v>1</v>
      </c>
      <c r="AD102" s="366">
        <v>2170</v>
      </c>
      <c r="AE102" s="366">
        <v>16</v>
      </c>
      <c r="AF102" s="366">
        <v>5</v>
      </c>
      <c r="AG102" s="366">
        <v>21</v>
      </c>
    </row>
    <row r="103" spans="1:33" x14ac:dyDescent="0.2">
      <c r="A103" s="359" t="s">
        <v>262</v>
      </c>
      <c r="B103" s="359" t="s">
        <v>263</v>
      </c>
      <c r="C103" s="366">
        <v>4585</v>
      </c>
      <c r="D103" s="366">
        <v>5</v>
      </c>
      <c r="E103" s="366">
        <v>127</v>
      </c>
      <c r="F103" s="366">
        <v>926</v>
      </c>
      <c r="G103" s="366">
        <v>542</v>
      </c>
      <c r="H103" s="363">
        <v>6185</v>
      </c>
      <c r="I103" s="363">
        <v>5643</v>
      </c>
      <c r="J103" s="366">
        <v>10</v>
      </c>
      <c r="K103" s="364">
        <v>128.47999999999999</v>
      </c>
      <c r="L103" s="364">
        <v>129.85</v>
      </c>
      <c r="M103" s="364">
        <v>8.9700000000000006</v>
      </c>
      <c r="N103" s="364">
        <v>132.9</v>
      </c>
      <c r="O103" s="365">
        <v>3711</v>
      </c>
      <c r="P103" s="364">
        <v>120.65</v>
      </c>
      <c r="Q103" s="364">
        <v>108.75</v>
      </c>
      <c r="R103" s="364">
        <v>22.79</v>
      </c>
      <c r="S103" s="364">
        <v>143.18</v>
      </c>
      <c r="T103" s="365">
        <v>784</v>
      </c>
      <c r="U103" s="364">
        <v>203.45</v>
      </c>
      <c r="V103" s="365">
        <v>649</v>
      </c>
      <c r="W103" s="364">
        <v>161.86000000000001</v>
      </c>
      <c r="X103" s="365">
        <v>8</v>
      </c>
      <c r="Y103" s="366">
        <v>0</v>
      </c>
      <c r="Z103" s="366">
        <v>3</v>
      </c>
      <c r="AA103" s="366">
        <v>2</v>
      </c>
      <c r="AB103" s="366">
        <v>55</v>
      </c>
      <c r="AC103" s="366">
        <v>13</v>
      </c>
      <c r="AD103" s="366">
        <v>4453</v>
      </c>
      <c r="AE103" s="366">
        <v>8</v>
      </c>
      <c r="AF103" s="366">
        <v>33</v>
      </c>
      <c r="AG103" s="366">
        <v>41</v>
      </c>
    </row>
    <row r="104" spans="1:33" x14ac:dyDescent="0.2">
      <c r="A104" s="359" t="s">
        <v>264</v>
      </c>
      <c r="B104" s="359" t="s">
        <v>265</v>
      </c>
      <c r="C104" s="366">
        <v>6984</v>
      </c>
      <c r="D104" s="366">
        <v>334</v>
      </c>
      <c r="E104" s="366">
        <v>644</v>
      </c>
      <c r="F104" s="366">
        <v>699</v>
      </c>
      <c r="G104" s="366">
        <v>1323</v>
      </c>
      <c r="H104" s="363">
        <v>9984</v>
      </c>
      <c r="I104" s="363">
        <v>8661</v>
      </c>
      <c r="J104" s="366">
        <v>5</v>
      </c>
      <c r="K104" s="364">
        <v>123.27</v>
      </c>
      <c r="L104" s="364">
        <v>122.72</v>
      </c>
      <c r="M104" s="364">
        <v>14.87</v>
      </c>
      <c r="N104" s="364">
        <v>133.82</v>
      </c>
      <c r="O104" s="365">
        <v>5798</v>
      </c>
      <c r="P104" s="364">
        <v>115.65</v>
      </c>
      <c r="Q104" s="364">
        <v>107.41</v>
      </c>
      <c r="R104" s="364">
        <v>71.239999999999995</v>
      </c>
      <c r="S104" s="364">
        <v>185.65</v>
      </c>
      <c r="T104" s="365">
        <v>1157</v>
      </c>
      <c r="U104" s="364">
        <v>197.03</v>
      </c>
      <c r="V104" s="365">
        <v>745</v>
      </c>
      <c r="W104" s="364">
        <v>192.7</v>
      </c>
      <c r="X104" s="365">
        <v>18</v>
      </c>
      <c r="Y104" s="366">
        <v>1</v>
      </c>
      <c r="Z104" s="366">
        <v>5</v>
      </c>
      <c r="AA104" s="366">
        <v>16</v>
      </c>
      <c r="AB104" s="366">
        <v>67</v>
      </c>
      <c r="AC104" s="366">
        <v>44</v>
      </c>
      <c r="AD104" s="366">
        <v>6599</v>
      </c>
      <c r="AE104" s="366">
        <v>126</v>
      </c>
      <c r="AF104" s="366">
        <v>6</v>
      </c>
      <c r="AG104" s="366">
        <v>132</v>
      </c>
    </row>
    <row r="105" spans="1:33" x14ac:dyDescent="0.2">
      <c r="A105" s="359" t="s">
        <v>266</v>
      </c>
      <c r="B105" s="359" t="s">
        <v>267</v>
      </c>
      <c r="C105" s="366">
        <v>1455</v>
      </c>
      <c r="D105" s="366">
        <v>0</v>
      </c>
      <c r="E105" s="366">
        <v>158</v>
      </c>
      <c r="F105" s="366">
        <v>228</v>
      </c>
      <c r="G105" s="366">
        <v>387</v>
      </c>
      <c r="H105" s="363">
        <v>2228</v>
      </c>
      <c r="I105" s="363">
        <v>1841</v>
      </c>
      <c r="J105" s="366">
        <v>1</v>
      </c>
      <c r="K105" s="364">
        <v>121.56</v>
      </c>
      <c r="L105" s="364">
        <v>118.6</v>
      </c>
      <c r="M105" s="364">
        <v>6.27</v>
      </c>
      <c r="N105" s="364">
        <v>127.06</v>
      </c>
      <c r="O105" s="365">
        <v>1225</v>
      </c>
      <c r="P105" s="364">
        <v>97.37</v>
      </c>
      <c r="Q105" s="364">
        <v>88.31</v>
      </c>
      <c r="R105" s="364">
        <v>59.98</v>
      </c>
      <c r="S105" s="364">
        <v>156.93</v>
      </c>
      <c r="T105" s="365">
        <v>285</v>
      </c>
      <c r="U105" s="364">
        <v>186.3</v>
      </c>
      <c r="V105" s="365">
        <v>214</v>
      </c>
      <c r="W105" s="364">
        <v>0</v>
      </c>
      <c r="X105" s="365">
        <v>0</v>
      </c>
      <c r="Y105" s="366">
        <v>0</v>
      </c>
      <c r="Z105" s="366">
        <v>1</v>
      </c>
      <c r="AA105" s="366">
        <v>1</v>
      </c>
      <c r="AB105" s="366">
        <v>33</v>
      </c>
      <c r="AC105" s="366">
        <v>11</v>
      </c>
      <c r="AD105" s="366">
        <v>1455</v>
      </c>
      <c r="AE105" s="366">
        <v>12</v>
      </c>
      <c r="AF105" s="366">
        <v>5</v>
      </c>
      <c r="AG105" s="366">
        <v>17</v>
      </c>
    </row>
    <row r="106" spans="1:33" x14ac:dyDescent="0.2">
      <c r="A106" s="359" t="s">
        <v>268</v>
      </c>
      <c r="B106" s="359" t="s">
        <v>269</v>
      </c>
      <c r="C106" s="366">
        <v>2225</v>
      </c>
      <c r="D106" s="366">
        <v>0</v>
      </c>
      <c r="E106" s="366">
        <v>151</v>
      </c>
      <c r="F106" s="366">
        <v>406</v>
      </c>
      <c r="G106" s="366">
        <v>360</v>
      </c>
      <c r="H106" s="363">
        <v>3142</v>
      </c>
      <c r="I106" s="363">
        <v>2782</v>
      </c>
      <c r="J106" s="366">
        <v>0</v>
      </c>
      <c r="K106" s="364">
        <v>123.46</v>
      </c>
      <c r="L106" s="364">
        <v>116.41</v>
      </c>
      <c r="M106" s="364">
        <v>10.39</v>
      </c>
      <c r="N106" s="364">
        <v>129.16</v>
      </c>
      <c r="O106" s="365">
        <v>1947</v>
      </c>
      <c r="P106" s="364">
        <v>108.23</v>
      </c>
      <c r="Q106" s="364">
        <v>101.15</v>
      </c>
      <c r="R106" s="364">
        <v>26.65</v>
      </c>
      <c r="S106" s="364">
        <v>133.74</v>
      </c>
      <c r="T106" s="365">
        <v>326</v>
      </c>
      <c r="U106" s="364">
        <v>201.17</v>
      </c>
      <c r="V106" s="365">
        <v>258</v>
      </c>
      <c r="W106" s="364">
        <v>243.89</v>
      </c>
      <c r="X106" s="365">
        <v>49</v>
      </c>
      <c r="Y106" s="366">
        <v>0</v>
      </c>
      <c r="Z106" s="366">
        <v>0</v>
      </c>
      <c r="AA106" s="366">
        <v>3</v>
      </c>
      <c r="AB106" s="366">
        <v>5</v>
      </c>
      <c r="AC106" s="366">
        <v>11</v>
      </c>
      <c r="AD106" s="366">
        <v>2225</v>
      </c>
      <c r="AE106" s="366">
        <v>4</v>
      </c>
      <c r="AF106" s="366">
        <v>6</v>
      </c>
      <c r="AG106" s="366">
        <v>10</v>
      </c>
    </row>
    <row r="107" spans="1:33" x14ac:dyDescent="0.2">
      <c r="A107" s="359" t="s">
        <v>270</v>
      </c>
      <c r="B107" s="359" t="s">
        <v>271</v>
      </c>
      <c r="C107" s="366">
        <v>4658</v>
      </c>
      <c r="D107" s="366">
        <v>0</v>
      </c>
      <c r="E107" s="366">
        <v>100</v>
      </c>
      <c r="F107" s="366">
        <v>1886</v>
      </c>
      <c r="G107" s="366">
        <v>201</v>
      </c>
      <c r="H107" s="363">
        <v>6845</v>
      </c>
      <c r="I107" s="363">
        <v>6644</v>
      </c>
      <c r="J107" s="366">
        <v>2</v>
      </c>
      <c r="K107" s="364">
        <v>89.67</v>
      </c>
      <c r="L107" s="364">
        <v>91.59</v>
      </c>
      <c r="M107" s="364">
        <v>3.52</v>
      </c>
      <c r="N107" s="364">
        <v>92.43</v>
      </c>
      <c r="O107" s="365">
        <v>4159</v>
      </c>
      <c r="P107" s="364">
        <v>81.400000000000006</v>
      </c>
      <c r="Q107" s="364">
        <v>80.69</v>
      </c>
      <c r="R107" s="364">
        <v>9.6999999999999993</v>
      </c>
      <c r="S107" s="364">
        <v>90.83</v>
      </c>
      <c r="T107" s="365">
        <v>1913</v>
      </c>
      <c r="U107" s="364">
        <v>103.77</v>
      </c>
      <c r="V107" s="365">
        <v>448</v>
      </c>
      <c r="W107" s="364">
        <v>93.78</v>
      </c>
      <c r="X107" s="365">
        <v>36</v>
      </c>
      <c r="Y107" s="366">
        <v>27</v>
      </c>
      <c r="Z107" s="366">
        <v>3</v>
      </c>
      <c r="AA107" s="366">
        <v>6</v>
      </c>
      <c r="AB107" s="366">
        <v>14</v>
      </c>
      <c r="AC107" s="366">
        <v>15</v>
      </c>
      <c r="AD107" s="366">
        <v>4657</v>
      </c>
      <c r="AE107" s="366">
        <v>25</v>
      </c>
      <c r="AF107" s="366">
        <v>28</v>
      </c>
      <c r="AG107" s="366">
        <v>53</v>
      </c>
    </row>
    <row r="108" spans="1:33" x14ac:dyDescent="0.2">
      <c r="A108" s="359" t="s">
        <v>272</v>
      </c>
      <c r="B108" s="359" t="s">
        <v>273</v>
      </c>
      <c r="C108" s="366">
        <v>3636</v>
      </c>
      <c r="D108" s="366">
        <v>4</v>
      </c>
      <c r="E108" s="366">
        <v>544</v>
      </c>
      <c r="F108" s="366">
        <v>394</v>
      </c>
      <c r="G108" s="366">
        <v>484</v>
      </c>
      <c r="H108" s="363">
        <v>5062</v>
      </c>
      <c r="I108" s="363">
        <v>4578</v>
      </c>
      <c r="J108" s="366">
        <v>0</v>
      </c>
      <c r="K108" s="364">
        <v>89.34</v>
      </c>
      <c r="L108" s="364">
        <v>87.48</v>
      </c>
      <c r="M108" s="364">
        <v>7.08</v>
      </c>
      <c r="N108" s="364">
        <v>94.73</v>
      </c>
      <c r="O108" s="365">
        <v>3394</v>
      </c>
      <c r="P108" s="364">
        <v>94.58</v>
      </c>
      <c r="Q108" s="364">
        <v>68.62</v>
      </c>
      <c r="R108" s="364">
        <v>94.89</v>
      </c>
      <c r="S108" s="364">
        <v>185.22</v>
      </c>
      <c r="T108" s="365">
        <v>469</v>
      </c>
      <c r="U108" s="364">
        <v>127.17</v>
      </c>
      <c r="V108" s="365">
        <v>217</v>
      </c>
      <c r="W108" s="364">
        <v>130.4</v>
      </c>
      <c r="X108" s="365">
        <v>61</v>
      </c>
      <c r="Y108" s="366">
        <v>0</v>
      </c>
      <c r="Z108" s="366">
        <v>0</v>
      </c>
      <c r="AA108" s="366">
        <v>3</v>
      </c>
      <c r="AB108" s="366">
        <v>20</v>
      </c>
      <c r="AC108" s="366">
        <v>6</v>
      </c>
      <c r="AD108" s="366">
        <v>3614</v>
      </c>
      <c r="AE108" s="366">
        <v>36</v>
      </c>
      <c r="AF108" s="366">
        <v>38</v>
      </c>
      <c r="AG108" s="366">
        <v>74</v>
      </c>
    </row>
    <row r="109" spans="1:33" x14ac:dyDescent="0.2">
      <c r="A109" s="359" t="s">
        <v>274</v>
      </c>
      <c r="B109" s="359" t="s">
        <v>275</v>
      </c>
      <c r="C109" s="366">
        <v>1543</v>
      </c>
      <c r="D109" s="366">
        <v>0</v>
      </c>
      <c r="E109" s="366">
        <v>180</v>
      </c>
      <c r="F109" s="366">
        <v>167</v>
      </c>
      <c r="G109" s="366">
        <v>249</v>
      </c>
      <c r="H109" s="363">
        <v>2139</v>
      </c>
      <c r="I109" s="363">
        <v>1890</v>
      </c>
      <c r="J109" s="366">
        <v>3</v>
      </c>
      <c r="K109" s="364">
        <v>107.58</v>
      </c>
      <c r="L109" s="364">
        <v>103.94</v>
      </c>
      <c r="M109" s="364">
        <v>8.2899999999999991</v>
      </c>
      <c r="N109" s="364">
        <v>113.65</v>
      </c>
      <c r="O109" s="365">
        <v>1059</v>
      </c>
      <c r="P109" s="364">
        <v>103.03</v>
      </c>
      <c r="Q109" s="364">
        <v>87.11</v>
      </c>
      <c r="R109" s="364">
        <v>49.9</v>
      </c>
      <c r="S109" s="364">
        <v>152.05000000000001</v>
      </c>
      <c r="T109" s="365">
        <v>229</v>
      </c>
      <c r="U109" s="364">
        <v>149.13999999999999</v>
      </c>
      <c r="V109" s="365">
        <v>366</v>
      </c>
      <c r="W109" s="364">
        <v>0</v>
      </c>
      <c r="X109" s="365">
        <v>0</v>
      </c>
      <c r="Y109" s="366">
        <v>20</v>
      </c>
      <c r="Z109" s="366">
        <v>0</v>
      </c>
      <c r="AA109" s="366">
        <v>0</v>
      </c>
      <c r="AB109" s="366">
        <v>12</v>
      </c>
      <c r="AC109" s="366">
        <v>7</v>
      </c>
      <c r="AD109" s="366">
        <v>1515</v>
      </c>
      <c r="AE109" s="366">
        <v>15</v>
      </c>
      <c r="AF109" s="366">
        <v>6</v>
      </c>
      <c r="AG109" s="366">
        <v>21</v>
      </c>
    </row>
    <row r="110" spans="1:33" x14ac:dyDescent="0.2">
      <c r="A110" s="359" t="s">
        <v>276</v>
      </c>
      <c r="B110" s="359" t="s">
        <v>277</v>
      </c>
      <c r="C110" s="366">
        <v>4793</v>
      </c>
      <c r="D110" s="366">
        <v>0</v>
      </c>
      <c r="E110" s="366">
        <v>229</v>
      </c>
      <c r="F110" s="366">
        <v>756</v>
      </c>
      <c r="G110" s="366">
        <v>166</v>
      </c>
      <c r="H110" s="363">
        <v>5944</v>
      </c>
      <c r="I110" s="363">
        <v>5778</v>
      </c>
      <c r="J110" s="366">
        <v>12</v>
      </c>
      <c r="K110" s="364">
        <v>90.39</v>
      </c>
      <c r="L110" s="364">
        <v>87.36</v>
      </c>
      <c r="M110" s="364">
        <v>5.29</v>
      </c>
      <c r="N110" s="364">
        <v>92.8</v>
      </c>
      <c r="O110" s="365">
        <v>4378</v>
      </c>
      <c r="P110" s="364">
        <v>97.27</v>
      </c>
      <c r="Q110" s="364">
        <v>82.52</v>
      </c>
      <c r="R110" s="364">
        <v>50.29</v>
      </c>
      <c r="S110" s="364">
        <v>146.82</v>
      </c>
      <c r="T110" s="365">
        <v>883</v>
      </c>
      <c r="U110" s="364">
        <v>111.09</v>
      </c>
      <c r="V110" s="365">
        <v>386</v>
      </c>
      <c r="W110" s="364">
        <v>231.31</v>
      </c>
      <c r="X110" s="365">
        <v>60</v>
      </c>
      <c r="Y110" s="366">
        <v>4</v>
      </c>
      <c r="Z110" s="366">
        <v>8</v>
      </c>
      <c r="AA110" s="366">
        <v>0</v>
      </c>
      <c r="AB110" s="366">
        <v>6</v>
      </c>
      <c r="AC110" s="366">
        <v>1</v>
      </c>
      <c r="AD110" s="366">
        <v>4793</v>
      </c>
      <c r="AE110" s="366">
        <v>19</v>
      </c>
      <c r="AF110" s="366">
        <v>27</v>
      </c>
      <c r="AG110" s="366">
        <v>46</v>
      </c>
    </row>
    <row r="111" spans="1:33" x14ac:dyDescent="0.2">
      <c r="A111" s="359" t="s">
        <v>278</v>
      </c>
      <c r="B111" s="359" t="s">
        <v>279</v>
      </c>
      <c r="C111" s="366">
        <v>1576</v>
      </c>
      <c r="D111" s="366">
        <v>0</v>
      </c>
      <c r="E111" s="366">
        <v>147</v>
      </c>
      <c r="F111" s="366">
        <v>264</v>
      </c>
      <c r="G111" s="366">
        <v>289</v>
      </c>
      <c r="H111" s="363">
        <v>2276</v>
      </c>
      <c r="I111" s="363">
        <v>1987</v>
      </c>
      <c r="J111" s="366">
        <v>28</v>
      </c>
      <c r="K111" s="364">
        <v>95.79</v>
      </c>
      <c r="L111" s="364">
        <v>93.77</v>
      </c>
      <c r="M111" s="364">
        <v>7.68</v>
      </c>
      <c r="N111" s="364">
        <v>101.6</v>
      </c>
      <c r="O111" s="365">
        <v>1192</v>
      </c>
      <c r="P111" s="364">
        <v>98.81</v>
      </c>
      <c r="Q111" s="364">
        <v>81.44</v>
      </c>
      <c r="R111" s="364">
        <v>51.36</v>
      </c>
      <c r="S111" s="364">
        <v>148.63</v>
      </c>
      <c r="T111" s="365">
        <v>367</v>
      </c>
      <c r="U111" s="364">
        <v>139.47</v>
      </c>
      <c r="V111" s="365">
        <v>200</v>
      </c>
      <c r="W111" s="364">
        <v>75.3</v>
      </c>
      <c r="X111" s="365">
        <v>7</v>
      </c>
      <c r="Y111" s="366">
        <v>5</v>
      </c>
      <c r="Z111" s="366">
        <v>0</v>
      </c>
      <c r="AA111" s="366">
        <v>1</v>
      </c>
      <c r="AB111" s="366">
        <v>17</v>
      </c>
      <c r="AC111" s="366">
        <v>2</v>
      </c>
      <c r="AD111" s="366">
        <v>1415</v>
      </c>
      <c r="AE111" s="366">
        <v>8</v>
      </c>
      <c r="AF111" s="366">
        <v>7</v>
      </c>
      <c r="AG111" s="366">
        <v>15</v>
      </c>
    </row>
    <row r="112" spans="1:33" x14ac:dyDescent="0.2">
      <c r="A112" s="359" t="s">
        <v>280</v>
      </c>
      <c r="B112" s="359" t="s">
        <v>281</v>
      </c>
      <c r="C112" s="366">
        <v>4215</v>
      </c>
      <c r="D112" s="366">
        <v>0</v>
      </c>
      <c r="E112" s="366">
        <v>78</v>
      </c>
      <c r="F112" s="366">
        <v>785</v>
      </c>
      <c r="G112" s="366">
        <v>250</v>
      </c>
      <c r="H112" s="363">
        <v>5328</v>
      </c>
      <c r="I112" s="363">
        <v>5078</v>
      </c>
      <c r="J112" s="366">
        <v>2</v>
      </c>
      <c r="K112" s="364">
        <v>94.75</v>
      </c>
      <c r="L112" s="364">
        <v>91.66</v>
      </c>
      <c r="M112" s="364">
        <v>1.94</v>
      </c>
      <c r="N112" s="364">
        <v>96.44</v>
      </c>
      <c r="O112" s="365">
        <v>3287</v>
      </c>
      <c r="P112" s="364">
        <v>89.62</v>
      </c>
      <c r="Q112" s="364">
        <v>82.56</v>
      </c>
      <c r="R112" s="364">
        <v>24.29</v>
      </c>
      <c r="S112" s="364">
        <v>113.49</v>
      </c>
      <c r="T112" s="365">
        <v>748</v>
      </c>
      <c r="U112" s="364">
        <v>112</v>
      </c>
      <c r="V112" s="365">
        <v>501</v>
      </c>
      <c r="W112" s="364">
        <v>211.47</v>
      </c>
      <c r="X112" s="365">
        <v>79</v>
      </c>
      <c r="Y112" s="366">
        <v>10</v>
      </c>
      <c r="Z112" s="366">
        <v>6</v>
      </c>
      <c r="AA112" s="366">
        <v>2</v>
      </c>
      <c r="AB112" s="366">
        <v>19</v>
      </c>
      <c r="AC112" s="366">
        <v>3</v>
      </c>
      <c r="AD112" s="366">
        <v>3781</v>
      </c>
      <c r="AE112" s="366">
        <v>5</v>
      </c>
      <c r="AF112" s="366">
        <v>18</v>
      </c>
      <c r="AG112" s="366">
        <v>23</v>
      </c>
    </row>
    <row r="113" spans="1:33" x14ac:dyDescent="0.2">
      <c r="A113" s="359" t="s">
        <v>282</v>
      </c>
      <c r="B113" s="359" t="s">
        <v>283</v>
      </c>
      <c r="C113" s="366">
        <v>2429</v>
      </c>
      <c r="D113" s="366">
        <v>0</v>
      </c>
      <c r="E113" s="366">
        <v>148</v>
      </c>
      <c r="F113" s="366">
        <v>512</v>
      </c>
      <c r="G113" s="366">
        <v>219</v>
      </c>
      <c r="H113" s="363">
        <v>3308</v>
      </c>
      <c r="I113" s="363">
        <v>3089</v>
      </c>
      <c r="J113" s="366">
        <v>0</v>
      </c>
      <c r="K113" s="364">
        <v>87.78</v>
      </c>
      <c r="L113" s="364">
        <v>87.83</v>
      </c>
      <c r="M113" s="364">
        <v>3.45</v>
      </c>
      <c r="N113" s="364">
        <v>90.96</v>
      </c>
      <c r="O113" s="365">
        <v>1826</v>
      </c>
      <c r="P113" s="364">
        <v>93.23</v>
      </c>
      <c r="Q113" s="364">
        <v>79.78</v>
      </c>
      <c r="R113" s="364">
        <v>25.43</v>
      </c>
      <c r="S113" s="364">
        <v>118.58</v>
      </c>
      <c r="T113" s="365">
        <v>605</v>
      </c>
      <c r="U113" s="364">
        <v>112.43</v>
      </c>
      <c r="V113" s="365">
        <v>589</v>
      </c>
      <c r="W113" s="364">
        <v>0</v>
      </c>
      <c r="X113" s="365">
        <v>0</v>
      </c>
      <c r="Y113" s="366">
        <v>42</v>
      </c>
      <c r="Z113" s="366">
        <v>4</v>
      </c>
      <c r="AA113" s="366">
        <v>0</v>
      </c>
      <c r="AB113" s="366">
        <v>50</v>
      </c>
      <c r="AC113" s="366">
        <v>4</v>
      </c>
      <c r="AD113" s="366">
        <v>2421</v>
      </c>
      <c r="AE113" s="366">
        <v>35</v>
      </c>
      <c r="AF113" s="366">
        <v>2</v>
      </c>
      <c r="AG113" s="366">
        <v>37</v>
      </c>
    </row>
    <row r="114" spans="1:33" x14ac:dyDescent="0.2">
      <c r="A114" s="359" t="s">
        <v>284</v>
      </c>
      <c r="B114" s="359" t="s">
        <v>285</v>
      </c>
      <c r="C114" s="366">
        <v>4022</v>
      </c>
      <c r="D114" s="366">
        <v>0</v>
      </c>
      <c r="E114" s="366">
        <v>360</v>
      </c>
      <c r="F114" s="366">
        <v>1036</v>
      </c>
      <c r="G114" s="366">
        <v>208</v>
      </c>
      <c r="H114" s="363">
        <v>5626</v>
      </c>
      <c r="I114" s="363">
        <v>5418</v>
      </c>
      <c r="J114" s="366">
        <v>0</v>
      </c>
      <c r="K114" s="364">
        <v>79.78</v>
      </c>
      <c r="L114" s="364">
        <v>76.53</v>
      </c>
      <c r="M114" s="364">
        <v>7.26</v>
      </c>
      <c r="N114" s="364">
        <v>84.16</v>
      </c>
      <c r="O114" s="365">
        <v>2883</v>
      </c>
      <c r="P114" s="364">
        <v>93.35</v>
      </c>
      <c r="Q114" s="364">
        <v>76.790000000000006</v>
      </c>
      <c r="R114" s="364">
        <v>57.79</v>
      </c>
      <c r="S114" s="364">
        <v>149.65</v>
      </c>
      <c r="T114" s="365">
        <v>1163</v>
      </c>
      <c r="U114" s="364">
        <v>98.91</v>
      </c>
      <c r="V114" s="365">
        <v>1098</v>
      </c>
      <c r="W114" s="364">
        <v>151.24</v>
      </c>
      <c r="X114" s="365">
        <v>211</v>
      </c>
      <c r="Y114" s="366">
        <v>0</v>
      </c>
      <c r="Z114" s="366">
        <v>3</v>
      </c>
      <c r="AA114" s="366">
        <v>2</v>
      </c>
      <c r="AB114" s="366">
        <v>20</v>
      </c>
      <c r="AC114" s="366">
        <v>4</v>
      </c>
      <c r="AD114" s="366">
        <v>3718</v>
      </c>
      <c r="AE114" s="366">
        <v>31</v>
      </c>
      <c r="AF114" s="366">
        <v>79</v>
      </c>
      <c r="AG114" s="366">
        <v>110</v>
      </c>
    </row>
    <row r="115" spans="1:33" x14ac:dyDescent="0.2">
      <c r="A115" s="359" t="s">
        <v>286</v>
      </c>
      <c r="B115" s="359" t="s">
        <v>287</v>
      </c>
      <c r="C115" s="366">
        <v>3750</v>
      </c>
      <c r="D115" s="366">
        <v>0</v>
      </c>
      <c r="E115" s="366">
        <v>198</v>
      </c>
      <c r="F115" s="366">
        <v>1157</v>
      </c>
      <c r="G115" s="366">
        <v>205</v>
      </c>
      <c r="H115" s="363">
        <v>5310</v>
      </c>
      <c r="I115" s="363">
        <v>5105</v>
      </c>
      <c r="J115" s="366">
        <v>5</v>
      </c>
      <c r="K115" s="364">
        <v>83.69</v>
      </c>
      <c r="L115" s="364">
        <v>82.19</v>
      </c>
      <c r="M115" s="364">
        <v>4.99</v>
      </c>
      <c r="N115" s="364">
        <v>85.6</v>
      </c>
      <c r="O115" s="365">
        <v>3470</v>
      </c>
      <c r="P115" s="364">
        <v>87.04</v>
      </c>
      <c r="Q115" s="364">
        <v>73.989999999999995</v>
      </c>
      <c r="R115" s="364">
        <v>32.090000000000003</v>
      </c>
      <c r="S115" s="364">
        <v>118.86</v>
      </c>
      <c r="T115" s="365">
        <v>1327</v>
      </c>
      <c r="U115" s="364">
        <v>109.54</v>
      </c>
      <c r="V115" s="365">
        <v>257</v>
      </c>
      <c r="W115" s="364">
        <v>174.5</v>
      </c>
      <c r="X115" s="365">
        <v>17</v>
      </c>
      <c r="Y115" s="366">
        <v>0</v>
      </c>
      <c r="Z115" s="366">
        <v>19</v>
      </c>
      <c r="AA115" s="366">
        <v>1</v>
      </c>
      <c r="AB115" s="366">
        <v>2</v>
      </c>
      <c r="AC115" s="366">
        <v>9</v>
      </c>
      <c r="AD115" s="366">
        <v>3750</v>
      </c>
      <c r="AE115" s="366">
        <v>22</v>
      </c>
      <c r="AF115" s="366">
        <v>2</v>
      </c>
      <c r="AG115" s="366">
        <v>24</v>
      </c>
    </row>
    <row r="116" spans="1:33" x14ac:dyDescent="0.2">
      <c r="A116" s="359" t="s">
        <v>288</v>
      </c>
      <c r="B116" s="359" t="s">
        <v>289</v>
      </c>
      <c r="C116" s="366">
        <v>6970</v>
      </c>
      <c r="D116" s="366">
        <v>0</v>
      </c>
      <c r="E116" s="366">
        <v>527</v>
      </c>
      <c r="F116" s="366">
        <v>775</v>
      </c>
      <c r="G116" s="366">
        <v>562</v>
      </c>
      <c r="H116" s="363">
        <v>8834</v>
      </c>
      <c r="I116" s="363">
        <v>8272</v>
      </c>
      <c r="J116" s="366">
        <v>3</v>
      </c>
      <c r="K116" s="364">
        <v>86.87</v>
      </c>
      <c r="L116" s="364">
        <v>85.02</v>
      </c>
      <c r="M116" s="364">
        <v>8.4600000000000009</v>
      </c>
      <c r="N116" s="364">
        <v>90.78</v>
      </c>
      <c r="O116" s="365">
        <v>6292</v>
      </c>
      <c r="P116" s="364">
        <v>88.83</v>
      </c>
      <c r="Q116" s="364">
        <v>83.06</v>
      </c>
      <c r="R116" s="364">
        <v>52.88</v>
      </c>
      <c r="S116" s="364">
        <v>141.15</v>
      </c>
      <c r="T116" s="365">
        <v>949</v>
      </c>
      <c r="U116" s="364">
        <v>120.9</v>
      </c>
      <c r="V116" s="365">
        <v>574</v>
      </c>
      <c r="W116" s="364">
        <v>224.11</v>
      </c>
      <c r="X116" s="365">
        <v>90</v>
      </c>
      <c r="Y116" s="366">
        <v>0</v>
      </c>
      <c r="Z116" s="366">
        <v>8</v>
      </c>
      <c r="AA116" s="366">
        <v>0</v>
      </c>
      <c r="AB116" s="366">
        <v>47</v>
      </c>
      <c r="AC116" s="366">
        <v>10</v>
      </c>
      <c r="AD116" s="366">
        <v>6911</v>
      </c>
      <c r="AE116" s="366">
        <v>31</v>
      </c>
      <c r="AF116" s="366">
        <v>69</v>
      </c>
      <c r="AG116" s="366">
        <v>100</v>
      </c>
    </row>
    <row r="117" spans="1:33" x14ac:dyDescent="0.2">
      <c r="A117" s="359" t="s">
        <v>290</v>
      </c>
      <c r="B117" s="359" t="s">
        <v>291</v>
      </c>
      <c r="C117" s="366">
        <v>2345</v>
      </c>
      <c r="D117" s="366">
        <v>0</v>
      </c>
      <c r="E117" s="366">
        <v>73</v>
      </c>
      <c r="F117" s="366">
        <v>584</v>
      </c>
      <c r="G117" s="366">
        <v>463</v>
      </c>
      <c r="H117" s="363">
        <v>3465</v>
      </c>
      <c r="I117" s="363">
        <v>3002</v>
      </c>
      <c r="J117" s="366">
        <v>10</v>
      </c>
      <c r="K117" s="364">
        <v>99.82</v>
      </c>
      <c r="L117" s="364">
        <v>95.32</v>
      </c>
      <c r="M117" s="364">
        <v>9.94</v>
      </c>
      <c r="N117" s="364">
        <v>108.43</v>
      </c>
      <c r="O117" s="365">
        <v>1914</v>
      </c>
      <c r="P117" s="364">
        <v>95.77</v>
      </c>
      <c r="Q117" s="364">
        <v>87.27</v>
      </c>
      <c r="R117" s="364">
        <v>36.229999999999997</v>
      </c>
      <c r="S117" s="364">
        <v>129.22999999999999</v>
      </c>
      <c r="T117" s="365">
        <v>379</v>
      </c>
      <c r="U117" s="364">
        <v>129.01</v>
      </c>
      <c r="V117" s="365">
        <v>298</v>
      </c>
      <c r="W117" s="364">
        <v>136.88</v>
      </c>
      <c r="X117" s="365">
        <v>26</v>
      </c>
      <c r="Y117" s="366">
        <v>0</v>
      </c>
      <c r="Z117" s="366">
        <v>0</v>
      </c>
      <c r="AA117" s="366">
        <v>0</v>
      </c>
      <c r="AB117" s="366">
        <v>70</v>
      </c>
      <c r="AC117" s="366">
        <v>11</v>
      </c>
      <c r="AD117" s="366">
        <v>2345</v>
      </c>
      <c r="AE117" s="366">
        <v>10</v>
      </c>
      <c r="AF117" s="366">
        <v>2</v>
      </c>
      <c r="AG117" s="366">
        <v>12</v>
      </c>
    </row>
    <row r="118" spans="1:33" x14ac:dyDescent="0.2">
      <c r="A118" s="359" t="s">
        <v>292</v>
      </c>
      <c r="B118" s="359" t="s">
        <v>293</v>
      </c>
      <c r="C118" s="366">
        <v>1554</v>
      </c>
      <c r="D118" s="366">
        <v>0</v>
      </c>
      <c r="E118" s="366">
        <v>83</v>
      </c>
      <c r="F118" s="366">
        <v>178</v>
      </c>
      <c r="G118" s="366">
        <v>493</v>
      </c>
      <c r="H118" s="363">
        <v>2308</v>
      </c>
      <c r="I118" s="363">
        <v>1815</v>
      </c>
      <c r="J118" s="366">
        <v>0</v>
      </c>
      <c r="K118" s="364">
        <v>107.01</v>
      </c>
      <c r="L118" s="364">
        <v>107.03</v>
      </c>
      <c r="M118" s="364">
        <v>6.51</v>
      </c>
      <c r="N118" s="364">
        <v>112.21</v>
      </c>
      <c r="O118" s="365">
        <v>744</v>
      </c>
      <c r="P118" s="364">
        <v>95.08</v>
      </c>
      <c r="Q118" s="364">
        <v>89.74</v>
      </c>
      <c r="R118" s="364">
        <v>68.38</v>
      </c>
      <c r="S118" s="364">
        <v>151.61000000000001</v>
      </c>
      <c r="T118" s="365">
        <v>75</v>
      </c>
      <c r="U118" s="364">
        <v>148.59</v>
      </c>
      <c r="V118" s="365">
        <v>401</v>
      </c>
      <c r="W118" s="364">
        <v>222.4</v>
      </c>
      <c r="X118" s="365">
        <v>57</v>
      </c>
      <c r="Y118" s="366">
        <v>0</v>
      </c>
      <c r="Z118" s="366">
        <v>1</v>
      </c>
      <c r="AA118" s="366">
        <v>0</v>
      </c>
      <c r="AB118" s="366">
        <v>58</v>
      </c>
      <c r="AC118" s="366">
        <v>9</v>
      </c>
      <c r="AD118" s="366">
        <v>1149</v>
      </c>
      <c r="AE118" s="366">
        <v>7</v>
      </c>
      <c r="AF118" s="366">
        <v>7</v>
      </c>
      <c r="AG118" s="366">
        <v>14</v>
      </c>
    </row>
    <row r="119" spans="1:33" x14ac:dyDescent="0.2">
      <c r="A119" s="359" t="s">
        <v>294</v>
      </c>
      <c r="B119" s="359" t="s">
        <v>295</v>
      </c>
      <c r="C119" s="366">
        <v>1455</v>
      </c>
      <c r="D119" s="366">
        <v>0</v>
      </c>
      <c r="E119" s="366">
        <v>271</v>
      </c>
      <c r="F119" s="366">
        <v>149</v>
      </c>
      <c r="G119" s="366">
        <v>97</v>
      </c>
      <c r="H119" s="363">
        <v>1972</v>
      </c>
      <c r="I119" s="363">
        <v>1875</v>
      </c>
      <c r="J119" s="366">
        <v>0</v>
      </c>
      <c r="K119" s="364">
        <v>87.65</v>
      </c>
      <c r="L119" s="364">
        <v>86.99</v>
      </c>
      <c r="M119" s="364">
        <v>6.06</v>
      </c>
      <c r="N119" s="364">
        <v>91.7</v>
      </c>
      <c r="O119" s="365">
        <v>1209</v>
      </c>
      <c r="P119" s="364">
        <v>99.16</v>
      </c>
      <c r="Q119" s="364">
        <v>85.79</v>
      </c>
      <c r="R119" s="364">
        <v>66.290000000000006</v>
      </c>
      <c r="S119" s="364">
        <v>165.21</v>
      </c>
      <c r="T119" s="365">
        <v>280</v>
      </c>
      <c r="U119" s="364">
        <v>102.29</v>
      </c>
      <c r="V119" s="365">
        <v>211</v>
      </c>
      <c r="W119" s="364">
        <v>0</v>
      </c>
      <c r="X119" s="365">
        <v>0</v>
      </c>
      <c r="Y119" s="366">
        <v>13</v>
      </c>
      <c r="Z119" s="366">
        <v>0</v>
      </c>
      <c r="AA119" s="366">
        <v>5</v>
      </c>
      <c r="AB119" s="366">
        <v>13</v>
      </c>
      <c r="AC119" s="366">
        <v>1</v>
      </c>
      <c r="AD119" s="366">
        <v>1455</v>
      </c>
      <c r="AE119" s="366">
        <v>10</v>
      </c>
      <c r="AF119" s="366">
        <v>30</v>
      </c>
      <c r="AG119" s="366">
        <v>40</v>
      </c>
    </row>
    <row r="120" spans="1:33" x14ac:dyDescent="0.2">
      <c r="A120" s="359" t="s">
        <v>296</v>
      </c>
      <c r="B120" s="359" t="s">
        <v>297</v>
      </c>
      <c r="C120" s="366">
        <v>13275</v>
      </c>
      <c r="D120" s="366">
        <v>159</v>
      </c>
      <c r="E120" s="366">
        <v>512</v>
      </c>
      <c r="F120" s="366">
        <v>984</v>
      </c>
      <c r="G120" s="366">
        <v>2736</v>
      </c>
      <c r="H120" s="363">
        <v>17666</v>
      </c>
      <c r="I120" s="363">
        <v>14930</v>
      </c>
      <c r="J120" s="366">
        <v>22</v>
      </c>
      <c r="K120" s="364">
        <v>120.65</v>
      </c>
      <c r="L120" s="364">
        <v>120.83</v>
      </c>
      <c r="M120" s="364">
        <v>16.649999999999999</v>
      </c>
      <c r="N120" s="364">
        <v>133.4</v>
      </c>
      <c r="O120" s="365">
        <v>10039</v>
      </c>
      <c r="P120" s="364">
        <v>115.9</v>
      </c>
      <c r="Q120" s="364">
        <v>106.36</v>
      </c>
      <c r="R120" s="364">
        <v>52.37</v>
      </c>
      <c r="S120" s="364">
        <v>166.33</v>
      </c>
      <c r="T120" s="365">
        <v>1212</v>
      </c>
      <c r="U120" s="364">
        <v>178.77</v>
      </c>
      <c r="V120" s="365">
        <v>1490</v>
      </c>
      <c r="W120" s="364">
        <v>0</v>
      </c>
      <c r="X120" s="365">
        <v>0</v>
      </c>
      <c r="Y120" s="366">
        <v>0</v>
      </c>
      <c r="Z120" s="366">
        <v>1</v>
      </c>
      <c r="AA120" s="366">
        <v>52</v>
      </c>
      <c r="AB120" s="366">
        <v>63</v>
      </c>
      <c r="AC120" s="366">
        <v>67</v>
      </c>
      <c r="AD120" s="366">
        <v>11975</v>
      </c>
      <c r="AE120" s="366">
        <v>102</v>
      </c>
      <c r="AF120" s="366">
        <v>50</v>
      </c>
      <c r="AG120" s="366">
        <v>152</v>
      </c>
    </row>
    <row r="121" spans="1:33" x14ac:dyDescent="0.2">
      <c r="A121" s="359" t="s">
        <v>298</v>
      </c>
      <c r="B121" s="359" t="s">
        <v>299</v>
      </c>
      <c r="C121" s="366">
        <v>1790</v>
      </c>
      <c r="D121" s="366">
        <v>10</v>
      </c>
      <c r="E121" s="366">
        <v>284</v>
      </c>
      <c r="F121" s="366">
        <v>235</v>
      </c>
      <c r="G121" s="366">
        <v>428</v>
      </c>
      <c r="H121" s="363">
        <v>2747</v>
      </c>
      <c r="I121" s="363">
        <v>2319</v>
      </c>
      <c r="J121" s="366">
        <v>0</v>
      </c>
      <c r="K121" s="364">
        <v>126.1</v>
      </c>
      <c r="L121" s="364">
        <v>122.86</v>
      </c>
      <c r="M121" s="364">
        <v>7.97</v>
      </c>
      <c r="N121" s="364">
        <v>132.74</v>
      </c>
      <c r="O121" s="365">
        <v>1329</v>
      </c>
      <c r="P121" s="364">
        <v>98.52</v>
      </c>
      <c r="Q121" s="364">
        <v>86.5</v>
      </c>
      <c r="R121" s="364">
        <v>85.83</v>
      </c>
      <c r="S121" s="364">
        <v>180.93</v>
      </c>
      <c r="T121" s="365">
        <v>226</v>
      </c>
      <c r="U121" s="364">
        <v>169.45</v>
      </c>
      <c r="V121" s="365">
        <v>313</v>
      </c>
      <c r="W121" s="364">
        <v>271.39</v>
      </c>
      <c r="X121" s="365">
        <v>36</v>
      </c>
      <c r="Y121" s="366">
        <v>0</v>
      </c>
      <c r="Z121" s="366">
        <v>0</v>
      </c>
      <c r="AA121" s="366">
        <v>0</v>
      </c>
      <c r="AB121" s="366">
        <v>20</v>
      </c>
      <c r="AC121" s="366">
        <v>11</v>
      </c>
      <c r="AD121" s="366">
        <v>1642</v>
      </c>
      <c r="AE121" s="366">
        <v>5</v>
      </c>
      <c r="AF121" s="366">
        <v>4</v>
      </c>
      <c r="AG121" s="366">
        <v>9</v>
      </c>
    </row>
    <row r="122" spans="1:33" x14ac:dyDescent="0.2">
      <c r="A122" s="359" t="s">
        <v>300</v>
      </c>
      <c r="B122" s="359" t="s">
        <v>301</v>
      </c>
      <c r="C122" s="366">
        <v>20130</v>
      </c>
      <c r="D122" s="366">
        <v>595</v>
      </c>
      <c r="E122" s="366">
        <v>1411</v>
      </c>
      <c r="F122" s="366">
        <v>1797</v>
      </c>
      <c r="G122" s="366">
        <v>2490</v>
      </c>
      <c r="H122" s="363">
        <v>26423</v>
      </c>
      <c r="I122" s="363">
        <v>23933</v>
      </c>
      <c r="J122" s="366">
        <v>74</v>
      </c>
      <c r="K122" s="364">
        <v>121.41</v>
      </c>
      <c r="L122" s="364">
        <v>128.21</v>
      </c>
      <c r="M122" s="364">
        <v>13.99</v>
      </c>
      <c r="N122" s="364">
        <v>131.99</v>
      </c>
      <c r="O122" s="365">
        <v>17071</v>
      </c>
      <c r="P122" s="364">
        <v>112.01</v>
      </c>
      <c r="Q122" s="364">
        <v>108.86</v>
      </c>
      <c r="R122" s="364">
        <v>59.43</v>
      </c>
      <c r="S122" s="364">
        <v>167.56</v>
      </c>
      <c r="T122" s="365">
        <v>2818</v>
      </c>
      <c r="U122" s="364">
        <v>219.29</v>
      </c>
      <c r="V122" s="365">
        <v>1062</v>
      </c>
      <c r="W122" s="364">
        <v>263.54000000000002</v>
      </c>
      <c r="X122" s="365">
        <v>51</v>
      </c>
      <c r="Y122" s="366">
        <v>4</v>
      </c>
      <c r="Z122" s="366">
        <v>2</v>
      </c>
      <c r="AA122" s="366">
        <v>13</v>
      </c>
      <c r="AB122" s="366">
        <v>61</v>
      </c>
      <c r="AC122" s="366">
        <v>41</v>
      </c>
      <c r="AD122" s="366">
        <v>18522</v>
      </c>
      <c r="AE122" s="366">
        <v>196</v>
      </c>
      <c r="AF122" s="366">
        <v>101</v>
      </c>
      <c r="AG122" s="366">
        <v>297</v>
      </c>
    </row>
    <row r="123" spans="1:33" x14ac:dyDescent="0.2">
      <c r="A123" s="359" t="s">
        <v>302</v>
      </c>
      <c r="B123" s="359" t="s">
        <v>303</v>
      </c>
      <c r="C123" s="366">
        <v>13380</v>
      </c>
      <c r="D123" s="366">
        <v>0</v>
      </c>
      <c r="E123" s="366">
        <v>497</v>
      </c>
      <c r="F123" s="366">
        <v>467</v>
      </c>
      <c r="G123" s="366">
        <v>369</v>
      </c>
      <c r="H123" s="363">
        <v>14713</v>
      </c>
      <c r="I123" s="363">
        <v>14344</v>
      </c>
      <c r="J123" s="366">
        <v>8</v>
      </c>
      <c r="K123" s="364">
        <v>84.1</v>
      </c>
      <c r="L123" s="364">
        <v>82.69</v>
      </c>
      <c r="M123" s="364">
        <v>4.42</v>
      </c>
      <c r="N123" s="364">
        <v>88.34</v>
      </c>
      <c r="O123" s="365">
        <v>11285</v>
      </c>
      <c r="P123" s="364">
        <v>89.68</v>
      </c>
      <c r="Q123" s="364">
        <v>73.45</v>
      </c>
      <c r="R123" s="364">
        <v>41.84</v>
      </c>
      <c r="S123" s="364">
        <v>130.94</v>
      </c>
      <c r="T123" s="365">
        <v>790</v>
      </c>
      <c r="U123" s="364">
        <v>101.01</v>
      </c>
      <c r="V123" s="365">
        <v>2071</v>
      </c>
      <c r="W123" s="364">
        <v>153.88999999999999</v>
      </c>
      <c r="X123" s="365">
        <v>78</v>
      </c>
      <c r="Y123" s="366">
        <v>0</v>
      </c>
      <c r="Z123" s="366">
        <v>26</v>
      </c>
      <c r="AA123" s="366">
        <v>5</v>
      </c>
      <c r="AB123" s="366">
        <v>51</v>
      </c>
      <c r="AC123" s="366">
        <v>11</v>
      </c>
      <c r="AD123" s="366">
        <v>13380</v>
      </c>
      <c r="AE123" s="366">
        <v>49</v>
      </c>
      <c r="AF123" s="366">
        <v>18</v>
      </c>
      <c r="AG123" s="366">
        <v>67</v>
      </c>
    </row>
    <row r="124" spans="1:33" x14ac:dyDescent="0.2">
      <c r="A124" s="359" t="s">
        <v>304</v>
      </c>
      <c r="B124" s="359" t="s">
        <v>305</v>
      </c>
      <c r="C124" s="366">
        <v>5242</v>
      </c>
      <c r="D124" s="366">
        <v>8</v>
      </c>
      <c r="E124" s="366">
        <v>347</v>
      </c>
      <c r="F124" s="366">
        <v>180</v>
      </c>
      <c r="G124" s="366">
        <v>304</v>
      </c>
      <c r="H124" s="363">
        <v>6081</v>
      </c>
      <c r="I124" s="363">
        <v>5777</v>
      </c>
      <c r="J124" s="366">
        <v>38</v>
      </c>
      <c r="K124" s="364">
        <v>92.4</v>
      </c>
      <c r="L124" s="364">
        <v>89.35</v>
      </c>
      <c r="M124" s="364">
        <v>2.04</v>
      </c>
      <c r="N124" s="364">
        <v>94.2</v>
      </c>
      <c r="O124" s="365">
        <v>4813</v>
      </c>
      <c r="P124" s="364">
        <v>109.81</v>
      </c>
      <c r="Q124" s="364">
        <v>79.42</v>
      </c>
      <c r="R124" s="364">
        <v>70.34</v>
      </c>
      <c r="S124" s="364">
        <v>180.15</v>
      </c>
      <c r="T124" s="365">
        <v>319</v>
      </c>
      <c r="U124" s="364">
        <v>113.23</v>
      </c>
      <c r="V124" s="365">
        <v>337</v>
      </c>
      <c r="W124" s="364">
        <v>175.39</v>
      </c>
      <c r="X124" s="365">
        <v>180</v>
      </c>
      <c r="Y124" s="366">
        <v>0</v>
      </c>
      <c r="Z124" s="366">
        <v>4</v>
      </c>
      <c r="AA124" s="366">
        <v>1</v>
      </c>
      <c r="AB124" s="366">
        <v>42</v>
      </c>
      <c r="AC124" s="366">
        <v>2</v>
      </c>
      <c r="AD124" s="366">
        <v>5228</v>
      </c>
      <c r="AE124" s="366">
        <v>25</v>
      </c>
      <c r="AF124" s="366">
        <v>120</v>
      </c>
      <c r="AG124" s="366">
        <v>145</v>
      </c>
    </row>
    <row r="125" spans="1:33" x14ac:dyDescent="0.2">
      <c r="A125" s="359" t="s">
        <v>306</v>
      </c>
      <c r="B125" s="359" t="s">
        <v>307</v>
      </c>
      <c r="C125" s="366">
        <v>11642</v>
      </c>
      <c r="D125" s="366">
        <v>54</v>
      </c>
      <c r="E125" s="366">
        <v>1185</v>
      </c>
      <c r="F125" s="366">
        <v>542</v>
      </c>
      <c r="G125" s="366">
        <v>978</v>
      </c>
      <c r="H125" s="363">
        <v>14401</v>
      </c>
      <c r="I125" s="363">
        <v>13423</v>
      </c>
      <c r="J125" s="366">
        <v>223</v>
      </c>
      <c r="K125" s="364">
        <v>130.44</v>
      </c>
      <c r="L125" s="364">
        <v>144.28</v>
      </c>
      <c r="M125" s="364">
        <v>12.73</v>
      </c>
      <c r="N125" s="364">
        <v>137.08000000000001</v>
      </c>
      <c r="O125" s="365">
        <v>9438</v>
      </c>
      <c r="P125" s="364">
        <v>125.66</v>
      </c>
      <c r="Q125" s="364">
        <v>120.32</v>
      </c>
      <c r="R125" s="364">
        <v>69.81</v>
      </c>
      <c r="S125" s="364">
        <v>191.68</v>
      </c>
      <c r="T125" s="365">
        <v>1214</v>
      </c>
      <c r="U125" s="364">
        <v>210.98</v>
      </c>
      <c r="V125" s="365">
        <v>1209</v>
      </c>
      <c r="W125" s="364">
        <v>216.73</v>
      </c>
      <c r="X125" s="365">
        <v>84</v>
      </c>
      <c r="Y125" s="366">
        <v>0</v>
      </c>
      <c r="Z125" s="366">
        <v>0</v>
      </c>
      <c r="AA125" s="366">
        <v>18</v>
      </c>
      <c r="AB125" s="366">
        <v>65</v>
      </c>
      <c r="AC125" s="366">
        <v>85</v>
      </c>
      <c r="AD125" s="366">
        <v>11254</v>
      </c>
      <c r="AE125" s="366">
        <v>54</v>
      </c>
      <c r="AF125" s="366">
        <v>69</v>
      </c>
      <c r="AG125" s="366">
        <v>123</v>
      </c>
    </row>
    <row r="126" spans="1:33" x14ac:dyDescent="0.2">
      <c r="A126" s="359" t="s">
        <v>308</v>
      </c>
      <c r="B126" s="359" t="s">
        <v>309</v>
      </c>
      <c r="C126" s="366">
        <v>3156</v>
      </c>
      <c r="D126" s="366">
        <v>0</v>
      </c>
      <c r="E126" s="366">
        <v>125</v>
      </c>
      <c r="F126" s="366">
        <v>283</v>
      </c>
      <c r="G126" s="366">
        <v>768</v>
      </c>
      <c r="H126" s="363">
        <v>4332</v>
      </c>
      <c r="I126" s="363">
        <v>3564</v>
      </c>
      <c r="J126" s="366">
        <v>5</v>
      </c>
      <c r="K126" s="364">
        <v>90.75</v>
      </c>
      <c r="L126" s="364">
        <v>91.01</v>
      </c>
      <c r="M126" s="364">
        <v>4.3499999999999996</v>
      </c>
      <c r="N126" s="364">
        <v>93.5</v>
      </c>
      <c r="O126" s="365">
        <v>2417</v>
      </c>
      <c r="P126" s="364">
        <v>79.77</v>
      </c>
      <c r="Q126" s="364">
        <v>76.209999999999994</v>
      </c>
      <c r="R126" s="364">
        <v>46.41</v>
      </c>
      <c r="S126" s="364">
        <v>121.52</v>
      </c>
      <c r="T126" s="365">
        <v>379</v>
      </c>
      <c r="U126" s="364">
        <v>115.49</v>
      </c>
      <c r="V126" s="365">
        <v>635</v>
      </c>
      <c r="W126" s="364">
        <v>115.2</v>
      </c>
      <c r="X126" s="365">
        <v>13</v>
      </c>
      <c r="Y126" s="366">
        <v>19</v>
      </c>
      <c r="Z126" s="366">
        <v>10</v>
      </c>
      <c r="AA126" s="366">
        <v>1</v>
      </c>
      <c r="AB126" s="366">
        <v>74</v>
      </c>
      <c r="AC126" s="366">
        <v>7</v>
      </c>
      <c r="AD126" s="366">
        <v>3156</v>
      </c>
      <c r="AE126" s="366">
        <v>17</v>
      </c>
      <c r="AF126" s="366">
        <v>30</v>
      </c>
      <c r="AG126" s="366">
        <v>47</v>
      </c>
    </row>
    <row r="127" spans="1:33" x14ac:dyDescent="0.2">
      <c r="A127" s="359" t="s">
        <v>310</v>
      </c>
      <c r="B127" s="359" t="s">
        <v>311</v>
      </c>
      <c r="C127" s="366">
        <v>10032</v>
      </c>
      <c r="D127" s="366">
        <v>78</v>
      </c>
      <c r="E127" s="366">
        <v>1109</v>
      </c>
      <c r="F127" s="366">
        <v>855</v>
      </c>
      <c r="G127" s="366">
        <v>1563</v>
      </c>
      <c r="H127" s="363">
        <v>13637</v>
      </c>
      <c r="I127" s="363">
        <v>12074</v>
      </c>
      <c r="J127" s="366">
        <v>40</v>
      </c>
      <c r="K127" s="364">
        <v>121.16</v>
      </c>
      <c r="L127" s="364">
        <v>121.7</v>
      </c>
      <c r="M127" s="364">
        <v>10.92</v>
      </c>
      <c r="N127" s="364">
        <v>128.31</v>
      </c>
      <c r="O127" s="365">
        <v>8181</v>
      </c>
      <c r="P127" s="364">
        <v>118.43</v>
      </c>
      <c r="Q127" s="364">
        <v>109.24</v>
      </c>
      <c r="R127" s="364">
        <v>73.12</v>
      </c>
      <c r="S127" s="364">
        <v>188.99</v>
      </c>
      <c r="T127" s="365">
        <v>1258</v>
      </c>
      <c r="U127" s="364">
        <v>186.94</v>
      </c>
      <c r="V127" s="365">
        <v>632</v>
      </c>
      <c r="W127" s="364">
        <v>264.44</v>
      </c>
      <c r="X127" s="365">
        <v>134</v>
      </c>
      <c r="Y127" s="366">
        <v>9</v>
      </c>
      <c r="Z127" s="366">
        <v>1</v>
      </c>
      <c r="AA127" s="366">
        <v>13</v>
      </c>
      <c r="AB127" s="366">
        <v>27</v>
      </c>
      <c r="AC127" s="366">
        <v>34</v>
      </c>
      <c r="AD127" s="366">
        <v>9111</v>
      </c>
      <c r="AE127" s="366">
        <v>56</v>
      </c>
      <c r="AF127" s="366">
        <v>49</v>
      </c>
      <c r="AG127" s="366">
        <v>105</v>
      </c>
    </row>
    <row r="128" spans="1:33" x14ac:dyDescent="0.2">
      <c r="A128" s="359" t="s">
        <v>312</v>
      </c>
      <c r="B128" s="359" t="s">
        <v>313</v>
      </c>
      <c r="C128" s="366">
        <v>1619</v>
      </c>
      <c r="D128" s="366">
        <v>280</v>
      </c>
      <c r="E128" s="366">
        <v>287</v>
      </c>
      <c r="F128" s="366">
        <v>261</v>
      </c>
      <c r="G128" s="366">
        <v>472</v>
      </c>
      <c r="H128" s="363">
        <v>2919</v>
      </c>
      <c r="I128" s="363">
        <v>2447</v>
      </c>
      <c r="J128" s="366">
        <v>0</v>
      </c>
      <c r="K128" s="364">
        <v>102.38</v>
      </c>
      <c r="L128" s="364">
        <v>99.27</v>
      </c>
      <c r="M128" s="364">
        <v>8.25</v>
      </c>
      <c r="N128" s="364">
        <v>109.37</v>
      </c>
      <c r="O128" s="365">
        <v>1256</v>
      </c>
      <c r="P128" s="364">
        <v>94.35</v>
      </c>
      <c r="Q128" s="364">
        <v>85.97</v>
      </c>
      <c r="R128" s="364">
        <v>57.26</v>
      </c>
      <c r="S128" s="364">
        <v>150.82</v>
      </c>
      <c r="T128" s="365">
        <v>361</v>
      </c>
      <c r="U128" s="364">
        <v>160.94</v>
      </c>
      <c r="V128" s="365">
        <v>350</v>
      </c>
      <c r="W128" s="364">
        <v>110.28</v>
      </c>
      <c r="X128" s="365">
        <v>2</v>
      </c>
      <c r="Y128" s="366">
        <v>31</v>
      </c>
      <c r="Z128" s="366">
        <v>1</v>
      </c>
      <c r="AA128" s="366">
        <v>0</v>
      </c>
      <c r="AB128" s="366">
        <v>66</v>
      </c>
      <c r="AC128" s="366">
        <v>3</v>
      </c>
      <c r="AD128" s="366">
        <v>1608</v>
      </c>
      <c r="AE128" s="366">
        <v>18</v>
      </c>
      <c r="AF128" s="366">
        <v>164</v>
      </c>
      <c r="AG128" s="366">
        <v>182</v>
      </c>
    </row>
    <row r="129" spans="1:33" x14ac:dyDescent="0.2">
      <c r="A129" s="359" t="s">
        <v>314</v>
      </c>
      <c r="B129" s="359" t="s">
        <v>315</v>
      </c>
      <c r="C129" s="366">
        <v>2755</v>
      </c>
      <c r="D129" s="366">
        <v>0</v>
      </c>
      <c r="E129" s="366">
        <v>213</v>
      </c>
      <c r="F129" s="366">
        <v>391</v>
      </c>
      <c r="G129" s="366">
        <v>548</v>
      </c>
      <c r="H129" s="363">
        <v>3907</v>
      </c>
      <c r="I129" s="363">
        <v>3359</v>
      </c>
      <c r="J129" s="366">
        <v>5</v>
      </c>
      <c r="K129" s="364">
        <v>97.66</v>
      </c>
      <c r="L129" s="364">
        <v>93.95</v>
      </c>
      <c r="M129" s="364">
        <v>6.4</v>
      </c>
      <c r="N129" s="364">
        <v>102.02</v>
      </c>
      <c r="O129" s="365">
        <v>1725</v>
      </c>
      <c r="P129" s="364">
        <v>109.19</v>
      </c>
      <c r="Q129" s="364">
        <v>83.47</v>
      </c>
      <c r="R129" s="364">
        <v>52.29</v>
      </c>
      <c r="S129" s="364">
        <v>161.47999999999999</v>
      </c>
      <c r="T129" s="365">
        <v>466</v>
      </c>
      <c r="U129" s="364">
        <v>125.49</v>
      </c>
      <c r="V129" s="365">
        <v>880</v>
      </c>
      <c r="W129" s="364">
        <v>113.68</v>
      </c>
      <c r="X129" s="365">
        <v>11</v>
      </c>
      <c r="Y129" s="366">
        <v>3</v>
      </c>
      <c r="Z129" s="366">
        <v>0</v>
      </c>
      <c r="AA129" s="366">
        <v>0</v>
      </c>
      <c r="AB129" s="366">
        <v>88</v>
      </c>
      <c r="AC129" s="366">
        <v>5</v>
      </c>
      <c r="AD129" s="366">
        <v>2523</v>
      </c>
      <c r="AE129" s="366">
        <v>35</v>
      </c>
      <c r="AF129" s="366">
        <v>16</v>
      </c>
      <c r="AG129" s="366">
        <v>51</v>
      </c>
    </row>
    <row r="130" spans="1:33" x14ac:dyDescent="0.2">
      <c r="A130" s="359" t="s">
        <v>316</v>
      </c>
      <c r="B130" s="359" t="s">
        <v>317</v>
      </c>
      <c r="C130" s="366">
        <v>3482</v>
      </c>
      <c r="D130" s="366">
        <v>3</v>
      </c>
      <c r="E130" s="366">
        <v>315</v>
      </c>
      <c r="F130" s="366">
        <v>610</v>
      </c>
      <c r="G130" s="366">
        <v>963</v>
      </c>
      <c r="H130" s="363">
        <v>5373</v>
      </c>
      <c r="I130" s="363">
        <v>4410</v>
      </c>
      <c r="J130" s="366">
        <v>6</v>
      </c>
      <c r="K130" s="364">
        <v>133.37</v>
      </c>
      <c r="L130" s="364">
        <v>127.91</v>
      </c>
      <c r="M130" s="364">
        <v>10.36</v>
      </c>
      <c r="N130" s="364">
        <v>140.61000000000001</v>
      </c>
      <c r="O130" s="365">
        <v>2760</v>
      </c>
      <c r="P130" s="364">
        <v>106.89</v>
      </c>
      <c r="Q130" s="364">
        <v>93.47</v>
      </c>
      <c r="R130" s="364">
        <v>37.97</v>
      </c>
      <c r="S130" s="364">
        <v>139.13999999999999</v>
      </c>
      <c r="T130" s="365">
        <v>531</v>
      </c>
      <c r="U130" s="364">
        <v>196.88</v>
      </c>
      <c r="V130" s="365">
        <v>467</v>
      </c>
      <c r="W130" s="364">
        <v>191.56</v>
      </c>
      <c r="X130" s="365">
        <v>31</v>
      </c>
      <c r="Y130" s="366">
        <v>0</v>
      </c>
      <c r="Z130" s="366">
        <v>1</v>
      </c>
      <c r="AA130" s="366">
        <v>12</v>
      </c>
      <c r="AB130" s="366">
        <v>11</v>
      </c>
      <c r="AC130" s="366">
        <v>32</v>
      </c>
      <c r="AD130" s="366">
        <v>3405</v>
      </c>
      <c r="AE130" s="366">
        <v>11</v>
      </c>
      <c r="AF130" s="366">
        <v>2</v>
      </c>
      <c r="AG130" s="366">
        <v>13</v>
      </c>
    </row>
    <row r="131" spans="1:33" x14ac:dyDescent="0.2">
      <c r="A131" s="359" t="s">
        <v>318</v>
      </c>
      <c r="B131" s="359" t="s">
        <v>319</v>
      </c>
      <c r="C131" s="366">
        <v>3108</v>
      </c>
      <c r="D131" s="366">
        <v>0</v>
      </c>
      <c r="E131" s="366">
        <v>41</v>
      </c>
      <c r="F131" s="366">
        <v>321</v>
      </c>
      <c r="G131" s="366">
        <v>719</v>
      </c>
      <c r="H131" s="363">
        <v>4189</v>
      </c>
      <c r="I131" s="363">
        <v>3470</v>
      </c>
      <c r="J131" s="366">
        <v>0</v>
      </c>
      <c r="K131" s="364">
        <v>117.88</v>
      </c>
      <c r="L131" s="364">
        <v>113.95</v>
      </c>
      <c r="M131" s="364">
        <v>6.72</v>
      </c>
      <c r="N131" s="364">
        <v>120.68</v>
      </c>
      <c r="O131" s="365">
        <v>2389</v>
      </c>
      <c r="P131" s="364">
        <v>103.66</v>
      </c>
      <c r="Q131" s="364">
        <v>98.85</v>
      </c>
      <c r="R131" s="364">
        <v>37.11</v>
      </c>
      <c r="S131" s="364">
        <v>140.53</v>
      </c>
      <c r="T131" s="365">
        <v>308</v>
      </c>
      <c r="U131" s="364">
        <v>173.83</v>
      </c>
      <c r="V131" s="365">
        <v>684</v>
      </c>
      <c r="W131" s="364">
        <v>144.91999999999999</v>
      </c>
      <c r="X131" s="365">
        <v>1</v>
      </c>
      <c r="Y131" s="366">
        <v>0</v>
      </c>
      <c r="Z131" s="366">
        <v>0</v>
      </c>
      <c r="AA131" s="366">
        <v>0</v>
      </c>
      <c r="AB131" s="366">
        <v>38</v>
      </c>
      <c r="AC131" s="366">
        <v>23</v>
      </c>
      <c r="AD131" s="366">
        <v>3108</v>
      </c>
      <c r="AE131" s="366">
        <v>19</v>
      </c>
      <c r="AF131" s="366">
        <v>13</v>
      </c>
      <c r="AG131" s="366">
        <v>32</v>
      </c>
    </row>
    <row r="132" spans="1:33" x14ac:dyDescent="0.2">
      <c r="A132" s="359" t="s">
        <v>320</v>
      </c>
      <c r="B132" s="359" t="s">
        <v>321</v>
      </c>
      <c r="C132" s="366">
        <v>7631</v>
      </c>
      <c r="D132" s="366">
        <v>0</v>
      </c>
      <c r="E132" s="366">
        <v>162</v>
      </c>
      <c r="F132" s="366">
        <v>1962</v>
      </c>
      <c r="G132" s="366">
        <v>215</v>
      </c>
      <c r="H132" s="363">
        <v>9970</v>
      </c>
      <c r="I132" s="363">
        <v>9755</v>
      </c>
      <c r="J132" s="366">
        <v>0</v>
      </c>
      <c r="K132" s="364">
        <v>82.36</v>
      </c>
      <c r="L132" s="364">
        <v>81.319999999999993</v>
      </c>
      <c r="M132" s="364">
        <v>5.52</v>
      </c>
      <c r="N132" s="364">
        <v>84.59</v>
      </c>
      <c r="O132" s="365">
        <v>6512</v>
      </c>
      <c r="P132" s="364">
        <v>82.29</v>
      </c>
      <c r="Q132" s="364">
        <v>80.08</v>
      </c>
      <c r="R132" s="364">
        <v>40.130000000000003</v>
      </c>
      <c r="S132" s="364">
        <v>105.69</v>
      </c>
      <c r="T132" s="365">
        <v>2040</v>
      </c>
      <c r="U132" s="364">
        <v>95.54</v>
      </c>
      <c r="V132" s="365">
        <v>1060</v>
      </c>
      <c r="W132" s="364">
        <v>104.16</v>
      </c>
      <c r="X132" s="365">
        <v>72</v>
      </c>
      <c r="Y132" s="366">
        <v>10</v>
      </c>
      <c r="Z132" s="366">
        <v>18</v>
      </c>
      <c r="AA132" s="366">
        <v>0</v>
      </c>
      <c r="AB132" s="366">
        <v>10</v>
      </c>
      <c r="AC132" s="366">
        <v>2</v>
      </c>
      <c r="AD132" s="366">
        <v>7605</v>
      </c>
      <c r="AE132" s="366">
        <v>47</v>
      </c>
      <c r="AF132" s="366">
        <v>97</v>
      </c>
      <c r="AG132" s="366">
        <v>144</v>
      </c>
    </row>
    <row r="133" spans="1:33" x14ac:dyDescent="0.2">
      <c r="A133" s="359" t="s">
        <v>322</v>
      </c>
      <c r="B133" s="359" t="s">
        <v>323</v>
      </c>
      <c r="C133" s="366">
        <v>5128</v>
      </c>
      <c r="D133" s="366">
        <v>0</v>
      </c>
      <c r="E133" s="366">
        <v>280</v>
      </c>
      <c r="F133" s="366">
        <v>721</v>
      </c>
      <c r="G133" s="366">
        <v>195</v>
      </c>
      <c r="H133" s="363">
        <v>6324</v>
      </c>
      <c r="I133" s="363">
        <v>6129</v>
      </c>
      <c r="J133" s="366">
        <v>5</v>
      </c>
      <c r="K133" s="364">
        <v>87.5</v>
      </c>
      <c r="L133" s="364">
        <v>84.82</v>
      </c>
      <c r="M133" s="364">
        <v>6.99</v>
      </c>
      <c r="N133" s="364">
        <v>93.52</v>
      </c>
      <c r="O133" s="365">
        <v>4177</v>
      </c>
      <c r="P133" s="364">
        <v>72.73</v>
      </c>
      <c r="Q133" s="364">
        <v>68.989999999999995</v>
      </c>
      <c r="R133" s="364">
        <v>43.14</v>
      </c>
      <c r="S133" s="364">
        <v>115.87</v>
      </c>
      <c r="T133" s="365">
        <v>800</v>
      </c>
      <c r="U133" s="364">
        <v>115.03</v>
      </c>
      <c r="V133" s="365">
        <v>756</v>
      </c>
      <c r="W133" s="364">
        <v>155.33000000000001</v>
      </c>
      <c r="X133" s="365">
        <v>106</v>
      </c>
      <c r="Y133" s="366">
        <v>0</v>
      </c>
      <c r="Z133" s="366">
        <v>0</v>
      </c>
      <c r="AA133" s="366">
        <v>3</v>
      </c>
      <c r="AB133" s="366">
        <v>16</v>
      </c>
      <c r="AC133" s="366">
        <v>5</v>
      </c>
      <c r="AD133" s="366">
        <v>5059</v>
      </c>
      <c r="AE133" s="366">
        <v>23</v>
      </c>
      <c r="AF133" s="366">
        <v>58</v>
      </c>
      <c r="AG133" s="366">
        <v>81</v>
      </c>
    </row>
    <row r="134" spans="1:33" x14ac:dyDescent="0.2">
      <c r="A134" s="359" t="s">
        <v>324</v>
      </c>
      <c r="B134" s="359" t="s">
        <v>325</v>
      </c>
      <c r="C134" s="366">
        <v>4447</v>
      </c>
      <c r="D134" s="366">
        <v>0</v>
      </c>
      <c r="E134" s="366">
        <v>237</v>
      </c>
      <c r="F134" s="366">
        <v>1060</v>
      </c>
      <c r="G134" s="366">
        <v>412</v>
      </c>
      <c r="H134" s="363">
        <v>6156</v>
      </c>
      <c r="I134" s="363">
        <v>5744</v>
      </c>
      <c r="J134" s="366">
        <v>20</v>
      </c>
      <c r="K134" s="364">
        <v>106.98</v>
      </c>
      <c r="L134" s="364">
        <v>101.92</v>
      </c>
      <c r="M134" s="364">
        <v>10.220000000000001</v>
      </c>
      <c r="N134" s="364">
        <v>111.73</v>
      </c>
      <c r="O134" s="365">
        <v>3522</v>
      </c>
      <c r="P134" s="364">
        <v>98.27</v>
      </c>
      <c r="Q134" s="364">
        <v>88.81</v>
      </c>
      <c r="R134" s="364">
        <v>22.82</v>
      </c>
      <c r="S134" s="364">
        <v>118.52</v>
      </c>
      <c r="T134" s="365">
        <v>1147</v>
      </c>
      <c r="U134" s="364">
        <v>147.57</v>
      </c>
      <c r="V134" s="365">
        <v>789</v>
      </c>
      <c r="W134" s="364">
        <v>164.94</v>
      </c>
      <c r="X134" s="365">
        <v>14</v>
      </c>
      <c r="Y134" s="366">
        <v>0</v>
      </c>
      <c r="Z134" s="366">
        <v>0</v>
      </c>
      <c r="AA134" s="366">
        <v>1</v>
      </c>
      <c r="AB134" s="366">
        <v>17</v>
      </c>
      <c r="AC134" s="366">
        <v>12</v>
      </c>
      <c r="AD134" s="366">
        <v>4396</v>
      </c>
      <c r="AE134" s="366">
        <v>23</v>
      </c>
      <c r="AF134" s="366">
        <v>13</v>
      </c>
      <c r="AG134" s="366">
        <v>36</v>
      </c>
    </row>
    <row r="135" spans="1:33" x14ac:dyDescent="0.2">
      <c r="A135" s="359" t="s">
        <v>326</v>
      </c>
      <c r="B135" s="359" t="s">
        <v>327</v>
      </c>
      <c r="C135" s="366">
        <v>3650</v>
      </c>
      <c r="D135" s="366">
        <v>354</v>
      </c>
      <c r="E135" s="366">
        <v>209</v>
      </c>
      <c r="F135" s="366">
        <v>497</v>
      </c>
      <c r="G135" s="366">
        <v>962</v>
      </c>
      <c r="H135" s="363">
        <v>5672</v>
      </c>
      <c r="I135" s="363">
        <v>4710</v>
      </c>
      <c r="J135" s="366">
        <v>15</v>
      </c>
      <c r="K135" s="364">
        <v>118.14</v>
      </c>
      <c r="L135" s="364">
        <v>118.32</v>
      </c>
      <c r="M135" s="364">
        <v>11.92</v>
      </c>
      <c r="N135" s="364">
        <v>127.41</v>
      </c>
      <c r="O135" s="365">
        <v>2386</v>
      </c>
      <c r="P135" s="364">
        <v>108</v>
      </c>
      <c r="Q135" s="364">
        <v>98.29</v>
      </c>
      <c r="R135" s="364">
        <v>46.04</v>
      </c>
      <c r="S135" s="364">
        <v>153</v>
      </c>
      <c r="T135" s="365">
        <v>615</v>
      </c>
      <c r="U135" s="364">
        <v>182.91</v>
      </c>
      <c r="V135" s="365">
        <v>1037</v>
      </c>
      <c r="W135" s="364">
        <v>212.92</v>
      </c>
      <c r="X135" s="365">
        <v>40</v>
      </c>
      <c r="Y135" s="366">
        <v>0</v>
      </c>
      <c r="Z135" s="366">
        <v>2</v>
      </c>
      <c r="AA135" s="366">
        <v>18</v>
      </c>
      <c r="AB135" s="366">
        <v>83</v>
      </c>
      <c r="AC135" s="366">
        <v>18</v>
      </c>
      <c r="AD135" s="366">
        <v>3618</v>
      </c>
      <c r="AE135" s="366">
        <v>36</v>
      </c>
      <c r="AF135" s="366">
        <v>9</v>
      </c>
      <c r="AG135" s="366">
        <v>45</v>
      </c>
    </row>
    <row r="136" spans="1:33" x14ac:dyDescent="0.2">
      <c r="A136" s="359" t="s">
        <v>328</v>
      </c>
      <c r="B136" s="359" t="s">
        <v>329</v>
      </c>
      <c r="C136" s="366">
        <v>9374</v>
      </c>
      <c r="D136" s="366">
        <v>0</v>
      </c>
      <c r="E136" s="366">
        <v>318</v>
      </c>
      <c r="F136" s="366">
        <v>1644</v>
      </c>
      <c r="G136" s="366">
        <v>907</v>
      </c>
      <c r="H136" s="363">
        <v>12243</v>
      </c>
      <c r="I136" s="363">
        <v>11336</v>
      </c>
      <c r="J136" s="366">
        <v>2</v>
      </c>
      <c r="K136" s="364">
        <v>90.6</v>
      </c>
      <c r="L136" s="364">
        <v>89.55</v>
      </c>
      <c r="M136" s="364">
        <v>4.2699999999999996</v>
      </c>
      <c r="N136" s="364">
        <v>92.84</v>
      </c>
      <c r="O136" s="365">
        <v>8440</v>
      </c>
      <c r="P136" s="364">
        <v>85.41</v>
      </c>
      <c r="Q136" s="364">
        <v>83.06</v>
      </c>
      <c r="R136" s="364">
        <v>39.520000000000003</v>
      </c>
      <c r="S136" s="364">
        <v>116.31</v>
      </c>
      <c r="T136" s="365">
        <v>1903</v>
      </c>
      <c r="U136" s="364">
        <v>109.23</v>
      </c>
      <c r="V136" s="365">
        <v>860</v>
      </c>
      <c r="W136" s="364">
        <v>185.94</v>
      </c>
      <c r="X136" s="365">
        <v>20</v>
      </c>
      <c r="Y136" s="366">
        <v>0</v>
      </c>
      <c r="Z136" s="366">
        <v>7</v>
      </c>
      <c r="AA136" s="366">
        <v>2</v>
      </c>
      <c r="AB136" s="366">
        <v>32</v>
      </c>
      <c r="AC136" s="366">
        <v>10</v>
      </c>
      <c r="AD136" s="366">
        <v>9335</v>
      </c>
      <c r="AE136" s="366">
        <v>71</v>
      </c>
      <c r="AF136" s="366">
        <v>15</v>
      </c>
      <c r="AG136" s="366">
        <v>86</v>
      </c>
    </row>
    <row r="137" spans="1:33" x14ac:dyDescent="0.2">
      <c r="A137" s="359" t="s">
        <v>330</v>
      </c>
      <c r="B137" s="359" t="s">
        <v>331</v>
      </c>
      <c r="C137" s="366">
        <v>6425</v>
      </c>
      <c r="D137" s="366">
        <v>28</v>
      </c>
      <c r="E137" s="366">
        <v>184</v>
      </c>
      <c r="F137" s="366">
        <v>799</v>
      </c>
      <c r="G137" s="366">
        <v>525</v>
      </c>
      <c r="H137" s="363">
        <v>7961</v>
      </c>
      <c r="I137" s="363">
        <v>7436</v>
      </c>
      <c r="J137" s="366">
        <v>1</v>
      </c>
      <c r="K137" s="364">
        <v>121.6</v>
      </c>
      <c r="L137" s="364">
        <v>123.18</v>
      </c>
      <c r="M137" s="364">
        <v>7.6</v>
      </c>
      <c r="N137" s="364">
        <v>125.53</v>
      </c>
      <c r="O137" s="365">
        <v>5443</v>
      </c>
      <c r="P137" s="364">
        <v>113.06</v>
      </c>
      <c r="Q137" s="364">
        <v>105.5</v>
      </c>
      <c r="R137" s="364">
        <v>31.5</v>
      </c>
      <c r="S137" s="364">
        <v>142.6</v>
      </c>
      <c r="T137" s="365">
        <v>948</v>
      </c>
      <c r="U137" s="364">
        <v>181.74</v>
      </c>
      <c r="V137" s="365">
        <v>799</v>
      </c>
      <c r="W137" s="364">
        <v>213.91</v>
      </c>
      <c r="X137" s="365">
        <v>4</v>
      </c>
      <c r="Y137" s="366">
        <v>0</v>
      </c>
      <c r="Z137" s="366">
        <v>4</v>
      </c>
      <c r="AA137" s="366">
        <v>1</v>
      </c>
      <c r="AB137" s="366">
        <v>30</v>
      </c>
      <c r="AC137" s="366">
        <v>8</v>
      </c>
      <c r="AD137" s="366">
        <v>6250</v>
      </c>
      <c r="AE137" s="366">
        <v>55</v>
      </c>
      <c r="AF137" s="366">
        <v>58</v>
      </c>
      <c r="AG137" s="366">
        <v>113</v>
      </c>
    </row>
    <row r="138" spans="1:33" x14ac:dyDescent="0.2">
      <c r="A138" s="359" t="s">
        <v>332</v>
      </c>
      <c r="B138" s="359" t="s">
        <v>333</v>
      </c>
      <c r="C138" s="366">
        <v>1031</v>
      </c>
      <c r="D138" s="366">
        <v>1</v>
      </c>
      <c r="E138" s="366">
        <v>68</v>
      </c>
      <c r="F138" s="366">
        <v>317</v>
      </c>
      <c r="G138" s="366">
        <v>204</v>
      </c>
      <c r="H138" s="363">
        <v>1621</v>
      </c>
      <c r="I138" s="363">
        <v>1417</v>
      </c>
      <c r="J138" s="366">
        <v>18</v>
      </c>
      <c r="K138" s="364">
        <v>96.52</v>
      </c>
      <c r="L138" s="364">
        <v>93.5</v>
      </c>
      <c r="M138" s="364">
        <v>7.86</v>
      </c>
      <c r="N138" s="364">
        <v>100.95</v>
      </c>
      <c r="O138" s="365">
        <v>793</v>
      </c>
      <c r="P138" s="364">
        <v>91.39</v>
      </c>
      <c r="Q138" s="364">
        <v>80.400000000000006</v>
      </c>
      <c r="R138" s="364">
        <v>46.94</v>
      </c>
      <c r="S138" s="364">
        <v>137.44</v>
      </c>
      <c r="T138" s="365">
        <v>369</v>
      </c>
      <c r="U138" s="364">
        <v>111.68</v>
      </c>
      <c r="V138" s="365">
        <v>221</v>
      </c>
      <c r="W138" s="364">
        <v>0</v>
      </c>
      <c r="X138" s="365">
        <v>0</v>
      </c>
      <c r="Y138" s="366">
        <v>2</v>
      </c>
      <c r="Z138" s="366">
        <v>1</v>
      </c>
      <c r="AA138" s="366">
        <v>1</v>
      </c>
      <c r="AB138" s="366">
        <v>7</v>
      </c>
      <c r="AC138" s="366">
        <v>4</v>
      </c>
      <c r="AD138" s="366">
        <v>1013</v>
      </c>
      <c r="AE138" s="366">
        <v>21</v>
      </c>
      <c r="AF138" s="366">
        <v>6</v>
      </c>
      <c r="AG138" s="366">
        <v>27</v>
      </c>
    </row>
    <row r="139" spans="1:33" x14ac:dyDescent="0.2">
      <c r="A139" s="359" t="s">
        <v>334</v>
      </c>
      <c r="B139" s="359" t="s">
        <v>335</v>
      </c>
      <c r="C139" s="366">
        <v>6535</v>
      </c>
      <c r="D139" s="366">
        <v>6</v>
      </c>
      <c r="E139" s="366">
        <v>539</v>
      </c>
      <c r="F139" s="366">
        <v>570</v>
      </c>
      <c r="G139" s="366">
        <v>1222</v>
      </c>
      <c r="H139" s="363">
        <v>8872</v>
      </c>
      <c r="I139" s="363">
        <v>7650</v>
      </c>
      <c r="J139" s="366">
        <v>22</v>
      </c>
      <c r="K139" s="364">
        <v>125</v>
      </c>
      <c r="L139" s="364">
        <v>124.19</v>
      </c>
      <c r="M139" s="364">
        <v>10.8</v>
      </c>
      <c r="N139" s="364">
        <v>132.72</v>
      </c>
      <c r="O139" s="365">
        <v>5147</v>
      </c>
      <c r="P139" s="364">
        <v>104.72</v>
      </c>
      <c r="Q139" s="364">
        <v>101</v>
      </c>
      <c r="R139" s="364">
        <v>41.48</v>
      </c>
      <c r="S139" s="364">
        <v>138.41999999999999</v>
      </c>
      <c r="T139" s="365">
        <v>853</v>
      </c>
      <c r="U139" s="364">
        <v>190.97</v>
      </c>
      <c r="V139" s="365">
        <v>915</v>
      </c>
      <c r="W139" s="364">
        <v>166.15</v>
      </c>
      <c r="X139" s="365">
        <v>58</v>
      </c>
      <c r="Y139" s="366">
        <v>847</v>
      </c>
      <c r="Z139" s="366">
        <v>1</v>
      </c>
      <c r="AA139" s="366">
        <v>5</v>
      </c>
      <c r="AB139" s="366">
        <v>56</v>
      </c>
      <c r="AC139" s="366">
        <v>40</v>
      </c>
      <c r="AD139" s="366">
        <v>6382</v>
      </c>
      <c r="AE139" s="366">
        <v>16</v>
      </c>
      <c r="AF139" s="366">
        <v>17</v>
      </c>
      <c r="AG139" s="366">
        <v>33</v>
      </c>
    </row>
    <row r="140" spans="1:33" x14ac:dyDescent="0.2">
      <c r="A140" s="359" t="s">
        <v>336</v>
      </c>
      <c r="B140" s="359" t="s">
        <v>337</v>
      </c>
      <c r="C140" s="366">
        <v>1947</v>
      </c>
      <c r="D140" s="366">
        <v>1</v>
      </c>
      <c r="E140" s="366">
        <v>125</v>
      </c>
      <c r="F140" s="366">
        <v>125</v>
      </c>
      <c r="G140" s="366">
        <v>415</v>
      </c>
      <c r="H140" s="363">
        <v>2613</v>
      </c>
      <c r="I140" s="363">
        <v>2198</v>
      </c>
      <c r="J140" s="366">
        <v>9</v>
      </c>
      <c r="K140" s="364">
        <v>92.02</v>
      </c>
      <c r="L140" s="364">
        <v>89.21</v>
      </c>
      <c r="M140" s="364">
        <v>5.93</v>
      </c>
      <c r="N140" s="364">
        <v>95.25</v>
      </c>
      <c r="O140" s="365">
        <v>1404</v>
      </c>
      <c r="P140" s="364">
        <v>102.63</v>
      </c>
      <c r="Q140" s="364">
        <v>74.44</v>
      </c>
      <c r="R140" s="364">
        <v>61.5</v>
      </c>
      <c r="S140" s="364">
        <v>164.13</v>
      </c>
      <c r="T140" s="365">
        <v>215</v>
      </c>
      <c r="U140" s="364">
        <v>108.14</v>
      </c>
      <c r="V140" s="365">
        <v>506</v>
      </c>
      <c r="W140" s="364">
        <v>0</v>
      </c>
      <c r="X140" s="365">
        <v>0</v>
      </c>
      <c r="Y140" s="366">
        <v>0</v>
      </c>
      <c r="Z140" s="366">
        <v>3</v>
      </c>
      <c r="AA140" s="366">
        <v>14</v>
      </c>
      <c r="AB140" s="366">
        <v>55</v>
      </c>
      <c r="AC140" s="366">
        <v>10</v>
      </c>
      <c r="AD140" s="366">
        <v>1947</v>
      </c>
      <c r="AE140" s="366">
        <v>18</v>
      </c>
      <c r="AF140" s="366">
        <v>8</v>
      </c>
      <c r="AG140" s="366">
        <v>26</v>
      </c>
    </row>
    <row r="141" spans="1:33" x14ac:dyDescent="0.2">
      <c r="A141" s="359" t="s">
        <v>338</v>
      </c>
      <c r="B141" s="359" t="s">
        <v>339</v>
      </c>
      <c r="C141" s="366">
        <v>6087</v>
      </c>
      <c r="D141" s="366">
        <v>0</v>
      </c>
      <c r="E141" s="366">
        <v>124</v>
      </c>
      <c r="F141" s="366">
        <v>1066</v>
      </c>
      <c r="G141" s="366">
        <v>1011</v>
      </c>
      <c r="H141" s="363">
        <v>8288</v>
      </c>
      <c r="I141" s="363">
        <v>7277</v>
      </c>
      <c r="J141" s="366">
        <v>12</v>
      </c>
      <c r="K141" s="364">
        <v>112.61</v>
      </c>
      <c r="L141" s="364">
        <v>111.31</v>
      </c>
      <c r="M141" s="364">
        <v>5.27</v>
      </c>
      <c r="N141" s="364">
        <v>115.8</v>
      </c>
      <c r="O141" s="365">
        <v>4650</v>
      </c>
      <c r="P141" s="364">
        <v>98.12</v>
      </c>
      <c r="Q141" s="364">
        <v>96.19</v>
      </c>
      <c r="R141" s="364">
        <v>27.33</v>
      </c>
      <c r="S141" s="364">
        <v>124.51</v>
      </c>
      <c r="T141" s="365">
        <v>938</v>
      </c>
      <c r="U141" s="364">
        <v>170.52</v>
      </c>
      <c r="V141" s="365">
        <v>1384</v>
      </c>
      <c r="W141" s="364">
        <v>222.22</v>
      </c>
      <c r="X141" s="365">
        <v>128</v>
      </c>
      <c r="Y141" s="366">
        <v>0</v>
      </c>
      <c r="Z141" s="366">
        <v>3</v>
      </c>
      <c r="AA141" s="366">
        <v>18</v>
      </c>
      <c r="AB141" s="366">
        <v>157</v>
      </c>
      <c r="AC141" s="366">
        <v>16</v>
      </c>
      <c r="AD141" s="366">
        <v>6054</v>
      </c>
      <c r="AE141" s="366">
        <v>54</v>
      </c>
      <c r="AF141" s="366">
        <v>15</v>
      </c>
      <c r="AG141" s="366">
        <v>69</v>
      </c>
    </row>
    <row r="142" spans="1:33" x14ac:dyDescent="0.2">
      <c r="A142" s="359" t="s">
        <v>340</v>
      </c>
      <c r="B142" s="359" t="s">
        <v>341</v>
      </c>
      <c r="C142" s="366">
        <v>7930</v>
      </c>
      <c r="D142" s="366">
        <v>15</v>
      </c>
      <c r="E142" s="366">
        <v>417</v>
      </c>
      <c r="F142" s="366">
        <v>228</v>
      </c>
      <c r="G142" s="366">
        <v>2158</v>
      </c>
      <c r="H142" s="363">
        <v>10748</v>
      </c>
      <c r="I142" s="363">
        <v>8590</v>
      </c>
      <c r="J142" s="366">
        <v>65</v>
      </c>
      <c r="K142" s="364">
        <v>125.61</v>
      </c>
      <c r="L142" s="364">
        <v>126.11</v>
      </c>
      <c r="M142" s="364">
        <v>10.92</v>
      </c>
      <c r="N142" s="364">
        <v>134.32</v>
      </c>
      <c r="O142" s="365">
        <v>5852</v>
      </c>
      <c r="P142" s="364">
        <v>119.6</v>
      </c>
      <c r="Q142" s="364">
        <v>111.8</v>
      </c>
      <c r="R142" s="364">
        <v>110.97</v>
      </c>
      <c r="S142" s="364">
        <v>213.37</v>
      </c>
      <c r="T142" s="365">
        <v>329</v>
      </c>
      <c r="U142" s="364">
        <v>201.6</v>
      </c>
      <c r="V142" s="365">
        <v>1216</v>
      </c>
      <c r="W142" s="364">
        <v>252.18</v>
      </c>
      <c r="X142" s="365">
        <v>112</v>
      </c>
      <c r="Y142" s="366">
        <v>78</v>
      </c>
      <c r="Z142" s="366">
        <v>2</v>
      </c>
      <c r="AA142" s="366">
        <v>7</v>
      </c>
      <c r="AB142" s="366">
        <v>85</v>
      </c>
      <c r="AC142" s="366">
        <v>34</v>
      </c>
      <c r="AD142" s="366">
        <v>7476</v>
      </c>
      <c r="AE142" s="366">
        <v>47</v>
      </c>
      <c r="AF142" s="366">
        <v>114</v>
      </c>
      <c r="AG142" s="366">
        <v>161</v>
      </c>
    </row>
    <row r="143" spans="1:33" x14ac:dyDescent="0.2">
      <c r="A143" s="359" t="s">
        <v>342</v>
      </c>
      <c r="B143" s="359" t="s">
        <v>343</v>
      </c>
      <c r="C143" s="366">
        <v>8818</v>
      </c>
      <c r="D143" s="366">
        <v>17</v>
      </c>
      <c r="E143" s="366">
        <v>460</v>
      </c>
      <c r="F143" s="366">
        <v>980</v>
      </c>
      <c r="G143" s="366">
        <v>978</v>
      </c>
      <c r="H143" s="363">
        <v>11253</v>
      </c>
      <c r="I143" s="363">
        <v>10275</v>
      </c>
      <c r="J143" s="366">
        <v>35</v>
      </c>
      <c r="K143" s="364">
        <v>96.32</v>
      </c>
      <c r="L143" s="364">
        <v>96.11</v>
      </c>
      <c r="M143" s="364">
        <v>3.29</v>
      </c>
      <c r="N143" s="364">
        <v>99.38</v>
      </c>
      <c r="O143" s="365">
        <v>7826</v>
      </c>
      <c r="P143" s="364">
        <v>95.12</v>
      </c>
      <c r="Q143" s="364">
        <v>84.68</v>
      </c>
      <c r="R143" s="364">
        <v>50.87</v>
      </c>
      <c r="S143" s="364">
        <v>145.32</v>
      </c>
      <c r="T143" s="365">
        <v>1300</v>
      </c>
      <c r="U143" s="364">
        <v>136.52000000000001</v>
      </c>
      <c r="V143" s="365">
        <v>830</v>
      </c>
      <c r="W143" s="364">
        <v>193.6</v>
      </c>
      <c r="X143" s="365">
        <v>55</v>
      </c>
      <c r="Y143" s="366">
        <v>68</v>
      </c>
      <c r="Z143" s="366">
        <v>2</v>
      </c>
      <c r="AA143" s="366">
        <v>0</v>
      </c>
      <c r="AB143" s="366">
        <v>116</v>
      </c>
      <c r="AC143" s="366">
        <v>13</v>
      </c>
      <c r="AD143" s="366">
        <v>8818</v>
      </c>
      <c r="AE143" s="366">
        <v>33</v>
      </c>
      <c r="AF143" s="366">
        <v>30</v>
      </c>
      <c r="AG143" s="366">
        <v>63</v>
      </c>
    </row>
    <row r="144" spans="1:33" x14ac:dyDescent="0.2">
      <c r="A144" s="359" t="s">
        <v>344</v>
      </c>
      <c r="B144" s="359" t="s">
        <v>345</v>
      </c>
      <c r="C144" s="366">
        <v>3026</v>
      </c>
      <c r="D144" s="366">
        <v>0</v>
      </c>
      <c r="E144" s="366">
        <v>307</v>
      </c>
      <c r="F144" s="366">
        <v>1561</v>
      </c>
      <c r="G144" s="366">
        <v>63</v>
      </c>
      <c r="H144" s="363">
        <v>4957</v>
      </c>
      <c r="I144" s="363">
        <v>4894</v>
      </c>
      <c r="J144" s="366">
        <v>3</v>
      </c>
      <c r="K144" s="364">
        <v>77.78</v>
      </c>
      <c r="L144" s="364">
        <v>76.13</v>
      </c>
      <c r="M144" s="364">
        <v>2.37</v>
      </c>
      <c r="N144" s="364">
        <v>79.05</v>
      </c>
      <c r="O144" s="365">
        <v>2916</v>
      </c>
      <c r="P144" s="364">
        <v>78.069999999999993</v>
      </c>
      <c r="Q144" s="364">
        <v>66.59</v>
      </c>
      <c r="R144" s="364">
        <v>26.17</v>
      </c>
      <c r="S144" s="364">
        <v>103.9</v>
      </c>
      <c r="T144" s="365">
        <v>1757</v>
      </c>
      <c r="U144" s="364">
        <v>93.7</v>
      </c>
      <c r="V144" s="365">
        <v>110</v>
      </c>
      <c r="W144" s="364">
        <v>252.28</v>
      </c>
      <c r="X144" s="365">
        <v>14</v>
      </c>
      <c r="Y144" s="366">
        <v>1</v>
      </c>
      <c r="Z144" s="366">
        <v>8</v>
      </c>
      <c r="AA144" s="366">
        <v>3</v>
      </c>
      <c r="AB144" s="366">
        <v>0</v>
      </c>
      <c r="AC144" s="366">
        <v>0</v>
      </c>
      <c r="AD144" s="366">
        <v>3026</v>
      </c>
      <c r="AE144" s="366">
        <v>18</v>
      </c>
      <c r="AF144" s="366">
        <v>3</v>
      </c>
      <c r="AG144" s="366">
        <v>21</v>
      </c>
    </row>
    <row r="145" spans="1:33" x14ac:dyDescent="0.2">
      <c r="A145" s="359" t="s">
        <v>346</v>
      </c>
      <c r="B145" s="359" t="s">
        <v>347</v>
      </c>
      <c r="C145" s="366">
        <v>3735</v>
      </c>
      <c r="D145" s="366">
        <v>0</v>
      </c>
      <c r="E145" s="366">
        <v>560</v>
      </c>
      <c r="F145" s="366">
        <v>711</v>
      </c>
      <c r="G145" s="366">
        <v>297</v>
      </c>
      <c r="H145" s="363">
        <v>5303</v>
      </c>
      <c r="I145" s="363">
        <v>5006</v>
      </c>
      <c r="J145" s="366">
        <v>0</v>
      </c>
      <c r="K145" s="364">
        <v>90.12</v>
      </c>
      <c r="L145" s="364">
        <v>90.22</v>
      </c>
      <c r="M145" s="364">
        <v>6.74</v>
      </c>
      <c r="N145" s="364">
        <v>95.28</v>
      </c>
      <c r="O145" s="365">
        <v>2992</v>
      </c>
      <c r="P145" s="364">
        <v>83.28</v>
      </c>
      <c r="Q145" s="364">
        <v>74.3</v>
      </c>
      <c r="R145" s="364">
        <v>63.72</v>
      </c>
      <c r="S145" s="364">
        <v>147</v>
      </c>
      <c r="T145" s="365">
        <v>1047</v>
      </c>
      <c r="U145" s="364">
        <v>104.88</v>
      </c>
      <c r="V145" s="365">
        <v>575</v>
      </c>
      <c r="W145" s="364">
        <v>103.17</v>
      </c>
      <c r="X145" s="365">
        <v>2</v>
      </c>
      <c r="Y145" s="366">
        <v>1</v>
      </c>
      <c r="Z145" s="366">
        <v>1</v>
      </c>
      <c r="AA145" s="366">
        <v>15</v>
      </c>
      <c r="AB145" s="366">
        <v>2</v>
      </c>
      <c r="AC145" s="366">
        <v>5</v>
      </c>
      <c r="AD145" s="366">
        <v>3606</v>
      </c>
      <c r="AE145" s="366">
        <v>16</v>
      </c>
      <c r="AF145" s="366">
        <v>28</v>
      </c>
      <c r="AG145" s="366">
        <v>44</v>
      </c>
    </row>
    <row r="146" spans="1:33" x14ac:dyDescent="0.2">
      <c r="A146" s="359" t="s">
        <v>348</v>
      </c>
      <c r="B146" s="359" t="s">
        <v>349</v>
      </c>
      <c r="C146" s="366">
        <v>6296</v>
      </c>
      <c r="D146" s="366">
        <v>0</v>
      </c>
      <c r="E146" s="366">
        <v>396</v>
      </c>
      <c r="F146" s="366">
        <v>638</v>
      </c>
      <c r="G146" s="366">
        <v>333</v>
      </c>
      <c r="H146" s="363">
        <v>7663</v>
      </c>
      <c r="I146" s="363">
        <v>7330</v>
      </c>
      <c r="J146" s="366">
        <v>214</v>
      </c>
      <c r="K146" s="364">
        <v>89.55</v>
      </c>
      <c r="L146" s="364">
        <v>87.65</v>
      </c>
      <c r="M146" s="364">
        <v>5.07</v>
      </c>
      <c r="N146" s="364">
        <v>92.59</v>
      </c>
      <c r="O146" s="365">
        <v>5450</v>
      </c>
      <c r="P146" s="364">
        <v>81.69</v>
      </c>
      <c r="Q146" s="364">
        <v>77.31</v>
      </c>
      <c r="R146" s="364">
        <v>40.99</v>
      </c>
      <c r="S146" s="364">
        <v>120.31</v>
      </c>
      <c r="T146" s="365">
        <v>983</v>
      </c>
      <c r="U146" s="364">
        <v>123.43</v>
      </c>
      <c r="V146" s="365">
        <v>323</v>
      </c>
      <c r="W146" s="364">
        <v>95.23</v>
      </c>
      <c r="X146" s="365">
        <v>12</v>
      </c>
      <c r="Y146" s="366">
        <v>0</v>
      </c>
      <c r="Z146" s="366">
        <v>3</v>
      </c>
      <c r="AA146" s="366">
        <v>1</v>
      </c>
      <c r="AB146" s="366">
        <v>0</v>
      </c>
      <c r="AC146" s="366">
        <v>5</v>
      </c>
      <c r="AD146" s="366">
        <v>5840</v>
      </c>
      <c r="AE146" s="366">
        <v>17</v>
      </c>
      <c r="AF146" s="366">
        <v>13</v>
      </c>
      <c r="AG146" s="366">
        <v>30</v>
      </c>
    </row>
    <row r="147" spans="1:33" x14ac:dyDescent="0.2">
      <c r="A147" s="359" t="s">
        <v>350</v>
      </c>
      <c r="B147" s="359" t="s">
        <v>351</v>
      </c>
      <c r="C147" s="366">
        <v>54</v>
      </c>
      <c r="D147" s="366">
        <v>0</v>
      </c>
      <c r="E147" s="366">
        <v>0</v>
      </c>
      <c r="F147" s="366">
        <v>7</v>
      </c>
      <c r="G147" s="366">
        <v>0</v>
      </c>
      <c r="H147" s="363">
        <v>61</v>
      </c>
      <c r="I147" s="363">
        <v>61</v>
      </c>
      <c r="J147" s="366">
        <v>0</v>
      </c>
      <c r="K147" s="364">
        <v>100.02</v>
      </c>
      <c r="L147" s="364">
        <v>104.92</v>
      </c>
      <c r="M147" s="364">
        <v>3.11</v>
      </c>
      <c r="N147" s="364">
        <v>101.29</v>
      </c>
      <c r="O147" s="365">
        <v>27</v>
      </c>
      <c r="P147" s="364">
        <v>96.99</v>
      </c>
      <c r="Q147" s="364">
        <v>88.17</v>
      </c>
      <c r="R147" s="364">
        <v>21.02</v>
      </c>
      <c r="S147" s="364">
        <v>118.01</v>
      </c>
      <c r="T147" s="365">
        <v>7</v>
      </c>
      <c r="U147" s="364">
        <v>117.01</v>
      </c>
      <c r="V147" s="365">
        <v>2</v>
      </c>
      <c r="W147" s="364">
        <v>0</v>
      </c>
      <c r="X147" s="365">
        <v>0</v>
      </c>
      <c r="Y147" s="366">
        <v>0</v>
      </c>
      <c r="Z147" s="366">
        <v>0</v>
      </c>
      <c r="AA147" s="366">
        <v>0</v>
      </c>
      <c r="AB147" s="366">
        <v>0</v>
      </c>
      <c r="AC147" s="366">
        <v>0</v>
      </c>
      <c r="AD147" s="366">
        <v>27</v>
      </c>
      <c r="AE147" s="366">
        <v>0</v>
      </c>
      <c r="AF147" s="366">
        <v>0</v>
      </c>
      <c r="AG147" s="366">
        <v>0</v>
      </c>
    </row>
    <row r="148" spans="1:33" x14ac:dyDescent="0.2">
      <c r="A148" s="359" t="s">
        <v>352</v>
      </c>
      <c r="B148" s="359" t="s">
        <v>353</v>
      </c>
      <c r="C148" s="366">
        <v>14096</v>
      </c>
      <c r="D148" s="366">
        <v>290</v>
      </c>
      <c r="E148" s="366">
        <v>1306</v>
      </c>
      <c r="F148" s="366">
        <v>741</v>
      </c>
      <c r="G148" s="366">
        <v>1367</v>
      </c>
      <c r="H148" s="363">
        <v>17800</v>
      </c>
      <c r="I148" s="363">
        <v>16433</v>
      </c>
      <c r="J148" s="366">
        <v>58</v>
      </c>
      <c r="K148" s="364">
        <v>128.61000000000001</v>
      </c>
      <c r="L148" s="364">
        <v>137.16999999999999</v>
      </c>
      <c r="M148" s="364">
        <v>14.15</v>
      </c>
      <c r="N148" s="364">
        <v>139.72</v>
      </c>
      <c r="O148" s="365">
        <v>12284</v>
      </c>
      <c r="P148" s="364">
        <v>117.4</v>
      </c>
      <c r="Q148" s="364">
        <v>117.21</v>
      </c>
      <c r="R148" s="364">
        <v>83.94</v>
      </c>
      <c r="S148" s="364">
        <v>198.54</v>
      </c>
      <c r="T148" s="365">
        <v>1648</v>
      </c>
      <c r="U148" s="364">
        <v>190.68</v>
      </c>
      <c r="V148" s="365">
        <v>525</v>
      </c>
      <c r="W148" s="364">
        <v>199.05</v>
      </c>
      <c r="X148" s="365">
        <v>7</v>
      </c>
      <c r="Y148" s="366">
        <v>1</v>
      </c>
      <c r="Z148" s="366">
        <v>1</v>
      </c>
      <c r="AA148" s="366">
        <v>40</v>
      </c>
      <c r="AB148" s="366">
        <v>24</v>
      </c>
      <c r="AC148" s="366">
        <v>30</v>
      </c>
      <c r="AD148" s="366">
        <v>13115</v>
      </c>
      <c r="AE148" s="366">
        <v>117</v>
      </c>
      <c r="AF148" s="366">
        <v>84</v>
      </c>
      <c r="AG148" s="366">
        <v>201</v>
      </c>
    </row>
    <row r="149" spans="1:33" x14ac:dyDescent="0.2">
      <c r="A149" s="359" t="s">
        <v>354</v>
      </c>
      <c r="B149" s="359" t="s">
        <v>355</v>
      </c>
      <c r="C149" s="366">
        <v>10859</v>
      </c>
      <c r="D149" s="366">
        <v>142</v>
      </c>
      <c r="E149" s="366">
        <v>1025</v>
      </c>
      <c r="F149" s="366">
        <v>913</v>
      </c>
      <c r="G149" s="366">
        <v>556</v>
      </c>
      <c r="H149" s="363">
        <v>13495</v>
      </c>
      <c r="I149" s="363">
        <v>12939</v>
      </c>
      <c r="J149" s="366">
        <v>110</v>
      </c>
      <c r="K149" s="364">
        <v>128.78</v>
      </c>
      <c r="L149" s="364">
        <v>150.66</v>
      </c>
      <c r="M149" s="364">
        <v>13.1</v>
      </c>
      <c r="N149" s="364">
        <v>137.71</v>
      </c>
      <c r="O149" s="365">
        <v>9415</v>
      </c>
      <c r="P149" s="364">
        <v>121.37</v>
      </c>
      <c r="Q149" s="364">
        <v>122.28</v>
      </c>
      <c r="R149" s="364">
        <v>63.61</v>
      </c>
      <c r="S149" s="364">
        <v>175.48</v>
      </c>
      <c r="T149" s="365">
        <v>1526</v>
      </c>
      <c r="U149" s="364">
        <v>213.31</v>
      </c>
      <c r="V149" s="365">
        <v>613</v>
      </c>
      <c r="W149" s="364">
        <v>190.43</v>
      </c>
      <c r="X149" s="365">
        <v>31</v>
      </c>
      <c r="Y149" s="366">
        <v>31</v>
      </c>
      <c r="Z149" s="366">
        <v>0</v>
      </c>
      <c r="AA149" s="366">
        <v>12</v>
      </c>
      <c r="AB149" s="366">
        <v>0</v>
      </c>
      <c r="AC149" s="366">
        <v>11</v>
      </c>
      <c r="AD149" s="366">
        <v>10043</v>
      </c>
      <c r="AE149" s="366">
        <v>45</v>
      </c>
      <c r="AF149" s="366">
        <v>266</v>
      </c>
      <c r="AG149" s="366">
        <v>311</v>
      </c>
    </row>
    <row r="150" spans="1:33" x14ac:dyDescent="0.2">
      <c r="A150" s="359" t="s">
        <v>356</v>
      </c>
      <c r="B150" s="359" t="s">
        <v>357</v>
      </c>
      <c r="C150" s="366">
        <v>8487</v>
      </c>
      <c r="D150" s="366">
        <v>9</v>
      </c>
      <c r="E150" s="366">
        <v>283</v>
      </c>
      <c r="F150" s="366">
        <v>912</v>
      </c>
      <c r="G150" s="366">
        <v>219</v>
      </c>
      <c r="H150" s="363">
        <v>9910</v>
      </c>
      <c r="I150" s="363">
        <v>9691</v>
      </c>
      <c r="J150" s="366">
        <v>108</v>
      </c>
      <c r="K150" s="364">
        <v>84.58</v>
      </c>
      <c r="L150" s="364">
        <v>84.47</v>
      </c>
      <c r="M150" s="364">
        <v>5.42</v>
      </c>
      <c r="N150" s="364">
        <v>86.55</v>
      </c>
      <c r="O150" s="365">
        <v>7750</v>
      </c>
      <c r="P150" s="364">
        <v>89.76</v>
      </c>
      <c r="Q150" s="364">
        <v>82.87</v>
      </c>
      <c r="R150" s="364">
        <v>27.97</v>
      </c>
      <c r="S150" s="364">
        <v>117.21</v>
      </c>
      <c r="T150" s="365">
        <v>1124</v>
      </c>
      <c r="U150" s="364">
        <v>108.72</v>
      </c>
      <c r="V150" s="365">
        <v>702</v>
      </c>
      <c r="W150" s="364">
        <v>91.97</v>
      </c>
      <c r="X150" s="365">
        <v>13</v>
      </c>
      <c r="Y150" s="366">
        <v>0</v>
      </c>
      <c r="Z150" s="366">
        <v>14</v>
      </c>
      <c r="AA150" s="366">
        <v>0</v>
      </c>
      <c r="AB150" s="366">
        <v>10</v>
      </c>
      <c r="AC150" s="366">
        <v>7</v>
      </c>
      <c r="AD150" s="366">
        <v>8472</v>
      </c>
      <c r="AE150" s="366">
        <v>49</v>
      </c>
      <c r="AF150" s="366">
        <v>121</v>
      </c>
      <c r="AG150" s="366">
        <v>170</v>
      </c>
    </row>
    <row r="151" spans="1:33" x14ac:dyDescent="0.2">
      <c r="A151" s="359" t="s">
        <v>358</v>
      </c>
      <c r="B151" s="359" t="s">
        <v>359</v>
      </c>
      <c r="C151" s="366">
        <v>7214</v>
      </c>
      <c r="D151" s="366">
        <v>0</v>
      </c>
      <c r="E151" s="366">
        <v>972</v>
      </c>
      <c r="F151" s="366">
        <v>1292</v>
      </c>
      <c r="G151" s="366">
        <v>337</v>
      </c>
      <c r="H151" s="363">
        <v>9815</v>
      </c>
      <c r="I151" s="363">
        <v>9478</v>
      </c>
      <c r="J151" s="366">
        <v>4</v>
      </c>
      <c r="K151" s="364">
        <v>83.03</v>
      </c>
      <c r="L151" s="364">
        <v>82.19</v>
      </c>
      <c r="M151" s="364">
        <v>6.01</v>
      </c>
      <c r="N151" s="364">
        <v>87.73</v>
      </c>
      <c r="O151" s="365">
        <v>6052</v>
      </c>
      <c r="P151" s="364">
        <v>80.25</v>
      </c>
      <c r="Q151" s="364">
        <v>75.209999999999994</v>
      </c>
      <c r="R151" s="364">
        <v>55.01</v>
      </c>
      <c r="S151" s="364">
        <v>131.82</v>
      </c>
      <c r="T151" s="365">
        <v>1694</v>
      </c>
      <c r="U151" s="364">
        <v>96.78</v>
      </c>
      <c r="V151" s="365">
        <v>972</v>
      </c>
      <c r="W151" s="364">
        <v>232</v>
      </c>
      <c r="X151" s="365">
        <v>30</v>
      </c>
      <c r="Y151" s="366">
        <v>2</v>
      </c>
      <c r="Z151" s="366">
        <v>7</v>
      </c>
      <c r="AA151" s="366">
        <v>0</v>
      </c>
      <c r="AB151" s="366">
        <v>22</v>
      </c>
      <c r="AC151" s="366">
        <v>2</v>
      </c>
      <c r="AD151" s="366">
        <v>6986</v>
      </c>
      <c r="AE151" s="366">
        <v>48</v>
      </c>
      <c r="AF151" s="366">
        <v>51</v>
      </c>
      <c r="AG151" s="366">
        <v>99</v>
      </c>
    </row>
    <row r="152" spans="1:33" x14ac:dyDescent="0.2">
      <c r="A152" s="359" t="s">
        <v>360</v>
      </c>
      <c r="B152" s="359" t="s">
        <v>361</v>
      </c>
      <c r="C152" s="366">
        <v>2179</v>
      </c>
      <c r="D152" s="366">
        <v>94</v>
      </c>
      <c r="E152" s="366">
        <v>304</v>
      </c>
      <c r="F152" s="366">
        <v>218</v>
      </c>
      <c r="G152" s="366">
        <v>447</v>
      </c>
      <c r="H152" s="363">
        <v>3242</v>
      </c>
      <c r="I152" s="363">
        <v>2795</v>
      </c>
      <c r="J152" s="366">
        <v>14</v>
      </c>
      <c r="K152" s="364">
        <v>130.28</v>
      </c>
      <c r="L152" s="364">
        <v>131.77000000000001</v>
      </c>
      <c r="M152" s="364">
        <v>10.210000000000001</v>
      </c>
      <c r="N152" s="364">
        <v>139.21</v>
      </c>
      <c r="O152" s="365">
        <v>1546</v>
      </c>
      <c r="P152" s="364">
        <v>129.22999999999999</v>
      </c>
      <c r="Q152" s="364">
        <v>104.21</v>
      </c>
      <c r="R152" s="364">
        <v>42.32</v>
      </c>
      <c r="S152" s="364">
        <v>171.55</v>
      </c>
      <c r="T152" s="365">
        <v>333</v>
      </c>
      <c r="U152" s="364">
        <v>223.87</v>
      </c>
      <c r="V152" s="365">
        <v>371</v>
      </c>
      <c r="W152" s="364">
        <v>0</v>
      </c>
      <c r="X152" s="365">
        <v>0</v>
      </c>
      <c r="Y152" s="366">
        <v>0</v>
      </c>
      <c r="Z152" s="366">
        <v>0</v>
      </c>
      <c r="AA152" s="366">
        <v>2</v>
      </c>
      <c r="AB152" s="366">
        <v>39</v>
      </c>
      <c r="AC152" s="366">
        <v>11</v>
      </c>
      <c r="AD152" s="366">
        <v>1914</v>
      </c>
      <c r="AE152" s="366">
        <v>10</v>
      </c>
      <c r="AF152" s="366">
        <v>26</v>
      </c>
      <c r="AG152" s="366">
        <v>36</v>
      </c>
    </row>
    <row r="153" spans="1:33" x14ac:dyDescent="0.2">
      <c r="A153" s="359" t="s">
        <v>362</v>
      </c>
      <c r="B153" s="359" t="s">
        <v>363</v>
      </c>
      <c r="C153" s="366">
        <v>4221</v>
      </c>
      <c r="D153" s="366">
        <v>3</v>
      </c>
      <c r="E153" s="366">
        <v>476</v>
      </c>
      <c r="F153" s="366">
        <v>1304</v>
      </c>
      <c r="G153" s="366">
        <v>395</v>
      </c>
      <c r="H153" s="363">
        <v>6399</v>
      </c>
      <c r="I153" s="363">
        <v>6004</v>
      </c>
      <c r="J153" s="366">
        <v>10</v>
      </c>
      <c r="K153" s="364">
        <v>85.86</v>
      </c>
      <c r="L153" s="364">
        <v>83.33</v>
      </c>
      <c r="M153" s="364">
        <v>4.3499999999999996</v>
      </c>
      <c r="N153" s="364">
        <v>89.16</v>
      </c>
      <c r="O153" s="365">
        <v>3520</v>
      </c>
      <c r="P153" s="364">
        <v>82.39</v>
      </c>
      <c r="Q153" s="364">
        <v>75.59</v>
      </c>
      <c r="R153" s="364">
        <v>41.62</v>
      </c>
      <c r="S153" s="364">
        <v>123.15</v>
      </c>
      <c r="T153" s="365">
        <v>1541</v>
      </c>
      <c r="U153" s="364">
        <v>97.21</v>
      </c>
      <c r="V153" s="365">
        <v>582</v>
      </c>
      <c r="W153" s="364">
        <v>110.16</v>
      </c>
      <c r="X153" s="365">
        <v>38</v>
      </c>
      <c r="Y153" s="366">
        <v>38</v>
      </c>
      <c r="Z153" s="366">
        <v>2</v>
      </c>
      <c r="AA153" s="366">
        <v>7</v>
      </c>
      <c r="AB153" s="366">
        <v>51</v>
      </c>
      <c r="AC153" s="366">
        <v>11</v>
      </c>
      <c r="AD153" s="366">
        <v>4209</v>
      </c>
      <c r="AE153" s="366">
        <v>28</v>
      </c>
      <c r="AF153" s="366">
        <v>6</v>
      </c>
      <c r="AG153" s="366">
        <v>34</v>
      </c>
    </row>
    <row r="154" spans="1:33" x14ac:dyDescent="0.2">
      <c r="A154" s="359" t="s">
        <v>364</v>
      </c>
      <c r="B154" s="359" t="s">
        <v>365</v>
      </c>
      <c r="C154" s="366">
        <v>16110</v>
      </c>
      <c r="D154" s="366">
        <v>0</v>
      </c>
      <c r="E154" s="366">
        <v>803</v>
      </c>
      <c r="F154" s="366">
        <v>1345</v>
      </c>
      <c r="G154" s="366">
        <v>463</v>
      </c>
      <c r="H154" s="363">
        <v>18721</v>
      </c>
      <c r="I154" s="363">
        <v>18258</v>
      </c>
      <c r="J154" s="366">
        <v>0</v>
      </c>
      <c r="K154" s="364">
        <v>84.93</v>
      </c>
      <c r="L154" s="364">
        <v>84.88</v>
      </c>
      <c r="M154" s="364">
        <v>11.74</v>
      </c>
      <c r="N154" s="364">
        <v>87.78</v>
      </c>
      <c r="O154" s="365">
        <v>14534</v>
      </c>
      <c r="P154" s="364">
        <v>86.13</v>
      </c>
      <c r="Q154" s="364">
        <v>75.349999999999994</v>
      </c>
      <c r="R154" s="364">
        <v>33.130000000000003</v>
      </c>
      <c r="S154" s="364">
        <v>118.44</v>
      </c>
      <c r="T154" s="365">
        <v>1586</v>
      </c>
      <c r="U154" s="364">
        <v>108.43</v>
      </c>
      <c r="V154" s="365">
        <v>1288</v>
      </c>
      <c r="W154" s="364">
        <v>154.49</v>
      </c>
      <c r="X154" s="365">
        <v>410</v>
      </c>
      <c r="Y154" s="366">
        <v>0</v>
      </c>
      <c r="Z154" s="366">
        <v>78</v>
      </c>
      <c r="AA154" s="366">
        <v>0</v>
      </c>
      <c r="AB154" s="366">
        <v>48</v>
      </c>
      <c r="AC154" s="366">
        <v>1</v>
      </c>
      <c r="AD154" s="366">
        <v>15948</v>
      </c>
      <c r="AE154" s="366">
        <v>67</v>
      </c>
      <c r="AF154" s="366">
        <v>242</v>
      </c>
      <c r="AG154" s="366">
        <v>309</v>
      </c>
    </row>
    <row r="155" spans="1:33" x14ac:dyDescent="0.2">
      <c r="A155" s="359" t="s">
        <v>366</v>
      </c>
      <c r="B155" s="359" t="s">
        <v>367</v>
      </c>
      <c r="C155" s="366">
        <v>21325</v>
      </c>
      <c r="D155" s="366">
        <v>183</v>
      </c>
      <c r="E155" s="366">
        <v>1913</v>
      </c>
      <c r="F155" s="366">
        <v>1412</v>
      </c>
      <c r="G155" s="366">
        <v>2331</v>
      </c>
      <c r="H155" s="363">
        <v>27164</v>
      </c>
      <c r="I155" s="363">
        <v>24833</v>
      </c>
      <c r="J155" s="366">
        <v>85</v>
      </c>
      <c r="K155" s="364">
        <v>119.78</v>
      </c>
      <c r="L155" s="364">
        <v>127.53</v>
      </c>
      <c r="M155" s="364">
        <v>15.13</v>
      </c>
      <c r="N155" s="364">
        <v>132.5</v>
      </c>
      <c r="O155" s="365">
        <v>18642</v>
      </c>
      <c r="P155" s="364">
        <v>112.15</v>
      </c>
      <c r="Q155" s="364">
        <v>107.66</v>
      </c>
      <c r="R155" s="364">
        <v>53.12</v>
      </c>
      <c r="S155" s="364">
        <v>161.66</v>
      </c>
      <c r="T155" s="365">
        <v>2825</v>
      </c>
      <c r="U155" s="364">
        <v>196.92</v>
      </c>
      <c r="V155" s="365">
        <v>1326</v>
      </c>
      <c r="W155" s="364">
        <v>270.22000000000003</v>
      </c>
      <c r="X155" s="365">
        <v>82</v>
      </c>
      <c r="Y155" s="366">
        <v>2</v>
      </c>
      <c r="Z155" s="366">
        <v>6</v>
      </c>
      <c r="AA155" s="366">
        <v>46</v>
      </c>
      <c r="AB155" s="366">
        <v>62</v>
      </c>
      <c r="AC155" s="366">
        <v>91</v>
      </c>
      <c r="AD155" s="366">
        <v>20181</v>
      </c>
      <c r="AE155" s="366">
        <v>150</v>
      </c>
      <c r="AF155" s="366">
        <v>87</v>
      </c>
      <c r="AG155" s="366">
        <v>237</v>
      </c>
    </row>
    <row r="156" spans="1:33" x14ac:dyDescent="0.2">
      <c r="A156" s="359" t="s">
        <v>368</v>
      </c>
      <c r="B156" s="359" t="s">
        <v>369</v>
      </c>
      <c r="C156" s="366">
        <v>1976</v>
      </c>
      <c r="D156" s="366">
        <v>0</v>
      </c>
      <c r="E156" s="366">
        <v>410</v>
      </c>
      <c r="F156" s="366">
        <v>524</v>
      </c>
      <c r="G156" s="366">
        <v>270</v>
      </c>
      <c r="H156" s="363">
        <v>3180</v>
      </c>
      <c r="I156" s="363">
        <v>2910</v>
      </c>
      <c r="J156" s="366">
        <v>1</v>
      </c>
      <c r="K156" s="364">
        <v>84.54</v>
      </c>
      <c r="L156" s="364">
        <v>81.209999999999994</v>
      </c>
      <c r="M156" s="364">
        <v>5.84</v>
      </c>
      <c r="N156" s="364">
        <v>89.63</v>
      </c>
      <c r="O156" s="365">
        <v>1269</v>
      </c>
      <c r="P156" s="364">
        <v>90.22</v>
      </c>
      <c r="Q156" s="364">
        <v>71.989999999999995</v>
      </c>
      <c r="R156" s="364">
        <v>66.010000000000005</v>
      </c>
      <c r="S156" s="364">
        <v>153.99</v>
      </c>
      <c r="T156" s="365">
        <v>768</v>
      </c>
      <c r="U156" s="364">
        <v>105.66</v>
      </c>
      <c r="V156" s="365">
        <v>635</v>
      </c>
      <c r="W156" s="364">
        <v>282.66000000000003</v>
      </c>
      <c r="X156" s="365">
        <v>32</v>
      </c>
      <c r="Y156" s="366">
        <v>0</v>
      </c>
      <c r="Z156" s="366">
        <v>1</v>
      </c>
      <c r="AA156" s="366">
        <v>2</v>
      </c>
      <c r="AB156" s="366">
        <v>3</v>
      </c>
      <c r="AC156" s="366">
        <v>4</v>
      </c>
      <c r="AD156" s="366">
        <v>1928</v>
      </c>
      <c r="AE156" s="366">
        <v>19</v>
      </c>
      <c r="AF156" s="366">
        <v>7</v>
      </c>
      <c r="AG156" s="366">
        <v>26</v>
      </c>
    </row>
    <row r="157" spans="1:33" x14ac:dyDescent="0.2">
      <c r="A157" s="359" t="s">
        <v>370</v>
      </c>
      <c r="B157" s="359" t="s">
        <v>371</v>
      </c>
      <c r="C157" s="366">
        <v>13324</v>
      </c>
      <c r="D157" s="366">
        <v>8</v>
      </c>
      <c r="E157" s="366">
        <v>1365</v>
      </c>
      <c r="F157" s="366">
        <v>2905</v>
      </c>
      <c r="G157" s="366">
        <v>1488</v>
      </c>
      <c r="H157" s="363">
        <v>19090</v>
      </c>
      <c r="I157" s="363">
        <v>17602</v>
      </c>
      <c r="J157" s="366">
        <v>19</v>
      </c>
      <c r="K157" s="364">
        <v>84.89</v>
      </c>
      <c r="L157" s="364">
        <v>83.16</v>
      </c>
      <c r="M157" s="364">
        <v>6.37</v>
      </c>
      <c r="N157" s="364">
        <v>88.9</v>
      </c>
      <c r="O157" s="365">
        <v>11031</v>
      </c>
      <c r="P157" s="364">
        <v>95.66</v>
      </c>
      <c r="Q157" s="364">
        <v>74.89</v>
      </c>
      <c r="R157" s="364">
        <v>50.36</v>
      </c>
      <c r="S157" s="364">
        <v>144.22</v>
      </c>
      <c r="T157" s="365">
        <v>3384</v>
      </c>
      <c r="U157" s="364">
        <v>108.45</v>
      </c>
      <c r="V157" s="365">
        <v>1437</v>
      </c>
      <c r="W157" s="364">
        <v>139.24</v>
      </c>
      <c r="X157" s="365">
        <v>52</v>
      </c>
      <c r="Y157" s="366">
        <v>32</v>
      </c>
      <c r="Z157" s="366">
        <v>5</v>
      </c>
      <c r="AA157" s="366">
        <v>28</v>
      </c>
      <c r="AB157" s="366">
        <v>144</v>
      </c>
      <c r="AC157" s="366">
        <v>37</v>
      </c>
      <c r="AD157" s="366">
        <v>12951</v>
      </c>
      <c r="AE157" s="366">
        <v>119</v>
      </c>
      <c r="AF157" s="366">
        <v>67</v>
      </c>
      <c r="AG157" s="366">
        <v>186</v>
      </c>
    </row>
    <row r="158" spans="1:33" x14ac:dyDescent="0.2">
      <c r="A158" s="359" t="s">
        <v>372</v>
      </c>
      <c r="B158" s="359" t="s">
        <v>373</v>
      </c>
      <c r="C158" s="366">
        <v>8970</v>
      </c>
      <c r="D158" s="366">
        <v>0</v>
      </c>
      <c r="E158" s="366">
        <v>996</v>
      </c>
      <c r="F158" s="366">
        <v>919</v>
      </c>
      <c r="G158" s="366">
        <v>573</v>
      </c>
      <c r="H158" s="363">
        <v>11458</v>
      </c>
      <c r="I158" s="363">
        <v>10885</v>
      </c>
      <c r="J158" s="366">
        <v>170</v>
      </c>
      <c r="K158" s="364">
        <v>84.64</v>
      </c>
      <c r="L158" s="364">
        <v>82.26</v>
      </c>
      <c r="M158" s="364">
        <v>8.7899999999999991</v>
      </c>
      <c r="N158" s="364">
        <v>90.62</v>
      </c>
      <c r="O158" s="365">
        <v>6991</v>
      </c>
      <c r="P158" s="364">
        <v>88.89</v>
      </c>
      <c r="Q158" s="364">
        <v>75.67</v>
      </c>
      <c r="R158" s="364">
        <v>69.13</v>
      </c>
      <c r="S158" s="364">
        <v>156.41</v>
      </c>
      <c r="T158" s="365">
        <v>1540</v>
      </c>
      <c r="U158" s="364">
        <v>112.1</v>
      </c>
      <c r="V158" s="365">
        <v>1093</v>
      </c>
      <c r="W158" s="364">
        <v>136.76</v>
      </c>
      <c r="X158" s="365">
        <v>86</v>
      </c>
      <c r="Y158" s="366">
        <v>15</v>
      </c>
      <c r="Z158" s="366">
        <v>10</v>
      </c>
      <c r="AA158" s="366">
        <v>3</v>
      </c>
      <c r="AB158" s="366">
        <v>28</v>
      </c>
      <c r="AC158" s="366">
        <v>18</v>
      </c>
      <c r="AD158" s="366">
        <v>8251</v>
      </c>
      <c r="AE158" s="366">
        <v>30</v>
      </c>
      <c r="AF158" s="366">
        <v>82</v>
      </c>
      <c r="AG158" s="366">
        <v>112</v>
      </c>
    </row>
    <row r="159" spans="1:33" x14ac:dyDescent="0.2">
      <c r="A159" s="359" t="s">
        <v>374</v>
      </c>
      <c r="B159" s="359" t="s">
        <v>375</v>
      </c>
      <c r="C159" s="366">
        <v>1091</v>
      </c>
      <c r="D159" s="366">
        <v>0</v>
      </c>
      <c r="E159" s="366">
        <v>174</v>
      </c>
      <c r="F159" s="366">
        <v>427</v>
      </c>
      <c r="G159" s="366">
        <v>330</v>
      </c>
      <c r="H159" s="363">
        <v>2022</v>
      </c>
      <c r="I159" s="363">
        <v>1692</v>
      </c>
      <c r="J159" s="366">
        <v>17</v>
      </c>
      <c r="K159" s="364">
        <v>95.03</v>
      </c>
      <c r="L159" s="364">
        <v>93.56</v>
      </c>
      <c r="M159" s="364">
        <v>6.44</v>
      </c>
      <c r="N159" s="364">
        <v>100.67</v>
      </c>
      <c r="O159" s="365">
        <v>864</v>
      </c>
      <c r="P159" s="364">
        <v>84.24</v>
      </c>
      <c r="Q159" s="364">
        <v>79.12</v>
      </c>
      <c r="R159" s="364">
        <v>55.97</v>
      </c>
      <c r="S159" s="364">
        <v>139.49</v>
      </c>
      <c r="T159" s="365">
        <v>312</v>
      </c>
      <c r="U159" s="364">
        <v>167.99</v>
      </c>
      <c r="V159" s="365">
        <v>203</v>
      </c>
      <c r="W159" s="364">
        <v>145.37</v>
      </c>
      <c r="X159" s="365">
        <v>9</v>
      </c>
      <c r="Y159" s="366">
        <v>22</v>
      </c>
      <c r="Z159" s="366">
        <v>1</v>
      </c>
      <c r="AA159" s="366">
        <v>0</v>
      </c>
      <c r="AB159" s="366">
        <v>30</v>
      </c>
      <c r="AC159" s="366">
        <v>6</v>
      </c>
      <c r="AD159" s="366">
        <v>1077</v>
      </c>
      <c r="AE159" s="366">
        <v>25</v>
      </c>
      <c r="AF159" s="366">
        <v>0</v>
      </c>
      <c r="AG159" s="366">
        <v>25</v>
      </c>
    </row>
    <row r="160" spans="1:33" x14ac:dyDescent="0.2">
      <c r="A160" s="359" t="s">
        <v>376</v>
      </c>
      <c r="B160" s="359" t="s">
        <v>377</v>
      </c>
      <c r="C160" s="366">
        <v>20896</v>
      </c>
      <c r="D160" s="366">
        <v>164</v>
      </c>
      <c r="E160" s="366">
        <v>1493</v>
      </c>
      <c r="F160" s="366">
        <v>685</v>
      </c>
      <c r="G160" s="366">
        <v>1963</v>
      </c>
      <c r="H160" s="363">
        <v>25201</v>
      </c>
      <c r="I160" s="363">
        <v>23238</v>
      </c>
      <c r="J160" s="366">
        <v>155</v>
      </c>
      <c r="K160" s="364">
        <v>110.96</v>
      </c>
      <c r="L160" s="364">
        <v>113.71</v>
      </c>
      <c r="M160" s="364">
        <v>10.78</v>
      </c>
      <c r="N160" s="364">
        <v>117.61</v>
      </c>
      <c r="O160" s="365">
        <v>18322</v>
      </c>
      <c r="P160" s="364">
        <v>108.19</v>
      </c>
      <c r="Q160" s="364">
        <v>104.14</v>
      </c>
      <c r="R160" s="364">
        <v>82.92</v>
      </c>
      <c r="S160" s="364">
        <v>187.23</v>
      </c>
      <c r="T160" s="365">
        <v>1706</v>
      </c>
      <c r="U160" s="364">
        <v>180.35</v>
      </c>
      <c r="V160" s="365">
        <v>1556</v>
      </c>
      <c r="W160" s="364">
        <v>280.63</v>
      </c>
      <c r="X160" s="365">
        <v>181</v>
      </c>
      <c r="Y160" s="366">
        <v>14</v>
      </c>
      <c r="Z160" s="366">
        <v>16</v>
      </c>
      <c r="AA160" s="366">
        <v>39</v>
      </c>
      <c r="AB160" s="366">
        <v>25</v>
      </c>
      <c r="AC160" s="366">
        <v>62</v>
      </c>
      <c r="AD160" s="366">
        <v>20022</v>
      </c>
      <c r="AE160" s="366">
        <v>192</v>
      </c>
      <c r="AF160" s="366">
        <v>100</v>
      </c>
      <c r="AG160" s="366">
        <v>292</v>
      </c>
    </row>
    <row r="161" spans="1:33" x14ac:dyDescent="0.2">
      <c r="A161" s="359" t="s">
        <v>378</v>
      </c>
      <c r="B161" s="359" t="s">
        <v>379</v>
      </c>
      <c r="C161" s="366">
        <v>5541</v>
      </c>
      <c r="D161" s="366">
        <v>15</v>
      </c>
      <c r="E161" s="366">
        <v>111</v>
      </c>
      <c r="F161" s="366">
        <v>268</v>
      </c>
      <c r="G161" s="366">
        <v>408</v>
      </c>
      <c r="H161" s="363">
        <v>6343</v>
      </c>
      <c r="I161" s="363">
        <v>5935</v>
      </c>
      <c r="J161" s="366">
        <v>1</v>
      </c>
      <c r="K161" s="364">
        <v>89.65</v>
      </c>
      <c r="L161" s="364">
        <v>86.03</v>
      </c>
      <c r="M161" s="364">
        <v>3.1</v>
      </c>
      <c r="N161" s="364">
        <v>91.93</v>
      </c>
      <c r="O161" s="365">
        <v>5017</v>
      </c>
      <c r="P161" s="364">
        <v>101.9</v>
      </c>
      <c r="Q161" s="364">
        <v>91.64</v>
      </c>
      <c r="R161" s="364">
        <v>35.909999999999997</v>
      </c>
      <c r="S161" s="364">
        <v>137.81</v>
      </c>
      <c r="T161" s="365">
        <v>378</v>
      </c>
      <c r="U161" s="364">
        <v>112.52</v>
      </c>
      <c r="V161" s="365">
        <v>516</v>
      </c>
      <c r="W161" s="364">
        <v>0</v>
      </c>
      <c r="X161" s="365">
        <v>0</v>
      </c>
      <c r="Y161" s="366">
        <v>0</v>
      </c>
      <c r="Z161" s="366">
        <v>8</v>
      </c>
      <c r="AA161" s="366">
        <v>7</v>
      </c>
      <c r="AB161" s="366">
        <v>57</v>
      </c>
      <c r="AC161" s="366">
        <v>8</v>
      </c>
      <c r="AD161" s="366">
        <v>5539</v>
      </c>
      <c r="AE161" s="366">
        <v>29</v>
      </c>
      <c r="AF161" s="366">
        <v>26</v>
      </c>
      <c r="AG161" s="366">
        <v>55</v>
      </c>
    </row>
    <row r="162" spans="1:33" x14ac:dyDescent="0.2">
      <c r="A162" s="359" t="s">
        <v>380</v>
      </c>
      <c r="B162" s="359" t="s">
        <v>381</v>
      </c>
      <c r="C162" s="366">
        <v>1332</v>
      </c>
      <c r="D162" s="366">
        <v>0</v>
      </c>
      <c r="E162" s="366">
        <v>462</v>
      </c>
      <c r="F162" s="366">
        <v>148</v>
      </c>
      <c r="G162" s="366">
        <v>303</v>
      </c>
      <c r="H162" s="363">
        <v>2245</v>
      </c>
      <c r="I162" s="363">
        <v>1942</v>
      </c>
      <c r="J162" s="366">
        <v>15</v>
      </c>
      <c r="K162" s="364">
        <v>81.459999999999994</v>
      </c>
      <c r="L162" s="364">
        <v>78.42</v>
      </c>
      <c r="M162" s="364">
        <v>9.36</v>
      </c>
      <c r="N162" s="364">
        <v>88.52</v>
      </c>
      <c r="O162" s="365">
        <v>1018</v>
      </c>
      <c r="P162" s="364">
        <v>91.55</v>
      </c>
      <c r="Q162" s="364">
        <v>80.44</v>
      </c>
      <c r="R162" s="364">
        <v>113.79</v>
      </c>
      <c r="S162" s="364">
        <v>205.34</v>
      </c>
      <c r="T162" s="365">
        <v>281</v>
      </c>
      <c r="U162" s="364">
        <v>101.94</v>
      </c>
      <c r="V162" s="365">
        <v>214</v>
      </c>
      <c r="W162" s="364">
        <v>299.22000000000003</v>
      </c>
      <c r="X162" s="365">
        <v>31</v>
      </c>
      <c r="Y162" s="366">
        <v>15</v>
      </c>
      <c r="Z162" s="366">
        <v>0</v>
      </c>
      <c r="AA162" s="366">
        <v>0</v>
      </c>
      <c r="AB162" s="366">
        <v>103</v>
      </c>
      <c r="AC162" s="366">
        <v>6</v>
      </c>
      <c r="AD162" s="366">
        <v>1299</v>
      </c>
      <c r="AE162" s="366">
        <v>15</v>
      </c>
      <c r="AF162" s="366">
        <v>9</v>
      </c>
      <c r="AG162" s="366">
        <v>24</v>
      </c>
    </row>
    <row r="163" spans="1:33" x14ac:dyDescent="0.2">
      <c r="A163" s="359" t="s">
        <v>382</v>
      </c>
      <c r="B163" s="359" t="s">
        <v>383</v>
      </c>
      <c r="C163" s="366">
        <v>52156</v>
      </c>
      <c r="D163" s="366">
        <v>13</v>
      </c>
      <c r="E163" s="366">
        <v>2435</v>
      </c>
      <c r="F163" s="366">
        <v>3782</v>
      </c>
      <c r="G163" s="366">
        <v>848</v>
      </c>
      <c r="H163" s="363">
        <v>59234</v>
      </c>
      <c r="I163" s="363">
        <v>58386</v>
      </c>
      <c r="J163" s="366">
        <v>35</v>
      </c>
      <c r="K163" s="364">
        <v>84.51</v>
      </c>
      <c r="L163" s="364">
        <v>83.26</v>
      </c>
      <c r="M163" s="364">
        <v>9.6300000000000008</v>
      </c>
      <c r="N163" s="364">
        <v>87.13</v>
      </c>
      <c r="O163" s="365">
        <v>43600</v>
      </c>
      <c r="P163" s="364">
        <v>87.26</v>
      </c>
      <c r="Q163" s="364">
        <v>76.47</v>
      </c>
      <c r="R163" s="364">
        <v>48.83</v>
      </c>
      <c r="S163" s="364">
        <v>134.78</v>
      </c>
      <c r="T163" s="365">
        <v>4941</v>
      </c>
      <c r="U163" s="364">
        <v>103.68</v>
      </c>
      <c r="V163" s="365">
        <v>5805</v>
      </c>
      <c r="W163" s="364">
        <v>145.62</v>
      </c>
      <c r="X163" s="365">
        <v>136</v>
      </c>
      <c r="Y163" s="366">
        <v>0</v>
      </c>
      <c r="Z163" s="366">
        <v>146</v>
      </c>
      <c r="AA163" s="366">
        <v>20</v>
      </c>
      <c r="AB163" s="366">
        <v>16</v>
      </c>
      <c r="AC163" s="366">
        <v>17</v>
      </c>
      <c r="AD163" s="366">
        <v>49588</v>
      </c>
      <c r="AE163" s="366">
        <v>242</v>
      </c>
      <c r="AF163" s="366">
        <v>330</v>
      </c>
      <c r="AG163" s="366">
        <v>572</v>
      </c>
    </row>
    <row r="164" spans="1:33" x14ac:dyDescent="0.2">
      <c r="A164" s="359" t="s">
        <v>384</v>
      </c>
      <c r="B164" s="359" t="s">
        <v>385</v>
      </c>
      <c r="C164" s="366">
        <v>3925</v>
      </c>
      <c r="D164" s="366">
        <v>171</v>
      </c>
      <c r="E164" s="366">
        <v>378</v>
      </c>
      <c r="F164" s="366">
        <v>392</v>
      </c>
      <c r="G164" s="366">
        <v>317</v>
      </c>
      <c r="H164" s="363">
        <v>5183</v>
      </c>
      <c r="I164" s="363">
        <v>4866</v>
      </c>
      <c r="J164" s="366">
        <v>2</v>
      </c>
      <c r="K164" s="364">
        <v>101.95</v>
      </c>
      <c r="L164" s="364">
        <v>101.25</v>
      </c>
      <c r="M164" s="364">
        <v>6.46</v>
      </c>
      <c r="N164" s="364">
        <v>106.78</v>
      </c>
      <c r="O164" s="365">
        <v>2794</v>
      </c>
      <c r="P164" s="364">
        <v>101.83</v>
      </c>
      <c r="Q164" s="364">
        <v>97.26</v>
      </c>
      <c r="R164" s="364">
        <v>48.83</v>
      </c>
      <c r="S164" s="364">
        <v>148.97</v>
      </c>
      <c r="T164" s="365">
        <v>433</v>
      </c>
      <c r="U164" s="364">
        <v>143.35</v>
      </c>
      <c r="V164" s="365">
        <v>624</v>
      </c>
      <c r="W164" s="364">
        <v>139.29</v>
      </c>
      <c r="X164" s="365">
        <v>13</v>
      </c>
      <c r="Y164" s="366">
        <v>16</v>
      </c>
      <c r="Z164" s="366">
        <v>4</v>
      </c>
      <c r="AA164" s="366">
        <v>2</v>
      </c>
      <c r="AB164" s="366">
        <v>61</v>
      </c>
      <c r="AC164" s="366">
        <v>3</v>
      </c>
      <c r="AD164" s="366">
        <v>3550</v>
      </c>
      <c r="AE164" s="366">
        <v>12</v>
      </c>
      <c r="AF164" s="366">
        <v>7</v>
      </c>
      <c r="AG164" s="366">
        <v>19</v>
      </c>
    </row>
    <row r="165" spans="1:33" x14ac:dyDescent="0.2">
      <c r="A165" s="359" t="s">
        <v>386</v>
      </c>
      <c r="B165" s="359" t="s">
        <v>387</v>
      </c>
      <c r="C165" s="366">
        <v>8150</v>
      </c>
      <c r="D165" s="366">
        <v>0</v>
      </c>
      <c r="E165" s="366">
        <v>299</v>
      </c>
      <c r="F165" s="366">
        <v>1149</v>
      </c>
      <c r="G165" s="366">
        <v>1157</v>
      </c>
      <c r="H165" s="363">
        <v>10755</v>
      </c>
      <c r="I165" s="363">
        <v>9598</v>
      </c>
      <c r="J165" s="366">
        <v>41</v>
      </c>
      <c r="K165" s="364">
        <v>97.5</v>
      </c>
      <c r="L165" s="364">
        <v>96.38</v>
      </c>
      <c r="M165" s="364">
        <v>7.33</v>
      </c>
      <c r="N165" s="364">
        <v>103.13</v>
      </c>
      <c r="O165" s="365">
        <v>6032</v>
      </c>
      <c r="P165" s="364">
        <v>89.59</v>
      </c>
      <c r="Q165" s="364">
        <v>86.61</v>
      </c>
      <c r="R165" s="364">
        <v>22.33</v>
      </c>
      <c r="S165" s="364">
        <v>111.19</v>
      </c>
      <c r="T165" s="365">
        <v>1257</v>
      </c>
      <c r="U165" s="364">
        <v>161.1</v>
      </c>
      <c r="V165" s="365">
        <v>1760</v>
      </c>
      <c r="W165" s="364">
        <v>199.75</v>
      </c>
      <c r="X165" s="365">
        <v>70</v>
      </c>
      <c r="Y165" s="366">
        <v>94</v>
      </c>
      <c r="Z165" s="366">
        <v>6</v>
      </c>
      <c r="AA165" s="366">
        <v>0</v>
      </c>
      <c r="AB165" s="366">
        <v>199</v>
      </c>
      <c r="AC165" s="366">
        <v>19</v>
      </c>
      <c r="AD165" s="366">
        <v>7702</v>
      </c>
      <c r="AE165" s="366">
        <v>81</v>
      </c>
      <c r="AF165" s="366">
        <v>8</v>
      </c>
      <c r="AG165" s="366">
        <v>89</v>
      </c>
    </row>
    <row r="166" spans="1:33" x14ac:dyDescent="0.2">
      <c r="A166" s="359" t="s">
        <v>388</v>
      </c>
      <c r="B166" s="359" t="s">
        <v>389</v>
      </c>
      <c r="C166" s="366">
        <v>2391</v>
      </c>
      <c r="D166" s="366">
        <v>0</v>
      </c>
      <c r="E166" s="366">
        <v>32</v>
      </c>
      <c r="F166" s="366">
        <v>811</v>
      </c>
      <c r="G166" s="366">
        <v>170</v>
      </c>
      <c r="H166" s="363">
        <v>3404</v>
      </c>
      <c r="I166" s="363">
        <v>3234</v>
      </c>
      <c r="J166" s="366">
        <v>0</v>
      </c>
      <c r="K166" s="364">
        <v>104.35</v>
      </c>
      <c r="L166" s="364">
        <v>103.6</v>
      </c>
      <c r="M166" s="364">
        <v>4.3899999999999997</v>
      </c>
      <c r="N166" s="364">
        <v>107.08</v>
      </c>
      <c r="O166" s="365">
        <v>1943</v>
      </c>
      <c r="P166" s="364">
        <v>88.04</v>
      </c>
      <c r="Q166" s="364">
        <v>87.41</v>
      </c>
      <c r="R166" s="364">
        <v>14.81</v>
      </c>
      <c r="S166" s="364">
        <v>102.43</v>
      </c>
      <c r="T166" s="365">
        <v>765</v>
      </c>
      <c r="U166" s="364">
        <v>143.49</v>
      </c>
      <c r="V166" s="365">
        <v>435</v>
      </c>
      <c r="W166" s="364">
        <v>114.76</v>
      </c>
      <c r="X166" s="365">
        <v>1</v>
      </c>
      <c r="Y166" s="366">
        <v>0</v>
      </c>
      <c r="Z166" s="366">
        <v>1</v>
      </c>
      <c r="AA166" s="366">
        <v>0</v>
      </c>
      <c r="AB166" s="366">
        <v>37</v>
      </c>
      <c r="AC166" s="366">
        <v>1</v>
      </c>
      <c r="AD166" s="366">
        <v>2378</v>
      </c>
      <c r="AE166" s="366">
        <v>30</v>
      </c>
      <c r="AF166" s="366">
        <v>15</v>
      </c>
      <c r="AG166" s="366">
        <v>45</v>
      </c>
    </row>
    <row r="167" spans="1:33" x14ac:dyDescent="0.2">
      <c r="A167" s="359" t="s">
        <v>390</v>
      </c>
      <c r="B167" s="359" t="s">
        <v>391</v>
      </c>
      <c r="C167" s="366">
        <v>4483</v>
      </c>
      <c r="D167" s="366">
        <v>0</v>
      </c>
      <c r="E167" s="366">
        <v>65</v>
      </c>
      <c r="F167" s="366">
        <v>594</v>
      </c>
      <c r="G167" s="366">
        <v>433</v>
      </c>
      <c r="H167" s="363">
        <v>5575</v>
      </c>
      <c r="I167" s="363">
        <v>5142</v>
      </c>
      <c r="J167" s="366">
        <v>1</v>
      </c>
      <c r="K167" s="364">
        <v>97.41</v>
      </c>
      <c r="L167" s="364">
        <v>97.14</v>
      </c>
      <c r="M167" s="364">
        <v>4.0199999999999996</v>
      </c>
      <c r="N167" s="364">
        <v>101.09</v>
      </c>
      <c r="O167" s="365">
        <v>4051</v>
      </c>
      <c r="P167" s="364">
        <v>91.2</v>
      </c>
      <c r="Q167" s="364">
        <v>92.34</v>
      </c>
      <c r="R167" s="364">
        <v>30.54</v>
      </c>
      <c r="S167" s="364">
        <v>121.48</v>
      </c>
      <c r="T167" s="365">
        <v>599</v>
      </c>
      <c r="U167" s="364">
        <v>115.71</v>
      </c>
      <c r="V167" s="365">
        <v>343</v>
      </c>
      <c r="W167" s="364">
        <v>191.87</v>
      </c>
      <c r="X167" s="365">
        <v>60</v>
      </c>
      <c r="Y167" s="366">
        <v>0</v>
      </c>
      <c r="Z167" s="366">
        <v>3</v>
      </c>
      <c r="AA167" s="366">
        <v>1</v>
      </c>
      <c r="AB167" s="366">
        <v>64</v>
      </c>
      <c r="AC167" s="366">
        <v>4</v>
      </c>
      <c r="AD167" s="366">
        <v>4464</v>
      </c>
      <c r="AE167" s="366">
        <v>30</v>
      </c>
      <c r="AF167" s="366">
        <v>8</v>
      </c>
      <c r="AG167" s="366">
        <v>38</v>
      </c>
    </row>
    <row r="168" spans="1:33" x14ac:dyDescent="0.2">
      <c r="A168" s="359" t="s">
        <v>392</v>
      </c>
      <c r="B168" s="359" t="s">
        <v>393</v>
      </c>
      <c r="C168" s="366">
        <v>46153</v>
      </c>
      <c r="D168" s="366">
        <v>157</v>
      </c>
      <c r="E168" s="366">
        <v>1768</v>
      </c>
      <c r="F168" s="366">
        <v>3165</v>
      </c>
      <c r="G168" s="366">
        <v>1506</v>
      </c>
      <c r="H168" s="363">
        <v>52749</v>
      </c>
      <c r="I168" s="363">
        <v>51243</v>
      </c>
      <c r="J168" s="366">
        <v>12</v>
      </c>
      <c r="K168" s="364">
        <v>82.14</v>
      </c>
      <c r="L168" s="364">
        <v>82.94</v>
      </c>
      <c r="M168" s="364">
        <v>5.33</v>
      </c>
      <c r="N168" s="364">
        <v>84.24</v>
      </c>
      <c r="O168" s="365">
        <v>42180</v>
      </c>
      <c r="P168" s="364">
        <v>80.38</v>
      </c>
      <c r="Q168" s="364">
        <v>75.2</v>
      </c>
      <c r="R168" s="364">
        <v>46.48</v>
      </c>
      <c r="S168" s="364">
        <v>124.67</v>
      </c>
      <c r="T168" s="365">
        <v>4516</v>
      </c>
      <c r="U168" s="364">
        <v>111.99</v>
      </c>
      <c r="V168" s="365">
        <v>3120</v>
      </c>
      <c r="W168" s="364">
        <v>132.69999999999999</v>
      </c>
      <c r="X168" s="365">
        <v>104</v>
      </c>
      <c r="Y168" s="366">
        <v>6</v>
      </c>
      <c r="Z168" s="366">
        <v>133</v>
      </c>
      <c r="AA168" s="366">
        <v>7</v>
      </c>
      <c r="AB168" s="366">
        <v>110</v>
      </c>
      <c r="AC168" s="366">
        <v>27</v>
      </c>
      <c r="AD168" s="366">
        <v>45628</v>
      </c>
      <c r="AE168" s="366">
        <v>369</v>
      </c>
      <c r="AF168" s="366">
        <v>172</v>
      </c>
      <c r="AG168" s="366">
        <v>541</v>
      </c>
    </row>
    <row r="169" spans="1:33" x14ac:dyDescent="0.2">
      <c r="A169" s="359" t="s">
        <v>394</v>
      </c>
      <c r="B169" s="359" t="s">
        <v>395</v>
      </c>
      <c r="C169" s="366">
        <v>1731</v>
      </c>
      <c r="D169" s="366">
        <v>0</v>
      </c>
      <c r="E169" s="366">
        <v>359</v>
      </c>
      <c r="F169" s="366">
        <v>232</v>
      </c>
      <c r="G169" s="366">
        <v>131</v>
      </c>
      <c r="H169" s="363">
        <v>2453</v>
      </c>
      <c r="I169" s="363">
        <v>2322</v>
      </c>
      <c r="J169" s="366">
        <v>10</v>
      </c>
      <c r="K169" s="364">
        <v>82.49</v>
      </c>
      <c r="L169" s="364">
        <v>80.14</v>
      </c>
      <c r="M169" s="364">
        <v>5.89</v>
      </c>
      <c r="N169" s="364">
        <v>85.43</v>
      </c>
      <c r="O169" s="365">
        <v>1626</v>
      </c>
      <c r="P169" s="364">
        <v>109.97</v>
      </c>
      <c r="Q169" s="364">
        <v>77.650000000000006</v>
      </c>
      <c r="R169" s="364">
        <v>91.26</v>
      </c>
      <c r="S169" s="364">
        <v>200.07</v>
      </c>
      <c r="T169" s="365">
        <v>394</v>
      </c>
      <c r="U169" s="364">
        <v>97.9</v>
      </c>
      <c r="V169" s="365">
        <v>100</v>
      </c>
      <c r="W169" s="364">
        <v>0</v>
      </c>
      <c r="X169" s="365">
        <v>0</v>
      </c>
      <c r="Y169" s="366">
        <v>0</v>
      </c>
      <c r="Z169" s="366">
        <v>1</v>
      </c>
      <c r="AA169" s="366">
        <v>11</v>
      </c>
      <c r="AB169" s="366">
        <v>8</v>
      </c>
      <c r="AC169" s="366">
        <v>4</v>
      </c>
      <c r="AD169" s="366">
        <v>1718</v>
      </c>
      <c r="AE169" s="366">
        <v>3</v>
      </c>
      <c r="AF169" s="366">
        <v>10</v>
      </c>
      <c r="AG169" s="366">
        <v>13</v>
      </c>
    </row>
    <row r="170" spans="1:33" x14ac:dyDescent="0.2">
      <c r="A170" s="359" t="s">
        <v>396</v>
      </c>
      <c r="B170" s="359" t="s">
        <v>397</v>
      </c>
      <c r="C170" s="366">
        <v>4000</v>
      </c>
      <c r="D170" s="366">
        <v>1</v>
      </c>
      <c r="E170" s="366">
        <v>375</v>
      </c>
      <c r="F170" s="366">
        <v>897</v>
      </c>
      <c r="G170" s="366">
        <v>1430</v>
      </c>
      <c r="H170" s="363">
        <v>6703</v>
      </c>
      <c r="I170" s="363">
        <v>5273</v>
      </c>
      <c r="J170" s="366">
        <v>192</v>
      </c>
      <c r="K170" s="364">
        <v>101.21</v>
      </c>
      <c r="L170" s="364">
        <v>97.98</v>
      </c>
      <c r="M170" s="364">
        <v>8.1</v>
      </c>
      <c r="N170" s="364">
        <v>107.8</v>
      </c>
      <c r="O170" s="365">
        <v>2841</v>
      </c>
      <c r="P170" s="364">
        <v>96.44</v>
      </c>
      <c r="Q170" s="364">
        <v>86.14</v>
      </c>
      <c r="R170" s="364">
        <v>41.77</v>
      </c>
      <c r="S170" s="364">
        <v>137.85</v>
      </c>
      <c r="T170" s="365">
        <v>1034</v>
      </c>
      <c r="U170" s="364">
        <v>133.47999999999999</v>
      </c>
      <c r="V170" s="365">
        <v>807</v>
      </c>
      <c r="W170" s="364">
        <v>175.66</v>
      </c>
      <c r="X170" s="365">
        <v>61</v>
      </c>
      <c r="Y170" s="366">
        <v>0</v>
      </c>
      <c r="Z170" s="366">
        <v>0</v>
      </c>
      <c r="AA170" s="366">
        <v>2</v>
      </c>
      <c r="AB170" s="366">
        <v>57</v>
      </c>
      <c r="AC170" s="366">
        <v>20</v>
      </c>
      <c r="AD170" s="366">
        <v>3612</v>
      </c>
      <c r="AE170" s="366">
        <v>37</v>
      </c>
      <c r="AF170" s="366">
        <v>18</v>
      </c>
      <c r="AG170" s="366">
        <v>55</v>
      </c>
    </row>
    <row r="171" spans="1:33" x14ac:dyDescent="0.2">
      <c r="A171" s="359" t="s">
        <v>398</v>
      </c>
      <c r="B171" s="359" t="s">
        <v>399</v>
      </c>
      <c r="C171" s="366">
        <v>625</v>
      </c>
      <c r="D171" s="366">
        <v>0</v>
      </c>
      <c r="E171" s="366">
        <v>39</v>
      </c>
      <c r="F171" s="366">
        <v>77</v>
      </c>
      <c r="G171" s="366">
        <v>228</v>
      </c>
      <c r="H171" s="363">
        <v>969</v>
      </c>
      <c r="I171" s="363">
        <v>741</v>
      </c>
      <c r="J171" s="366">
        <v>0</v>
      </c>
      <c r="K171" s="364">
        <v>93.26</v>
      </c>
      <c r="L171" s="364">
        <v>90.35</v>
      </c>
      <c r="M171" s="364">
        <v>2.74</v>
      </c>
      <c r="N171" s="364">
        <v>95.39</v>
      </c>
      <c r="O171" s="365">
        <v>399</v>
      </c>
      <c r="P171" s="364">
        <v>92.77</v>
      </c>
      <c r="Q171" s="364">
        <v>84.73</v>
      </c>
      <c r="R171" s="364">
        <v>75.73</v>
      </c>
      <c r="S171" s="364">
        <v>167.19</v>
      </c>
      <c r="T171" s="365">
        <v>116</v>
      </c>
      <c r="U171" s="364">
        <v>108.14</v>
      </c>
      <c r="V171" s="365">
        <v>205</v>
      </c>
      <c r="W171" s="364">
        <v>0</v>
      </c>
      <c r="X171" s="365">
        <v>0</v>
      </c>
      <c r="Y171" s="366">
        <v>0</v>
      </c>
      <c r="Z171" s="366">
        <v>0</v>
      </c>
      <c r="AA171" s="366">
        <v>10</v>
      </c>
      <c r="AB171" s="366">
        <v>24</v>
      </c>
      <c r="AC171" s="366">
        <v>2</v>
      </c>
      <c r="AD171" s="366">
        <v>624</v>
      </c>
      <c r="AE171" s="366">
        <v>1</v>
      </c>
      <c r="AF171" s="366">
        <v>0</v>
      </c>
      <c r="AG171" s="366">
        <v>1</v>
      </c>
    </row>
    <row r="172" spans="1:33" x14ac:dyDescent="0.2">
      <c r="A172" s="359" t="s">
        <v>400</v>
      </c>
      <c r="B172" s="359" t="s">
        <v>401</v>
      </c>
      <c r="C172" s="366">
        <v>5159</v>
      </c>
      <c r="D172" s="366">
        <v>0</v>
      </c>
      <c r="E172" s="366">
        <v>286</v>
      </c>
      <c r="F172" s="366">
        <v>1011</v>
      </c>
      <c r="G172" s="366">
        <v>571</v>
      </c>
      <c r="H172" s="363">
        <v>7027</v>
      </c>
      <c r="I172" s="363">
        <v>6456</v>
      </c>
      <c r="J172" s="366">
        <v>84</v>
      </c>
      <c r="K172" s="364">
        <v>94.28</v>
      </c>
      <c r="L172" s="364">
        <v>93.41</v>
      </c>
      <c r="M172" s="364">
        <v>4.24</v>
      </c>
      <c r="N172" s="364">
        <v>96.45</v>
      </c>
      <c r="O172" s="365">
        <v>4316</v>
      </c>
      <c r="P172" s="364">
        <v>87.44</v>
      </c>
      <c r="Q172" s="364">
        <v>84.43</v>
      </c>
      <c r="R172" s="364">
        <v>32.880000000000003</v>
      </c>
      <c r="S172" s="364">
        <v>120.14</v>
      </c>
      <c r="T172" s="365">
        <v>1092</v>
      </c>
      <c r="U172" s="364">
        <v>118.06</v>
      </c>
      <c r="V172" s="365">
        <v>746</v>
      </c>
      <c r="W172" s="364">
        <v>108.23</v>
      </c>
      <c r="X172" s="365">
        <v>49</v>
      </c>
      <c r="Y172" s="366">
        <v>0</v>
      </c>
      <c r="Z172" s="366">
        <v>12</v>
      </c>
      <c r="AA172" s="366">
        <v>28</v>
      </c>
      <c r="AB172" s="366">
        <v>45</v>
      </c>
      <c r="AC172" s="366">
        <v>7</v>
      </c>
      <c r="AD172" s="366">
        <v>5065</v>
      </c>
      <c r="AE172" s="366">
        <v>11</v>
      </c>
      <c r="AF172" s="366">
        <v>31</v>
      </c>
      <c r="AG172" s="366">
        <v>42</v>
      </c>
    </row>
    <row r="173" spans="1:33" x14ac:dyDescent="0.2">
      <c r="A173" s="359" t="s">
        <v>402</v>
      </c>
      <c r="B173" s="359" t="s">
        <v>403</v>
      </c>
      <c r="C173" s="366">
        <v>10288</v>
      </c>
      <c r="D173" s="366">
        <v>23</v>
      </c>
      <c r="E173" s="366">
        <v>406</v>
      </c>
      <c r="F173" s="366">
        <v>790</v>
      </c>
      <c r="G173" s="366">
        <v>879</v>
      </c>
      <c r="H173" s="363">
        <v>12386</v>
      </c>
      <c r="I173" s="363">
        <v>11507</v>
      </c>
      <c r="J173" s="366">
        <v>118</v>
      </c>
      <c r="K173" s="364">
        <v>117.14</v>
      </c>
      <c r="L173" s="364">
        <v>115.74</v>
      </c>
      <c r="M173" s="364">
        <v>9.66</v>
      </c>
      <c r="N173" s="364">
        <v>123.53</v>
      </c>
      <c r="O173" s="365">
        <v>9041</v>
      </c>
      <c r="P173" s="364">
        <v>108.72</v>
      </c>
      <c r="Q173" s="364">
        <v>103.23</v>
      </c>
      <c r="R173" s="364">
        <v>38.11</v>
      </c>
      <c r="S173" s="364">
        <v>145.6</v>
      </c>
      <c r="T173" s="365">
        <v>896</v>
      </c>
      <c r="U173" s="364">
        <v>161.96</v>
      </c>
      <c r="V173" s="365">
        <v>1070</v>
      </c>
      <c r="W173" s="364">
        <v>268.56</v>
      </c>
      <c r="X173" s="365">
        <v>37</v>
      </c>
      <c r="Y173" s="366">
        <v>0</v>
      </c>
      <c r="Z173" s="366">
        <v>15</v>
      </c>
      <c r="AA173" s="366">
        <v>6</v>
      </c>
      <c r="AB173" s="366">
        <v>91</v>
      </c>
      <c r="AC173" s="366">
        <v>29</v>
      </c>
      <c r="AD173" s="366">
        <v>10199</v>
      </c>
      <c r="AE173" s="366">
        <v>63</v>
      </c>
      <c r="AF173" s="366">
        <v>82</v>
      </c>
      <c r="AG173" s="366">
        <v>145</v>
      </c>
    </row>
    <row r="174" spans="1:33" x14ac:dyDescent="0.2">
      <c r="A174" s="359" t="s">
        <v>404</v>
      </c>
      <c r="B174" s="359" t="s">
        <v>405</v>
      </c>
      <c r="C174" s="366">
        <v>1205</v>
      </c>
      <c r="D174" s="366">
        <v>0</v>
      </c>
      <c r="E174" s="366">
        <v>34</v>
      </c>
      <c r="F174" s="366">
        <v>283</v>
      </c>
      <c r="G174" s="366">
        <v>283</v>
      </c>
      <c r="H174" s="363">
        <v>1805</v>
      </c>
      <c r="I174" s="363">
        <v>1522</v>
      </c>
      <c r="J174" s="366">
        <v>0</v>
      </c>
      <c r="K174" s="364">
        <v>88.54</v>
      </c>
      <c r="L174" s="364">
        <v>85.38</v>
      </c>
      <c r="M174" s="364">
        <v>5.05</v>
      </c>
      <c r="N174" s="364">
        <v>92.94</v>
      </c>
      <c r="O174" s="365">
        <v>801</v>
      </c>
      <c r="P174" s="364">
        <v>79.540000000000006</v>
      </c>
      <c r="Q174" s="364">
        <v>76.599999999999994</v>
      </c>
      <c r="R174" s="364">
        <v>17.3</v>
      </c>
      <c r="S174" s="364">
        <v>95.9</v>
      </c>
      <c r="T174" s="365">
        <v>147</v>
      </c>
      <c r="U174" s="364">
        <v>128.61000000000001</v>
      </c>
      <c r="V174" s="365">
        <v>289</v>
      </c>
      <c r="W174" s="364">
        <v>0</v>
      </c>
      <c r="X174" s="365">
        <v>0</v>
      </c>
      <c r="Y174" s="366">
        <v>0</v>
      </c>
      <c r="Z174" s="366">
        <v>0</v>
      </c>
      <c r="AA174" s="366">
        <v>1</v>
      </c>
      <c r="AB174" s="366">
        <v>15</v>
      </c>
      <c r="AC174" s="366">
        <v>3</v>
      </c>
      <c r="AD174" s="366">
        <v>1087</v>
      </c>
      <c r="AE174" s="366">
        <v>7</v>
      </c>
      <c r="AF174" s="366">
        <v>9</v>
      </c>
      <c r="AG174" s="366">
        <v>16</v>
      </c>
    </row>
    <row r="175" spans="1:33" x14ac:dyDescent="0.2">
      <c r="A175" s="359" t="s">
        <v>406</v>
      </c>
      <c r="B175" s="359" t="s">
        <v>407</v>
      </c>
      <c r="C175" s="366">
        <v>1572</v>
      </c>
      <c r="D175" s="366">
        <v>0</v>
      </c>
      <c r="E175" s="366">
        <v>107</v>
      </c>
      <c r="F175" s="366">
        <v>210</v>
      </c>
      <c r="G175" s="366">
        <v>447</v>
      </c>
      <c r="H175" s="363">
        <v>2336</v>
      </c>
      <c r="I175" s="363">
        <v>1889</v>
      </c>
      <c r="J175" s="366">
        <v>2</v>
      </c>
      <c r="K175" s="364">
        <v>94.51</v>
      </c>
      <c r="L175" s="364">
        <v>93.76</v>
      </c>
      <c r="M175" s="364">
        <v>3.89</v>
      </c>
      <c r="N175" s="364">
        <v>97.36</v>
      </c>
      <c r="O175" s="365">
        <v>906</v>
      </c>
      <c r="P175" s="364">
        <v>87.41</v>
      </c>
      <c r="Q175" s="364">
        <v>79.95</v>
      </c>
      <c r="R175" s="364">
        <v>35.130000000000003</v>
      </c>
      <c r="S175" s="364">
        <v>122.41</v>
      </c>
      <c r="T175" s="365">
        <v>291</v>
      </c>
      <c r="U175" s="364">
        <v>117.16</v>
      </c>
      <c r="V175" s="365">
        <v>601</v>
      </c>
      <c r="W175" s="364">
        <v>116.39</v>
      </c>
      <c r="X175" s="365">
        <v>1</v>
      </c>
      <c r="Y175" s="366">
        <v>0</v>
      </c>
      <c r="Z175" s="366">
        <v>0</v>
      </c>
      <c r="AA175" s="366">
        <v>0</v>
      </c>
      <c r="AB175" s="366">
        <v>46</v>
      </c>
      <c r="AC175" s="366">
        <v>6</v>
      </c>
      <c r="AD175" s="366">
        <v>1572</v>
      </c>
      <c r="AE175" s="366">
        <v>51</v>
      </c>
      <c r="AF175" s="366">
        <v>4</v>
      </c>
      <c r="AG175" s="366">
        <v>55</v>
      </c>
    </row>
    <row r="176" spans="1:33" x14ac:dyDescent="0.2">
      <c r="A176" s="359" t="s">
        <v>408</v>
      </c>
      <c r="B176" s="359" t="s">
        <v>409</v>
      </c>
      <c r="C176" s="366">
        <v>6202</v>
      </c>
      <c r="D176" s="366">
        <v>3</v>
      </c>
      <c r="E176" s="366">
        <v>165</v>
      </c>
      <c r="F176" s="366">
        <v>784</v>
      </c>
      <c r="G176" s="366">
        <v>768</v>
      </c>
      <c r="H176" s="363">
        <v>7922</v>
      </c>
      <c r="I176" s="363">
        <v>7154</v>
      </c>
      <c r="J176" s="366">
        <v>17</v>
      </c>
      <c r="K176" s="364">
        <v>118.32</v>
      </c>
      <c r="L176" s="364">
        <v>113.17</v>
      </c>
      <c r="M176" s="364">
        <v>5.47</v>
      </c>
      <c r="N176" s="364">
        <v>122.35</v>
      </c>
      <c r="O176" s="365">
        <v>4151</v>
      </c>
      <c r="P176" s="364">
        <v>103.11</v>
      </c>
      <c r="Q176" s="364">
        <v>95.32</v>
      </c>
      <c r="R176" s="364">
        <v>47.36</v>
      </c>
      <c r="S176" s="364">
        <v>149.31</v>
      </c>
      <c r="T176" s="365">
        <v>772</v>
      </c>
      <c r="U176" s="364">
        <v>170.65</v>
      </c>
      <c r="V176" s="365">
        <v>1653</v>
      </c>
      <c r="W176" s="364">
        <v>197.04</v>
      </c>
      <c r="X176" s="365">
        <v>17</v>
      </c>
      <c r="Y176" s="366">
        <v>24</v>
      </c>
      <c r="Z176" s="366">
        <v>1</v>
      </c>
      <c r="AA176" s="366">
        <v>41</v>
      </c>
      <c r="AB176" s="366">
        <v>63</v>
      </c>
      <c r="AC176" s="366">
        <v>13</v>
      </c>
      <c r="AD176" s="366">
        <v>5899</v>
      </c>
      <c r="AE176" s="366">
        <v>130</v>
      </c>
      <c r="AF176" s="366">
        <v>4</v>
      </c>
      <c r="AG176" s="366">
        <v>134</v>
      </c>
    </row>
    <row r="177" spans="1:33" x14ac:dyDescent="0.2">
      <c r="A177" s="359" t="s">
        <v>410</v>
      </c>
      <c r="B177" s="359" t="s">
        <v>411</v>
      </c>
      <c r="C177" s="366">
        <v>13068</v>
      </c>
      <c r="D177" s="366">
        <v>2</v>
      </c>
      <c r="E177" s="366">
        <v>576</v>
      </c>
      <c r="F177" s="366">
        <v>1415</v>
      </c>
      <c r="G177" s="366">
        <v>264</v>
      </c>
      <c r="H177" s="363">
        <v>15325</v>
      </c>
      <c r="I177" s="363">
        <v>15061</v>
      </c>
      <c r="J177" s="366">
        <v>3</v>
      </c>
      <c r="K177" s="364">
        <v>86.69</v>
      </c>
      <c r="L177" s="364">
        <v>83.17</v>
      </c>
      <c r="M177" s="364">
        <v>8.15</v>
      </c>
      <c r="N177" s="364">
        <v>89.27</v>
      </c>
      <c r="O177" s="365">
        <v>12244</v>
      </c>
      <c r="P177" s="364">
        <v>88.94</v>
      </c>
      <c r="Q177" s="364">
        <v>78.67</v>
      </c>
      <c r="R177" s="364">
        <v>62.23</v>
      </c>
      <c r="S177" s="364">
        <v>137.59</v>
      </c>
      <c r="T177" s="365">
        <v>1843</v>
      </c>
      <c r="U177" s="364">
        <v>97.96</v>
      </c>
      <c r="V177" s="365">
        <v>705</v>
      </c>
      <c r="W177" s="364">
        <v>160.16</v>
      </c>
      <c r="X177" s="365">
        <v>102</v>
      </c>
      <c r="Y177" s="366">
        <v>18</v>
      </c>
      <c r="Z177" s="366">
        <v>45</v>
      </c>
      <c r="AA177" s="366">
        <v>6</v>
      </c>
      <c r="AB177" s="366">
        <v>5</v>
      </c>
      <c r="AC177" s="366">
        <v>8</v>
      </c>
      <c r="AD177" s="366">
        <v>13038</v>
      </c>
      <c r="AE177" s="366">
        <v>96</v>
      </c>
      <c r="AF177" s="366">
        <v>242</v>
      </c>
      <c r="AG177" s="366">
        <v>338</v>
      </c>
    </row>
    <row r="178" spans="1:33" x14ac:dyDescent="0.2">
      <c r="A178" s="359" t="s">
        <v>412</v>
      </c>
      <c r="B178" s="359" t="s">
        <v>413</v>
      </c>
      <c r="C178" s="366">
        <v>8558</v>
      </c>
      <c r="D178" s="366">
        <v>81</v>
      </c>
      <c r="E178" s="366">
        <v>601</v>
      </c>
      <c r="F178" s="366">
        <v>585</v>
      </c>
      <c r="G178" s="366">
        <v>5758</v>
      </c>
      <c r="H178" s="363">
        <v>15583</v>
      </c>
      <c r="I178" s="363">
        <v>9825</v>
      </c>
      <c r="J178" s="366">
        <v>10</v>
      </c>
      <c r="K178" s="364">
        <v>100.2</v>
      </c>
      <c r="L178" s="364">
        <v>97.58</v>
      </c>
      <c r="M178" s="364">
        <v>7.01</v>
      </c>
      <c r="N178" s="364">
        <v>104.8</v>
      </c>
      <c r="O178" s="365">
        <v>6468</v>
      </c>
      <c r="P178" s="364">
        <v>108.01</v>
      </c>
      <c r="Q178" s="364">
        <v>95.95</v>
      </c>
      <c r="R178" s="364">
        <v>41.05</v>
      </c>
      <c r="S178" s="364">
        <v>147.80000000000001</v>
      </c>
      <c r="T178" s="365">
        <v>876</v>
      </c>
      <c r="U178" s="364">
        <v>144.66999999999999</v>
      </c>
      <c r="V178" s="365">
        <v>1389</v>
      </c>
      <c r="W178" s="364">
        <v>136.77000000000001</v>
      </c>
      <c r="X178" s="365">
        <v>110</v>
      </c>
      <c r="Y178" s="366">
        <v>222</v>
      </c>
      <c r="Z178" s="366">
        <v>1</v>
      </c>
      <c r="AA178" s="366">
        <v>1</v>
      </c>
      <c r="AB178" s="366">
        <v>123</v>
      </c>
      <c r="AC178" s="366">
        <v>45</v>
      </c>
      <c r="AD178" s="366">
        <v>8342</v>
      </c>
      <c r="AE178" s="366">
        <v>48</v>
      </c>
      <c r="AF178" s="366">
        <v>30</v>
      </c>
      <c r="AG178" s="366">
        <v>78</v>
      </c>
    </row>
    <row r="179" spans="1:33" x14ac:dyDescent="0.2">
      <c r="A179" s="359" t="s">
        <v>414</v>
      </c>
      <c r="B179" s="359" t="s">
        <v>415</v>
      </c>
      <c r="C179" s="366">
        <v>3539</v>
      </c>
      <c r="D179" s="366">
        <v>11</v>
      </c>
      <c r="E179" s="366">
        <v>238</v>
      </c>
      <c r="F179" s="366">
        <v>629</v>
      </c>
      <c r="G179" s="366">
        <v>315</v>
      </c>
      <c r="H179" s="363">
        <v>4732</v>
      </c>
      <c r="I179" s="363">
        <v>4417</v>
      </c>
      <c r="J179" s="366">
        <v>2</v>
      </c>
      <c r="K179" s="364">
        <v>113.73</v>
      </c>
      <c r="L179" s="364">
        <v>115.57</v>
      </c>
      <c r="M179" s="364">
        <v>5.29</v>
      </c>
      <c r="N179" s="364">
        <v>117.54</v>
      </c>
      <c r="O179" s="365">
        <v>3019</v>
      </c>
      <c r="P179" s="364">
        <v>101.74</v>
      </c>
      <c r="Q179" s="364">
        <v>96.39</v>
      </c>
      <c r="R179" s="364">
        <v>43.9</v>
      </c>
      <c r="S179" s="364">
        <v>145.38999999999999</v>
      </c>
      <c r="T179" s="365">
        <v>693</v>
      </c>
      <c r="U179" s="364">
        <v>164.82</v>
      </c>
      <c r="V179" s="365">
        <v>491</v>
      </c>
      <c r="W179" s="364">
        <v>0</v>
      </c>
      <c r="X179" s="365">
        <v>0</v>
      </c>
      <c r="Y179" s="366">
        <v>0</v>
      </c>
      <c r="Z179" s="366">
        <v>10</v>
      </c>
      <c r="AA179" s="366">
        <v>0</v>
      </c>
      <c r="AB179" s="366">
        <v>17</v>
      </c>
      <c r="AC179" s="366">
        <v>7</v>
      </c>
      <c r="AD179" s="366">
        <v>3535</v>
      </c>
      <c r="AE179" s="366">
        <v>41</v>
      </c>
      <c r="AF179" s="366">
        <v>46</v>
      </c>
      <c r="AG179" s="366">
        <v>87</v>
      </c>
    </row>
    <row r="180" spans="1:33" x14ac:dyDescent="0.2">
      <c r="A180" s="359" t="s">
        <v>416</v>
      </c>
      <c r="B180" s="359" t="s">
        <v>417</v>
      </c>
      <c r="C180" s="366">
        <v>2873</v>
      </c>
      <c r="D180" s="366">
        <v>8</v>
      </c>
      <c r="E180" s="366">
        <v>289</v>
      </c>
      <c r="F180" s="366">
        <v>309</v>
      </c>
      <c r="G180" s="366">
        <v>420</v>
      </c>
      <c r="H180" s="363">
        <v>3899</v>
      </c>
      <c r="I180" s="363">
        <v>3479</v>
      </c>
      <c r="J180" s="366">
        <v>0</v>
      </c>
      <c r="K180" s="364">
        <v>113.74</v>
      </c>
      <c r="L180" s="364">
        <v>111.18</v>
      </c>
      <c r="M180" s="364">
        <v>4.5</v>
      </c>
      <c r="N180" s="364">
        <v>117</v>
      </c>
      <c r="O180" s="365">
        <v>2392</v>
      </c>
      <c r="P180" s="364">
        <v>104.06</v>
      </c>
      <c r="Q180" s="364">
        <v>92.61</v>
      </c>
      <c r="R180" s="364">
        <v>35.479999999999997</v>
      </c>
      <c r="S180" s="364">
        <v>136.9</v>
      </c>
      <c r="T180" s="365">
        <v>470</v>
      </c>
      <c r="U180" s="364">
        <v>147.83000000000001</v>
      </c>
      <c r="V180" s="365">
        <v>316</v>
      </c>
      <c r="W180" s="364">
        <v>142.52000000000001</v>
      </c>
      <c r="X180" s="365">
        <v>4</v>
      </c>
      <c r="Y180" s="366">
        <v>0</v>
      </c>
      <c r="Z180" s="366">
        <v>0</v>
      </c>
      <c r="AA180" s="366">
        <v>1</v>
      </c>
      <c r="AB180" s="366">
        <v>24</v>
      </c>
      <c r="AC180" s="366">
        <v>7</v>
      </c>
      <c r="AD180" s="366">
        <v>2781</v>
      </c>
      <c r="AE180" s="366">
        <v>11</v>
      </c>
      <c r="AF180" s="366">
        <v>7</v>
      </c>
      <c r="AG180" s="366">
        <v>18</v>
      </c>
    </row>
    <row r="181" spans="1:33" x14ac:dyDescent="0.2">
      <c r="A181" s="359" t="s">
        <v>418</v>
      </c>
      <c r="B181" s="359" t="s">
        <v>419</v>
      </c>
      <c r="C181" s="366">
        <v>2026</v>
      </c>
      <c r="D181" s="366">
        <v>0</v>
      </c>
      <c r="E181" s="366">
        <v>322</v>
      </c>
      <c r="F181" s="366">
        <v>263</v>
      </c>
      <c r="G181" s="366">
        <v>401</v>
      </c>
      <c r="H181" s="363">
        <v>3012</v>
      </c>
      <c r="I181" s="363">
        <v>2611</v>
      </c>
      <c r="J181" s="366">
        <v>0</v>
      </c>
      <c r="K181" s="364">
        <v>87.97</v>
      </c>
      <c r="L181" s="364">
        <v>84.83</v>
      </c>
      <c r="M181" s="364">
        <v>4.67</v>
      </c>
      <c r="N181" s="364">
        <v>90.61</v>
      </c>
      <c r="O181" s="365">
        <v>1566</v>
      </c>
      <c r="P181" s="364">
        <v>108.24</v>
      </c>
      <c r="Q181" s="364">
        <v>78.010000000000005</v>
      </c>
      <c r="R181" s="364">
        <v>71.39</v>
      </c>
      <c r="S181" s="364">
        <v>179.63</v>
      </c>
      <c r="T181" s="365">
        <v>435</v>
      </c>
      <c r="U181" s="364">
        <v>98.81</v>
      </c>
      <c r="V181" s="365">
        <v>373</v>
      </c>
      <c r="W181" s="364">
        <v>161.53</v>
      </c>
      <c r="X181" s="365">
        <v>5</v>
      </c>
      <c r="Y181" s="366">
        <v>9</v>
      </c>
      <c r="Z181" s="366">
        <v>1</v>
      </c>
      <c r="AA181" s="366">
        <v>7</v>
      </c>
      <c r="AB181" s="366">
        <v>53</v>
      </c>
      <c r="AC181" s="366">
        <v>5</v>
      </c>
      <c r="AD181" s="366">
        <v>2026</v>
      </c>
      <c r="AE181" s="366">
        <v>5</v>
      </c>
      <c r="AF181" s="366">
        <v>53</v>
      </c>
      <c r="AG181" s="366">
        <v>58</v>
      </c>
    </row>
    <row r="182" spans="1:33" x14ac:dyDescent="0.2">
      <c r="A182" s="359" t="s">
        <v>420</v>
      </c>
      <c r="B182" s="359" t="s">
        <v>421</v>
      </c>
      <c r="C182" s="366">
        <v>7237</v>
      </c>
      <c r="D182" s="366">
        <v>137</v>
      </c>
      <c r="E182" s="366">
        <v>1462</v>
      </c>
      <c r="F182" s="366">
        <v>1615</v>
      </c>
      <c r="G182" s="366">
        <v>354</v>
      </c>
      <c r="H182" s="363">
        <v>10805</v>
      </c>
      <c r="I182" s="363">
        <v>10451</v>
      </c>
      <c r="J182" s="366">
        <v>9</v>
      </c>
      <c r="K182" s="364">
        <v>78.75</v>
      </c>
      <c r="L182" s="364">
        <v>77.069999999999993</v>
      </c>
      <c r="M182" s="364">
        <v>9.8699999999999992</v>
      </c>
      <c r="N182" s="364">
        <v>87.02</v>
      </c>
      <c r="O182" s="365">
        <v>5634</v>
      </c>
      <c r="P182" s="364">
        <v>86.48</v>
      </c>
      <c r="Q182" s="364">
        <v>73.099999999999994</v>
      </c>
      <c r="R182" s="364">
        <v>67.180000000000007</v>
      </c>
      <c r="S182" s="364">
        <v>152.35</v>
      </c>
      <c r="T182" s="365">
        <v>2310</v>
      </c>
      <c r="U182" s="364">
        <v>102.39</v>
      </c>
      <c r="V182" s="365">
        <v>1202</v>
      </c>
      <c r="W182" s="364">
        <v>192.86</v>
      </c>
      <c r="X182" s="365">
        <v>365</v>
      </c>
      <c r="Y182" s="366">
        <v>0</v>
      </c>
      <c r="Z182" s="366">
        <v>5</v>
      </c>
      <c r="AA182" s="366">
        <v>2</v>
      </c>
      <c r="AB182" s="366">
        <v>35</v>
      </c>
      <c r="AC182" s="366">
        <v>10</v>
      </c>
      <c r="AD182" s="366">
        <v>6665</v>
      </c>
      <c r="AE182" s="366">
        <v>86</v>
      </c>
      <c r="AF182" s="366">
        <v>31</v>
      </c>
      <c r="AG182" s="366">
        <v>117</v>
      </c>
    </row>
    <row r="183" spans="1:33" x14ac:dyDescent="0.2">
      <c r="A183" s="359" t="s">
        <v>422</v>
      </c>
      <c r="B183" s="359" t="s">
        <v>423</v>
      </c>
      <c r="C183" s="366">
        <v>8716</v>
      </c>
      <c r="D183" s="366">
        <v>4</v>
      </c>
      <c r="E183" s="366">
        <v>122</v>
      </c>
      <c r="F183" s="366">
        <v>822</v>
      </c>
      <c r="G183" s="366">
        <v>267</v>
      </c>
      <c r="H183" s="363">
        <v>9931</v>
      </c>
      <c r="I183" s="363">
        <v>9664</v>
      </c>
      <c r="J183" s="366">
        <v>4</v>
      </c>
      <c r="K183" s="364">
        <v>78.41</v>
      </c>
      <c r="L183" s="364">
        <v>79.63</v>
      </c>
      <c r="M183" s="364">
        <v>4.34</v>
      </c>
      <c r="N183" s="364">
        <v>82.54</v>
      </c>
      <c r="O183" s="365">
        <v>8117</v>
      </c>
      <c r="P183" s="364">
        <v>78.78</v>
      </c>
      <c r="Q183" s="364">
        <v>74.23</v>
      </c>
      <c r="R183" s="364">
        <v>26.38</v>
      </c>
      <c r="S183" s="364">
        <v>105.15</v>
      </c>
      <c r="T183" s="365">
        <v>752</v>
      </c>
      <c r="U183" s="364">
        <v>97.58</v>
      </c>
      <c r="V183" s="365">
        <v>547</v>
      </c>
      <c r="W183" s="364">
        <v>231.02</v>
      </c>
      <c r="X183" s="365">
        <v>99</v>
      </c>
      <c r="Y183" s="366">
        <v>0</v>
      </c>
      <c r="Z183" s="366">
        <v>24</v>
      </c>
      <c r="AA183" s="366">
        <v>43</v>
      </c>
      <c r="AB183" s="366">
        <v>16</v>
      </c>
      <c r="AC183" s="366">
        <v>6</v>
      </c>
      <c r="AD183" s="366">
        <v>8716</v>
      </c>
      <c r="AE183" s="366">
        <v>64</v>
      </c>
      <c r="AF183" s="366">
        <v>100</v>
      </c>
      <c r="AG183" s="366">
        <v>164</v>
      </c>
    </row>
    <row r="184" spans="1:33" x14ac:dyDescent="0.2">
      <c r="A184" s="359" t="s">
        <v>424</v>
      </c>
      <c r="B184" s="359" t="s">
        <v>425</v>
      </c>
      <c r="C184" s="366">
        <v>12595</v>
      </c>
      <c r="D184" s="366">
        <v>25</v>
      </c>
      <c r="E184" s="366">
        <v>824</v>
      </c>
      <c r="F184" s="366">
        <v>917</v>
      </c>
      <c r="G184" s="366">
        <v>2530</v>
      </c>
      <c r="H184" s="363">
        <v>16891</v>
      </c>
      <c r="I184" s="363">
        <v>14361</v>
      </c>
      <c r="J184" s="366">
        <v>157</v>
      </c>
      <c r="K184" s="364">
        <v>121.12</v>
      </c>
      <c r="L184" s="364">
        <v>118.86</v>
      </c>
      <c r="M184" s="364">
        <v>11.28</v>
      </c>
      <c r="N184" s="364">
        <v>128.16</v>
      </c>
      <c r="O184" s="365">
        <v>9307</v>
      </c>
      <c r="P184" s="364">
        <v>104.13</v>
      </c>
      <c r="Q184" s="364">
        <v>97.16</v>
      </c>
      <c r="R184" s="364">
        <v>68.599999999999994</v>
      </c>
      <c r="S184" s="364">
        <v>170.6</v>
      </c>
      <c r="T184" s="365">
        <v>1548</v>
      </c>
      <c r="U184" s="364">
        <v>207.6</v>
      </c>
      <c r="V184" s="365">
        <v>1366</v>
      </c>
      <c r="W184" s="364">
        <v>191.52</v>
      </c>
      <c r="X184" s="365">
        <v>17</v>
      </c>
      <c r="Y184" s="366">
        <v>11</v>
      </c>
      <c r="Z184" s="366">
        <v>0</v>
      </c>
      <c r="AA184" s="366">
        <v>15</v>
      </c>
      <c r="AB184" s="366">
        <v>120</v>
      </c>
      <c r="AC184" s="366">
        <v>82</v>
      </c>
      <c r="AD184" s="366">
        <v>11824</v>
      </c>
      <c r="AE184" s="366">
        <v>186</v>
      </c>
      <c r="AF184" s="366">
        <v>91</v>
      </c>
      <c r="AG184" s="366">
        <v>277</v>
      </c>
    </row>
    <row r="185" spans="1:33" x14ac:dyDescent="0.2">
      <c r="A185" s="359" t="s">
        <v>426</v>
      </c>
      <c r="B185" s="359" t="s">
        <v>427</v>
      </c>
      <c r="C185" s="366">
        <v>4011</v>
      </c>
      <c r="D185" s="366">
        <v>0</v>
      </c>
      <c r="E185" s="366">
        <v>81</v>
      </c>
      <c r="F185" s="366">
        <v>795</v>
      </c>
      <c r="G185" s="366">
        <v>406</v>
      </c>
      <c r="H185" s="363">
        <v>5293</v>
      </c>
      <c r="I185" s="363">
        <v>4887</v>
      </c>
      <c r="J185" s="366">
        <v>18</v>
      </c>
      <c r="K185" s="364">
        <v>85.92</v>
      </c>
      <c r="L185" s="364">
        <v>85.27</v>
      </c>
      <c r="M185" s="364">
        <v>4</v>
      </c>
      <c r="N185" s="364">
        <v>88.53</v>
      </c>
      <c r="O185" s="365">
        <v>3465</v>
      </c>
      <c r="P185" s="364">
        <v>77.040000000000006</v>
      </c>
      <c r="Q185" s="364">
        <v>75.36</v>
      </c>
      <c r="R185" s="364">
        <v>20.32</v>
      </c>
      <c r="S185" s="364">
        <v>97.28</v>
      </c>
      <c r="T185" s="365">
        <v>759</v>
      </c>
      <c r="U185" s="364">
        <v>116.47</v>
      </c>
      <c r="V185" s="365">
        <v>488</v>
      </c>
      <c r="W185" s="364">
        <v>133.37</v>
      </c>
      <c r="X185" s="365">
        <v>31</v>
      </c>
      <c r="Y185" s="366">
        <v>0</v>
      </c>
      <c r="Z185" s="366">
        <v>4</v>
      </c>
      <c r="AA185" s="366">
        <v>3</v>
      </c>
      <c r="AB185" s="366">
        <v>20</v>
      </c>
      <c r="AC185" s="366">
        <v>3</v>
      </c>
      <c r="AD185" s="366">
        <v>3985</v>
      </c>
      <c r="AE185" s="366">
        <v>10</v>
      </c>
      <c r="AF185" s="366">
        <v>24</v>
      </c>
      <c r="AG185" s="366">
        <v>34</v>
      </c>
    </row>
    <row r="186" spans="1:33" x14ac:dyDescent="0.2">
      <c r="A186" s="359" t="s">
        <v>428</v>
      </c>
      <c r="B186" s="359" t="s">
        <v>429</v>
      </c>
      <c r="C186" s="366">
        <v>895</v>
      </c>
      <c r="D186" s="366">
        <v>1</v>
      </c>
      <c r="E186" s="366">
        <v>92</v>
      </c>
      <c r="F186" s="366">
        <v>114</v>
      </c>
      <c r="G186" s="366">
        <v>201</v>
      </c>
      <c r="H186" s="363">
        <v>1303</v>
      </c>
      <c r="I186" s="363">
        <v>1102</v>
      </c>
      <c r="J186" s="366">
        <v>14</v>
      </c>
      <c r="K186" s="364">
        <v>91.03</v>
      </c>
      <c r="L186" s="364">
        <v>89.73</v>
      </c>
      <c r="M186" s="364">
        <v>3.7</v>
      </c>
      <c r="N186" s="364">
        <v>92.72</v>
      </c>
      <c r="O186" s="365">
        <v>531</v>
      </c>
      <c r="P186" s="364">
        <v>105.14</v>
      </c>
      <c r="Q186" s="364">
        <v>90.53</v>
      </c>
      <c r="R186" s="364">
        <v>43.83</v>
      </c>
      <c r="S186" s="364">
        <v>145.11000000000001</v>
      </c>
      <c r="T186" s="365">
        <v>204</v>
      </c>
      <c r="U186" s="364">
        <v>101.51</v>
      </c>
      <c r="V186" s="365">
        <v>340</v>
      </c>
      <c r="W186" s="364">
        <v>0</v>
      </c>
      <c r="X186" s="365">
        <v>0</v>
      </c>
      <c r="Y186" s="366">
        <v>6</v>
      </c>
      <c r="Z186" s="366">
        <v>0</v>
      </c>
      <c r="AA186" s="366">
        <v>0</v>
      </c>
      <c r="AB186" s="366">
        <v>43</v>
      </c>
      <c r="AC186" s="366">
        <v>5</v>
      </c>
      <c r="AD186" s="366">
        <v>709</v>
      </c>
      <c r="AE186" s="366">
        <v>1</v>
      </c>
      <c r="AF186" s="366">
        <v>2</v>
      </c>
      <c r="AG186" s="366">
        <v>3</v>
      </c>
    </row>
    <row r="187" spans="1:33" x14ac:dyDescent="0.2">
      <c r="A187" s="359" t="s">
        <v>430</v>
      </c>
      <c r="B187" s="359" t="s">
        <v>431</v>
      </c>
      <c r="C187" s="366">
        <v>7922</v>
      </c>
      <c r="D187" s="366">
        <v>0</v>
      </c>
      <c r="E187" s="366">
        <v>464</v>
      </c>
      <c r="F187" s="366">
        <v>1096</v>
      </c>
      <c r="G187" s="366">
        <v>256</v>
      </c>
      <c r="H187" s="363">
        <v>9738</v>
      </c>
      <c r="I187" s="363">
        <v>9482</v>
      </c>
      <c r="J187" s="366">
        <v>1</v>
      </c>
      <c r="K187" s="364">
        <v>79.290000000000006</v>
      </c>
      <c r="L187" s="364">
        <v>78.459999999999994</v>
      </c>
      <c r="M187" s="364">
        <v>2.67</v>
      </c>
      <c r="N187" s="364">
        <v>81.290000000000006</v>
      </c>
      <c r="O187" s="365">
        <v>7838</v>
      </c>
      <c r="P187" s="364">
        <v>97.18</v>
      </c>
      <c r="Q187" s="364">
        <v>70.209999999999994</v>
      </c>
      <c r="R187" s="364">
        <v>34.4</v>
      </c>
      <c r="S187" s="364">
        <v>127.85</v>
      </c>
      <c r="T187" s="365">
        <v>1372</v>
      </c>
      <c r="U187" s="364">
        <v>93.44</v>
      </c>
      <c r="V187" s="365">
        <v>54</v>
      </c>
      <c r="W187" s="364">
        <v>278.83999999999997</v>
      </c>
      <c r="X187" s="365">
        <v>59</v>
      </c>
      <c r="Y187" s="366">
        <v>0</v>
      </c>
      <c r="Z187" s="366">
        <v>18</v>
      </c>
      <c r="AA187" s="366">
        <v>32</v>
      </c>
      <c r="AB187" s="366">
        <v>21</v>
      </c>
      <c r="AC187" s="366">
        <v>4</v>
      </c>
      <c r="AD187" s="366">
        <v>7920</v>
      </c>
      <c r="AE187" s="366">
        <v>37</v>
      </c>
      <c r="AF187" s="366">
        <v>44</v>
      </c>
      <c r="AG187" s="366">
        <v>81</v>
      </c>
    </row>
    <row r="188" spans="1:33" x14ac:dyDescent="0.2">
      <c r="A188" s="359" t="s">
        <v>432</v>
      </c>
      <c r="B188" s="359" t="s">
        <v>433</v>
      </c>
      <c r="C188" s="366">
        <v>9445</v>
      </c>
      <c r="D188" s="366">
        <v>3</v>
      </c>
      <c r="E188" s="366">
        <v>258</v>
      </c>
      <c r="F188" s="366">
        <v>1010</v>
      </c>
      <c r="G188" s="366">
        <v>605</v>
      </c>
      <c r="H188" s="363">
        <v>11321</v>
      </c>
      <c r="I188" s="363">
        <v>10716</v>
      </c>
      <c r="J188" s="366">
        <v>222</v>
      </c>
      <c r="K188" s="364">
        <v>110.29</v>
      </c>
      <c r="L188" s="364">
        <v>116.62</v>
      </c>
      <c r="M188" s="364">
        <v>5.19</v>
      </c>
      <c r="N188" s="364">
        <v>111.94</v>
      </c>
      <c r="O188" s="365">
        <v>9081</v>
      </c>
      <c r="P188" s="364">
        <v>99.42</v>
      </c>
      <c r="Q188" s="364">
        <v>98.02</v>
      </c>
      <c r="R188" s="364">
        <v>28.96</v>
      </c>
      <c r="S188" s="364">
        <v>127.04</v>
      </c>
      <c r="T188" s="365">
        <v>1230</v>
      </c>
      <c r="U188" s="364">
        <v>144.53</v>
      </c>
      <c r="V188" s="365">
        <v>302</v>
      </c>
      <c r="W188" s="364">
        <v>0</v>
      </c>
      <c r="X188" s="365">
        <v>0</v>
      </c>
      <c r="Y188" s="366">
        <v>0</v>
      </c>
      <c r="Z188" s="366">
        <v>13</v>
      </c>
      <c r="AA188" s="366">
        <v>5</v>
      </c>
      <c r="AB188" s="366">
        <v>58</v>
      </c>
      <c r="AC188" s="366">
        <v>11</v>
      </c>
      <c r="AD188" s="366">
        <v>9404</v>
      </c>
      <c r="AE188" s="366">
        <v>61</v>
      </c>
      <c r="AF188" s="366">
        <v>10</v>
      </c>
      <c r="AG188" s="366">
        <v>71</v>
      </c>
    </row>
    <row r="189" spans="1:33" x14ac:dyDescent="0.2">
      <c r="A189" s="359" t="s">
        <v>434</v>
      </c>
      <c r="B189" s="359" t="s">
        <v>435</v>
      </c>
      <c r="C189" s="366">
        <v>1177</v>
      </c>
      <c r="D189" s="366">
        <v>0</v>
      </c>
      <c r="E189" s="366">
        <v>147</v>
      </c>
      <c r="F189" s="366">
        <v>98</v>
      </c>
      <c r="G189" s="366">
        <v>459</v>
      </c>
      <c r="H189" s="363">
        <v>1881</v>
      </c>
      <c r="I189" s="363">
        <v>1422</v>
      </c>
      <c r="J189" s="366">
        <v>3</v>
      </c>
      <c r="K189" s="364">
        <v>88.75</v>
      </c>
      <c r="L189" s="364">
        <v>87.03</v>
      </c>
      <c r="M189" s="364">
        <v>4.8899999999999997</v>
      </c>
      <c r="N189" s="364">
        <v>92.73</v>
      </c>
      <c r="O189" s="365">
        <v>751</v>
      </c>
      <c r="P189" s="364">
        <v>109.05</v>
      </c>
      <c r="Q189" s="364">
        <v>83.81</v>
      </c>
      <c r="R189" s="364">
        <v>70.14</v>
      </c>
      <c r="S189" s="364">
        <v>179.19</v>
      </c>
      <c r="T189" s="365">
        <v>226</v>
      </c>
      <c r="U189" s="364">
        <v>103.83</v>
      </c>
      <c r="V189" s="365">
        <v>309</v>
      </c>
      <c r="W189" s="364">
        <v>117.33</v>
      </c>
      <c r="X189" s="365">
        <v>1</v>
      </c>
      <c r="Y189" s="366">
        <v>0</v>
      </c>
      <c r="Z189" s="366">
        <v>0</v>
      </c>
      <c r="AA189" s="366">
        <v>0</v>
      </c>
      <c r="AB189" s="366">
        <v>39</v>
      </c>
      <c r="AC189" s="366">
        <v>13</v>
      </c>
      <c r="AD189" s="366">
        <v>1094</v>
      </c>
      <c r="AE189" s="366">
        <v>23</v>
      </c>
      <c r="AF189" s="366">
        <v>2</v>
      </c>
      <c r="AG189" s="366">
        <v>25</v>
      </c>
    </row>
    <row r="190" spans="1:33" x14ac:dyDescent="0.2">
      <c r="A190" s="359" t="s">
        <v>436</v>
      </c>
      <c r="B190" s="359" t="s">
        <v>437</v>
      </c>
      <c r="C190" s="366">
        <v>10999</v>
      </c>
      <c r="D190" s="366">
        <v>2</v>
      </c>
      <c r="E190" s="366">
        <v>259</v>
      </c>
      <c r="F190" s="366">
        <v>317</v>
      </c>
      <c r="G190" s="366">
        <v>80</v>
      </c>
      <c r="H190" s="363">
        <v>11657</v>
      </c>
      <c r="I190" s="363">
        <v>11577</v>
      </c>
      <c r="J190" s="366">
        <v>2</v>
      </c>
      <c r="K190" s="364">
        <v>80.400000000000006</v>
      </c>
      <c r="L190" s="364">
        <v>80.19</v>
      </c>
      <c r="M190" s="364">
        <v>3.25</v>
      </c>
      <c r="N190" s="364">
        <v>82.1</v>
      </c>
      <c r="O190" s="365">
        <v>10317</v>
      </c>
      <c r="P190" s="364">
        <v>103.62</v>
      </c>
      <c r="Q190" s="364">
        <v>79.760000000000005</v>
      </c>
      <c r="R190" s="364">
        <v>64.069999999999993</v>
      </c>
      <c r="S190" s="364">
        <v>162.22</v>
      </c>
      <c r="T190" s="365">
        <v>504</v>
      </c>
      <c r="U190" s="364">
        <v>99.83</v>
      </c>
      <c r="V190" s="365">
        <v>605</v>
      </c>
      <c r="W190" s="364">
        <v>212.76</v>
      </c>
      <c r="X190" s="365">
        <v>48</v>
      </c>
      <c r="Y190" s="366">
        <v>1</v>
      </c>
      <c r="Z190" s="366">
        <v>28</v>
      </c>
      <c r="AA190" s="366">
        <v>1</v>
      </c>
      <c r="AB190" s="366">
        <v>4</v>
      </c>
      <c r="AC190" s="366">
        <v>2</v>
      </c>
      <c r="AD190" s="366">
        <v>10960</v>
      </c>
      <c r="AE190" s="366">
        <v>93</v>
      </c>
      <c r="AF190" s="366">
        <v>10</v>
      </c>
      <c r="AG190" s="366">
        <v>103</v>
      </c>
    </row>
    <row r="191" spans="1:33" x14ac:dyDescent="0.2">
      <c r="A191" s="359" t="s">
        <v>438</v>
      </c>
      <c r="B191" s="359" t="s">
        <v>439</v>
      </c>
      <c r="C191" s="366">
        <v>5475</v>
      </c>
      <c r="D191" s="366">
        <v>0</v>
      </c>
      <c r="E191" s="366">
        <v>128</v>
      </c>
      <c r="F191" s="366">
        <v>684</v>
      </c>
      <c r="G191" s="366">
        <v>270</v>
      </c>
      <c r="H191" s="363">
        <v>6557</v>
      </c>
      <c r="I191" s="363">
        <v>6287</v>
      </c>
      <c r="J191" s="366">
        <v>2</v>
      </c>
      <c r="K191" s="364">
        <v>89.33</v>
      </c>
      <c r="L191" s="364">
        <v>88.49</v>
      </c>
      <c r="M191" s="364">
        <v>2.44</v>
      </c>
      <c r="N191" s="364">
        <v>91.06</v>
      </c>
      <c r="O191" s="365">
        <v>4740</v>
      </c>
      <c r="P191" s="364">
        <v>91.26</v>
      </c>
      <c r="Q191" s="364">
        <v>79.23</v>
      </c>
      <c r="R191" s="364">
        <v>25.28</v>
      </c>
      <c r="S191" s="364">
        <v>116.54</v>
      </c>
      <c r="T191" s="365">
        <v>800</v>
      </c>
      <c r="U191" s="364">
        <v>107.41</v>
      </c>
      <c r="V191" s="365">
        <v>706</v>
      </c>
      <c r="W191" s="364">
        <v>95.46</v>
      </c>
      <c r="X191" s="365">
        <v>9</v>
      </c>
      <c r="Y191" s="366">
        <v>0</v>
      </c>
      <c r="Z191" s="366">
        <v>6</v>
      </c>
      <c r="AA191" s="366">
        <v>22</v>
      </c>
      <c r="AB191" s="366">
        <v>35</v>
      </c>
      <c r="AC191" s="366">
        <v>1</v>
      </c>
      <c r="AD191" s="366">
        <v>5452</v>
      </c>
      <c r="AE191" s="366">
        <v>51</v>
      </c>
      <c r="AF191" s="366">
        <v>21</v>
      </c>
      <c r="AG191" s="366">
        <v>72</v>
      </c>
    </row>
    <row r="192" spans="1:33" x14ac:dyDescent="0.2">
      <c r="A192" s="362" t="s">
        <v>799</v>
      </c>
      <c r="B192" s="362" t="s">
        <v>797</v>
      </c>
      <c r="C192" s="345">
        <v>13859</v>
      </c>
      <c r="D192" s="345">
        <v>198</v>
      </c>
      <c r="E192" s="345">
        <v>741</v>
      </c>
      <c r="F192" s="345">
        <v>1004</v>
      </c>
      <c r="G192" s="345">
        <v>1617</v>
      </c>
      <c r="H192" s="345">
        <v>17419</v>
      </c>
      <c r="I192" s="345">
        <v>15802</v>
      </c>
      <c r="J192" s="345">
        <v>29</v>
      </c>
      <c r="K192" s="345">
        <v>91.22</v>
      </c>
      <c r="L192" s="345">
        <v>90.55</v>
      </c>
      <c r="M192" s="345">
        <v>6.47</v>
      </c>
      <c r="N192" s="345">
        <v>94.18</v>
      </c>
      <c r="O192" s="348">
        <v>11765</v>
      </c>
      <c r="P192" s="345">
        <v>91.18</v>
      </c>
      <c r="Q192" s="345">
        <v>79.92</v>
      </c>
      <c r="R192" s="345">
        <v>51.51</v>
      </c>
      <c r="S192" s="345">
        <v>141.05000000000001</v>
      </c>
      <c r="T192" s="348">
        <v>1630</v>
      </c>
      <c r="U192" s="345">
        <v>109.84</v>
      </c>
      <c r="V192" s="348">
        <v>1697</v>
      </c>
      <c r="W192" s="345">
        <v>163.1</v>
      </c>
      <c r="X192" s="348">
        <v>7</v>
      </c>
      <c r="Y192" s="345">
        <v>0</v>
      </c>
      <c r="Z192" s="345">
        <v>26</v>
      </c>
      <c r="AA192" s="345">
        <v>2</v>
      </c>
      <c r="AB192" s="345">
        <v>68</v>
      </c>
      <c r="AC192" s="345">
        <v>29</v>
      </c>
      <c r="AD192" s="345">
        <v>13775</v>
      </c>
      <c r="AE192" s="345">
        <v>69</v>
      </c>
      <c r="AF192" s="345">
        <v>35</v>
      </c>
      <c r="AG192" s="345">
        <v>104</v>
      </c>
    </row>
    <row r="193" spans="1:33" x14ac:dyDescent="0.2">
      <c r="A193" s="359" t="s">
        <v>440</v>
      </c>
      <c r="B193" s="359" t="s">
        <v>441</v>
      </c>
      <c r="C193" s="366">
        <v>8418</v>
      </c>
      <c r="D193" s="366">
        <v>66</v>
      </c>
      <c r="E193" s="366">
        <v>366</v>
      </c>
      <c r="F193" s="366">
        <v>650</v>
      </c>
      <c r="G193" s="366">
        <v>569</v>
      </c>
      <c r="H193" s="363">
        <v>10069</v>
      </c>
      <c r="I193" s="363">
        <v>9500</v>
      </c>
      <c r="J193" s="366">
        <v>27</v>
      </c>
      <c r="K193" s="364">
        <v>94.96</v>
      </c>
      <c r="L193" s="364">
        <v>94.97</v>
      </c>
      <c r="M193" s="364">
        <v>4.8</v>
      </c>
      <c r="N193" s="364">
        <v>99.62</v>
      </c>
      <c r="O193" s="365">
        <v>7384</v>
      </c>
      <c r="P193" s="364">
        <v>105.54</v>
      </c>
      <c r="Q193" s="364">
        <v>88.36</v>
      </c>
      <c r="R193" s="364">
        <v>71.09</v>
      </c>
      <c r="S193" s="364">
        <v>174.87</v>
      </c>
      <c r="T193" s="365">
        <v>807</v>
      </c>
      <c r="U193" s="364">
        <v>128.31</v>
      </c>
      <c r="V193" s="365">
        <v>910</v>
      </c>
      <c r="W193" s="364">
        <v>175.04</v>
      </c>
      <c r="X193" s="365">
        <v>80</v>
      </c>
      <c r="Y193" s="366">
        <v>0</v>
      </c>
      <c r="Z193" s="366">
        <v>4</v>
      </c>
      <c r="AA193" s="366">
        <v>9</v>
      </c>
      <c r="AB193" s="366">
        <v>11</v>
      </c>
      <c r="AC193" s="366">
        <v>9</v>
      </c>
      <c r="AD193" s="366">
        <v>8301</v>
      </c>
      <c r="AE193" s="366">
        <v>38</v>
      </c>
      <c r="AF193" s="366">
        <v>41</v>
      </c>
      <c r="AG193" s="366">
        <v>79</v>
      </c>
    </row>
    <row r="194" spans="1:33" x14ac:dyDescent="0.2">
      <c r="A194" s="359" t="s">
        <v>442</v>
      </c>
      <c r="B194" s="359" t="s">
        <v>443</v>
      </c>
      <c r="C194" s="366">
        <v>4292</v>
      </c>
      <c r="D194" s="366">
        <v>0</v>
      </c>
      <c r="E194" s="366">
        <v>586</v>
      </c>
      <c r="F194" s="366">
        <v>1313</v>
      </c>
      <c r="G194" s="366">
        <v>376</v>
      </c>
      <c r="H194" s="363">
        <v>6567</v>
      </c>
      <c r="I194" s="363">
        <v>6191</v>
      </c>
      <c r="J194" s="366">
        <v>0</v>
      </c>
      <c r="K194" s="364">
        <v>82.65</v>
      </c>
      <c r="L194" s="364">
        <v>79.260000000000005</v>
      </c>
      <c r="M194" s="364">
        <v>7.81</v>
      </c>
      <c r="N194" s="364">
        <v>88.68</v>
      </c>
      <c r="O194" s="365">
        <v>3166</v>
      </c>
      <c r="P194" s="364">
        <v>92</v>
      </c>
      <c r="Q194" s="364">
        <v>73.790000000000006</v>
      </c>
      <c r="R194" s="364">
        <v>54.73</v>
      </c>
      <c r="S194" s="364">
        <v>146.15</v>
      </c>
      <c r="T194" s="365">
        <v>1610</v>
      </c>
      <c r="U194" s="364">
        <v>102.59</v>
      </c>
      <c r="V194" s="365">
        <v>925</v>
      </c>
      <c r="W194" s="364">
        <v>166.26</v>
      </c>
      <c r="X194" s="365">
        <v>133</v>
      </c>
      <c r="Y194" s="366">
        <v>26</v>
      </c>
      <c r="Z194" s="366">
        <v>0</v>
      </c>
      <c r="AA194" s="366">
        <v>4</v>
      </c>
      <c r="AB194" s="366">
        <v>11</v>
      </c>
      <c r="AC194" s="366">
        <v>2</v>
      </c>
      <c r="AD194" s="366">
        <v>4112</v>
      </c>
      <c r="AE194" s="366">
        <v>21</v>
      </c>
      <c r="AF194" s="366">
        <v>26</v>
      </c>
      <c r="AG194" s="366">
        <v>47</v>
      </c>
    </row>
    <row r="195" spans="1:33" x14ac:dyDescent="0.2">
      <c r="A195" s="359" t="s">
        <v>444</v>
      </c>
      <c r="B195" s="359" t="s">
        <v>445</v>
      </c>
      <c r="C195" s="366">
        <v>1118</v>
      </c>
      <c r="D195" s="366">
        <v>0</v>
      </c>
      <c r="E195" s="366">
        <v>11</v>
      </c>
      <c r="F195" s="366">
        <v>46</v>
      </c>
      <c r="G195" s="366">
        <v>239</v>
      </c>
      <c r="H195" s="363">
        <v>1414</v>
      </c>
      <c r="I195" s="363">
        <v>1175</v>
      </c>
      <c r="J195" s="366">
        <v>1</v>
      </c>
      <c r="K195" s="364">
        <v>98.65</v>
      </c>
      <c r="L195" s="364">
        <v>96.59</v>
      </c>
      <c r="M195" s="364">
        <v>5.6</v>
      </c>
      <c r="N195" s="364">
        <v>101.83</v>
      </c>
      <c r="O195" s="365">
        <v>844</v>
      </c>
      <c r="P195" s="364">
        <v>87.83</v>
      </c>
      <c r="Q195" s="364">
        <v>83</v>
      </c>
      <c r="R195" s="364">
        <v>26.14</v>
      </c>
      <c r="S195" s="364">
        <v>110.95</v>
      </c>
      <c r="T195" s="365">
        <v>52</v>
      </c>
      <c r="U195" s="364">
        <v>116.95</v>
      </c>
      <c r="V195" s="365">
        <v>270</v>
      </c>
      <c r="W195" s="364">
        <v>0</v>
      </c>
      <c r="X195" s="365">
        <v>0</v>
      </c>
      <c r="Y195" s="366">
        <v>0</v>
      </c>
      <c r="Z195" s="366">
        <v>1</v>
      </c>
      <c r="AA195" s="366">
        <v>0</v>
      </c>
      <c r="AB195" s="366">
        <v>15</v>
      </c>
      <c r="AC195" s="366">
        <v>4</v>
      </c>
      <c r="AD195" s="366">
        <v>1108</v>
      </c>
      <c r="AE195" s="366">
        <v>9</v>
      </c>
      <c r="AF195" s="366">
        <v>0</v>
      </c>
      <c r="AG195" s="366">
        <v>9</v>
      </c>
    </row>
    <row r="196" spans="1:33" x14ac:dyDescent="0.2">
      <c r="A196" s="359" t="s">
        <v>446</v>
      </c>
      <c r="B196" s="359" t="s">
        <v>447</v>
      </c>
      <c r="C196" s="366">
        <v>2056</v>
      </c>
      <c r="D196" s="366">
        <v>2</v>
      </c>
      <c r="E196" s="366">
        <v>66</v>
      </c>
      <c r="F196" s="366">
        <v>113</v>
      </c>
      <c r="G196" s="366">
        <v>507</v>
      </c>
      <c r="H196" s="363">
        <v>2744</v>
      </c>
      <c r="I196" s="363">
        <v>2237</v>
      </c>
      <c r="J196" s="366">
        <v>1</v>
      </c>
      <c r="K196" s="364">
        <v>88.11</v>
      </c>
      <c r="L196" s="364">
        <v>89.25</v>
      </c>
      <c r="M196" s="364">
        <v>6.85</v>
      </c>
      <c r="N196" s="364">
        <v>93.87</v>
      </c>
      <c r="O196" s="365">
        <v>1405</v>
      </c>
      <c r="P196" s="364">
        <v>90.2</v>
      </c>
      <c r="Q196" s="364">
        <v>97.63</v>
      </c>
      <c r="R196" s="364">
        <v>56.49</v>
      </c>
      <c r="S196" s="364">
        <v>146.69</v>
      </c>
      <c r="T196" s="365">
        <v>156</v>
      </c>
      <c r="U196" s="364">
        <v>106.16</v>
      </c>
      <c r="V196" s="365">
        <v>632</v>
      </c>
      <c r="W196" s="364">
        <v>0</v>
      </c>
      <c r="X196" s="365">
        <v>0</v>
      </c>
      <c r="Y196" s="366">
        <v>0</v>
      </c>
      <c r="Z196" s="366">
        <v>1</v>
      </c>
      <c r="AA196" s="366">
        <v>0</v>
      </c>
      <c r="AB196" s="366">
        <v>41</v>
      </c>
      <c r="AC196" s="366">
        <v>7</v>
      </c>
      <c r="AD196" s="366">
        <v>2056</v>
      </c>
      <c r="AE196" s="366">
        <v>17</v>
      </c>
      <c r="AF196" s="366">
        <v>16</v>
      </c>
      <c r="AG196" s="366">
        <v>33</v>
      </c>
    </row>
    <row r="197" spans="1:33" x14ac:dyDescent="0.2">
      <c r="A197" s="359" t="s">
        <v>448</v>
      </c>
      <c r="B197" s="359" t="s">
        <v>449</v>
      </c>
      <c r="C197" s="366">
        <v>14543</v>
      </c>
      <c r="D197" s="366">
        <v>0</v>
      </c>
      <c r="E197" s="366">
        <v>463</v>
      </c>
      <c r="F197" s="366">
        <v>2980</v>
      </c>
      <c r="G197" s="366">
        <v>555</v>
      </c>
      <c r="H197" s="363">
        <v>18541</v>
      </c>
      <c r="I197" s="363">
        <v>17986</v>
      </c>
      <c r="J197" s="366">
        <v>0</v>
      </c>
      <c r="K197" s="364">
        <v>76.03</v>
      </c>
      <c r="L197" s="364">
        <v>73.39</v>
      </c>
      <c r="M197" s="364">
        <v>2.25</v>
      </c>
      <c r="N197" s="364">
        <v>77.150000000000006</v>
      </c>
      <c r="O197" s="365">
        <v>12930</v>
      </c>
      <c r="P197" s="364">
        <v>77.56</v>
      </c>
      <c r="Q197" s="364">
        <v>67.17</v>
      </c>
      <c r="R197" s="364">
        <v>30.2</v>
      </c>
      <c r="S197" s="364">
        <v>104.16</v>
      </c>
      <c r="T197" s="365">
        <v>3204</v>
      </c>
      <c r="U197" s="364">
        <v>100.06</v>
      </c>
      <c r="V197" s="365">
        <v>1369</v>
      </c>
      <c r="W197" s="364">
        <v>136.07</v>
      </c>
      <c r="X197" s="365">
        <v>129</v>
      </c>
      <c r="Y197" s="366">
        <v>0</v>
      </c>
      <c r="Z197" s="366">
        <v>50</v>
      </c>
      <c r="AA197" s="366">
        <v>4</v>
      </c>
      <c r="AB197" s="366">
        <v>66</v>
      </c>
      <c r="AC197" s="366">
        <v>5</v>
      </c>
      <c r="AD197" s="366">
        <v>14306</v>
      </c>
      <c r="AE197" s="366">
        <v>142</v>
      </c>
      <c r="AF197" s="366">
        <v>50</v>
      </c>
      <c r="AG197" s="366">
        <v>192</v>
      </c>
    </row>
    <row r="198" spans="1:33" x14ac:dyDescent="0.2">
      <c r="A198" s="359" t="s">
        <v>450</v>
      </c>
      <c r="B198" s="359" t="s">
        <v>451</v>
      </c>
      <c r="C198" s="366">
        <v>4054</v>
      </c>
      <c r="D198" s="366">
        <v>0</v>
      </c>
      <c r="E198" s="366">
        <v>522</v>
      </c>
      <c r="F198" s="366">
        <v>1173</v>
      </c>
      <c r="G198" s="366">
        <v>271</v>
      </c>
      <c r="H198" s="363">
        <v>6020</v>
      </c>
      <c r="I198" s="363">
        <v>5749</v>
      </c>
      <c r="J198" s="366">
        <v>7</v>
      </c>
      <c r="K198" s="364">
        <v>89.37</v>
      </c>
      <c r="L198" s="364">
        <v>88.75</v>
      </c>
      <c r="M198" s="364">
        <v>6.44</v>
      </c>
      <c r="N198" s="364">
        <v>94.6</v>
      </c>
      <c r="O198" s="365">
        <v>3486</v>
      </c>
      <c r="P198" s="364">
        <v>100.23</v>
      </c>
      <c r="Q198" s="364">
        <v>81.790000000000006</v>
      </c>
      <c r="R198" s="364">
        <v>45.25</v>
      </c>
      <c r="S198" s="364">
        <v>142.66</v>
      </c>
      <c r="T198" s="365">
        <v>997</v>
      </c>
      <c r="U198" s="364">
        <v>110.31</v>
      </c>
      <c r="V198" s="365">
        <v>475</v>
      </c>
      <c r="W198" s="364">
        <v>140.41</v>
      </c>
      <c r="X198" s="365">
        <v>8</v>
      </c>
      <c r="Y198" s="366">
        <v>0</v>
      </c>
      <c r="Z198" s="366">
        <v>0</v>
      </c>
      <c r="AA198" s="366">
        <v>0</v>
      </c>
      <c r="AB198" s="366">
        <v>0</v>
      </c>
      <c r="AC198" s="366">
        <v>4</v>
      </c>
      <c r="AD198" s="366">
        <v>4038</v>
      </c>
      <c r="AE198" s="366">
        <v>22</v>
      </c>
      <c r="AF198" s="366">
        <v>24</v>
      </c>
      <c r="AG198" s="366">
        <v>46</v>
      </c>
    </row>
    <row r="199" spans="1:33" x14ac:dyDescent="0.2">
      <c r="A199" s="359" t="s">
        <v>452</v>
      </c>
      <c r="B199" s="359" t="s">
        <v>453</v>
      </c>
      <c r="C199" s="366">
        <v>6677</v>
      </c>
      <c r="D199" s="366">
        <v>217</v>
      </c>
      <c r="E199" s="366">
        <v>1362</v>
      </c>
      <c r="F199" s="366">
        <v>2199</v>
      </c>
      <c r="G199" s="366">
        <v>294</v>
      </c>
      <c r="H199" s="363">
        <v>10749</v>
      </c>
      <c r="I199" s="363">
        <v>10455</v>
      </c>
      <c r="J199" s="366">
        <v>38</v>
      </c>
      <c r="K199" s="364">
        <v>85.82</v>
      </c>
      <c r="L199" s="364">
        <v>82.76</v>
      </c>
      <c r="M199" s="364">
        <v>6.77</v>
      </c>
      <c r="N199" s="364">
        <v>90.18</v>
      </c>
      <c r="O199" s="365">
        <v>5738</v>
      </c>
      <c r="P199" s="364">
        <v>85.97</v>
      </c>
      <c r="Q199" s="364">
        <v>75.8</v>
      </c>
      <c r="R199" s="364">
        <v>79.39</v>
      </c>
      <c r="S199" s="364">
        <v>162.44999999999999</v>
      </c>
      <c r="T199" s="365">
        <v>2918</v>
      </c>
      <c r="U199" s="364">
        <v>104.62</v>
      </c>
      <c r="V199" s="365">
        <v>497</v>
      </c>
      <c r="W199" s="364">
        <v>198.27</v>
      </c>
      <c r="X199" s="365">
        <v>199</v>
      </c>
      <c r="Y199" s="366">
        <v>13</v>
      </c>
      <c r="Z199" s="366">
        <v>13</v>
      </c>
      <c r="AA199" s="366">
        <v>4</v>
      </c>
      <c r="AB199" s="366">
        <v>8</v>
      </c>
      <c r="AC199" s="366">
        <v>11</v>
      </c>
      <c r="AD199" s="366">
        <v>6603</v>
      </c>
      <c r="AE199" s="366">
        <v>66</v>
      </c>
      <c r="AF199" s="366">
        <v>36</v>
      </c>
      <c r="AG199" s="366">
        <v>102</v>
      </c>
    </row>
    <row r="200" spans="1:33" x14ac:dyDescent="0.2">
      <c r="A200" s="359" t="s">
        <v>454</v>
      </c>
      <c r="B200" s="359" t="s">
        <v>455</v>
      </c>
      <c r="C200" s="366">
        <v>2283</v>
      </c>
      <c r="D200" s="366">
        <v>0</v>
      </c>
      <c r="E200" s="366">
        <v>253</v>
      </c>
      <c r="F200" s="366">
        <v>360</v>
      </c>
      <c r="G200" s="366">
        <v>455</v>
      </c>
      <c r="H200" s="363">
        <v>3351</v>
      </c>
      <c r="I200" s="363">
        <v>2896</v>
      </c>
      <c r="J200" s="366">
        <v>0</v>
      </c>
      <c r="K200" s="364">
        <v>96.78</v>
      </c>
      <c r="L200" s="364">
        <v>92.94</v>
      </c>
      <c r="M200" s="364">
        <v>7.68</v>
      </c>
      <c r="N200" s="364">
        <v>103.18</v>
      </c>
      <c r="O200" s="365">
        <v>1670</v>
      </c>
      <c r="P200" s="364">
        <v>120.02</v>
      </c>
      <c r="Q200" s="364">
        <v>83.53</v>
      </c>
      <c r="R200" s="364">
        <v>61.81</v>
      </c>
      <c r="S200" s="364">
        <v>180.2</v>
      </c>
      <c r="T200" s="365">
        <v>455</v>
      </c>
      <c r="U200" s="364">
        <v>117.34</v>
      </c>
      <c r="V200" s="365">
        <v>596</v>
      </c>
      <c r="W200" s="364">
        <v>186.1</v>
      </c>
      <c r="X200" s="365">
        <v>60</v>
      </c>
      <c r="Y200" s="366">
        <v>0</v>
      </c>
      <c r="Z200" s="366">
        <v>1</v>
      </c>
      <c r="AA200" s="366">
        <v>0</v>
      </c>
      <c r="AB200" s="366">
        <v>36</v>
      </c>
      <c r="AC200" s="366">
        <v>8</v>
      </c>
      <c r="AD200" s="366">
        <v>2283</v>
      </c>
      <c r="AE200" s="366">
        <v>14</v>
      </c>
      <c r="AF200" s="366">
        <v>3</v>
      </c>
      <c r="AG200" s="366">
        <v>17</v>
      </c>
    </row>
    <row r="201" spans="1:33" x14ac:dyDescent="0.2">
      <c r="A201" s="359" t="s">
        <v>456</v>
      </c>
      <c r="B201" s="359" t="s">
        <v>457</v>
      </c>
      <c r="C201" s="366">
        <v>526</v>
      </c>
      <c r="D201" s="366">
        <v>0</v>
      </c>
      <c r="E201" s="366">
        <v>65</v>
      </c>
      <c r="F201" s="366">
        <v>95</v>
      </c>
      <c r="G201" s="366">
        <v>120</v>
      </c>
      <c r="H201" s="363">
        <v>806</v>
      </c>
      <c r="I201" s="363">
        <v>686</v>
      </c>
      <c r="J201" s="366">
        <v>2</v>
      </c>
      <c r="K201" s="364">
        <v>92.61</v>
      </c>
      <c r="L201" s="364">
        <v>89.91</v>
      </c>
      <c r="M201" s="364">
        <v>6.03</v>
      </c>
      <c r="N201" s="364">
        <v>95.96</v>
      </c>
      <c r="O201" s="365">
        <v>279</v>
      </c>
      <c r="P201" s="364">
        <v>112.89</v>
      </c>
      <c r="Q201" s="364">
        <v>74.58</v>
      </c>
      <c r="R201" s="364">
        <v>48.78</v>
      </c>
      <c r="S201" s="364">
        <v>161.66999999999999</v>
      </c>
      <c r="T201" s="365">
        <v>142</v>
      </c>
      <c r="U201" s="364">
        <v>112.14</v>
      </c>
      <c r="V201" s="365">
        <v>154</v>
      </c>
      <c r="W201" s="364">
        <v>0</v>
      </c>
      <c r="X201" s="365">
        <v>0</v>
      </c>
      <c r="Y201" s="366">
        <v>0</v>
      </c>
      <c r="Z201" s="366">
        <v>0</v>
      </c>
      <c r="AA201" s="366">
        <v>0</v>
      </c>
      <c r="AB201" s="366">
        <v>0</v>
      </c>
      <c r="AC201" s="366">
        <v>0</v>
      </c>
      <c r="AD201" s="366">
        <v>485</v>
      </c>
      <c r="AE201" s="366">
        <v>1</v>
      </c>
      <c r="AF201" s="366">
        <v>2</v>
      </c>
      <c r="AG201" s="366">
        <v>3</v>
      </c>
    </row>
    <row r="202" spans="1:33" x14ac:dyDescent="0.2">
      <c r="A202" s="359" t="s">
        <v>458</v>
      </c>
      <c r="B202" s="359" t="s">
        <v>459</v>
      </c>
      <c r="C202" s="366">
        <v>17142</v>
      </c>
      <c r="D202" s="366">
        <v>5</v>
      </c>
      <c r="E202" s="366">
        <v>583</v>
      </c>
      <c r="F202" s="366">
        <v>791</v>
      </c>
      <c r="G202" s="366">
        <v>280</v>
      </c>
      <c r="H202" s="363">
        <v>18801</v>
      </c>
      <c r="I202" s="363">
        <v>18521</v>
      </c>
      <c r="J202" s="366">
        <v>9</v>
      </c>
      <c r="K202" s="364">
        <v>78.17</v>
      </c>
      <c r="L202" s="364">
        <v>77.819999999999993</v>
      </c>
      <c r="M202" s="364">
        <v>4.54</v>
      </c>
      <c r="N202" s="364">
        <v>80.53</v>
      </c>
      <c r="O202" s="365">
        <v>15080</v>
      </c>
      <c r="P202" s="364">
        <v>78.11</v>
      </c>
      <c r="Q202" s="364">
        <v>74.75</v>
      </c>
      <c r="R202" s="364">
        <v>29.49</v>
      </c>
      <c r="S202" s="364">
        <v>104.29</v>
      </c>
      <c r="T202" s="365">
        <v>1307</v>
      </c>
      <c r="U202" s="364">
        <v>101.05</v>
      </c>
      <c r="V202" s="365">
        <v>1491</v>
      </c>
      <c r="W202" s="364">
        <v>0</v>
      </c>
      <c r="X202" s="365">
        <v>0</v>
      </c>
      <c r="Y202" s="366">
        <v>1</v>
      </c>
      <c r="Z202" s="366">
        <v>59</v>
      </c>
      <c r="AA202" s="366">
        <v>0</v>
      </c>
      <c r="AB202" s="366">
        <v>18</v>
      </c>
      <c r="AC202" s="366">
        <v>5</v>
      </c>
      <c r="AD202" s="366">
        <v>16523</v>
      </c>
      <c r="AE202" s="366">
        <v>34</v>
      </c>
      <c r="AF202" s="366">
        <v>72</v>
      </c>
      <c r="AG202" s="366">
        <v>106</v>
      </c>
    </row>
    <row r="203" spans="1:33" x14ac:dyDescent="0.2">
      <c r="A203" s="359" t="s">
        <v>460</v>
      </c>
      <c r="B203" s="359" t="s">
        <v>461</v>
      </c>
      <c r="C203" s="366">
        <v>3071</v>
      </c>
      <c r="D203" s="366">
        <v>2</v>
      </c>
      <c r="E203" s="366">
        <v>472</v>
      </c>
      <c r="F203" s="366">
        <v>859</v>
      </c>
      <c r="G203" s="366">
        <v>648</v>
      </c>
      <c r="H203" s="363">
        <v>5052</v>
      </c>
      <c r="I203" s="363">
        <v>4404</v>
      </c>
      <c r="J203" s="366">
        <v>2</v>
      </c>
      <c r="K203" s="364">
        <v>114.81</v>
      </c>
      <c r="L203" s="364">
        <v>111.19</v>
      </c>
      <c r="M203" s="364">
        <v>7.28</v>
      </c>
      <c r="N203" s="364">
        <v>120.57</v>
      </c>
      <c r="O203" s="365">
        <v>2878</v>
      </c>
      <c r="P203" s="364">
        <v>109.45</v>
      </c>
      <c r="Q203" s="364">
        <v>97.25</v>
      </c>
      <c r="R203" s="364">
        <v>49.95</v>
      </c>
      <c r="S203" s="364">
        <v>157.02000000000001</v>
      </c>
      <c r="T203" s="365">
        <v>1282</v>
      </c>
      <c r="U203" s="364">
        <v>176.1</v>
      </c>
      <c r="V203" s="365">
        <v>89</v>
      </c>
      <c r="W203" s="364">
        <v>0</v>
      </c>
      <c r="X203" s="365">
        <v>0</v>
      </c>
      <c r="Y203" s="366">
        <v>158</v>
      </c>
      <c r="Z203" s="366">
        <v>1</v>
      </c>
      <c r="AA203" s="366">
        <v>4</v>
      </c>
      <c r="AB203" s="366">
        <v>30</v>
      </c>
      <c r="AC203" s="366">
        <v>17</v>
      </c>
      <c r="AD203" s="366">
        <v>3071</v>
      </c>
      <c r="AE203" s="366">
        <v>27</v>
      </c>
      <c r="AF203" s="366">
        <v>72</v>
      </c>
      <c r="AG203" s="366">
        <v>99</v>
      </c>
    </row>
    <row r="204" spans="1:33" x14ac:dyDescent="0.2">
      <c r="A204" s="359" t="s">
        <v>462</v>
      </c>
      <c r="B204" s="359" t="s">
        <v>463</v>
      </c>
      <c r="C204" s="366">
        <v>4197</v>
      </c>
      <c r="D204" s="366">
        <v>0</v>
      </c>
      <c r="E204" s="366">
        <v>252</v>
      </c>
      <c r="F204" s="366">
        <v>198</v>
      </c>
      <c r="G204" s="366">
        <v>15</v>
      </c>
      <c r="H204" s="363">
        <v>4662</v>
      </c>
      <c r="I204" s="363">
        <v>4647</v>
      </c>
      <c r="J204" s="366">
        <v>2</v>
      </c>
      <c r="K204" s="364">
        <v>74.099999999999994</v>
      </c>
      <c r="L204" s="364">
        <v>70.959999999999994</v>
      </c>
      <c r="M204" s="364">
        <v>1.79</v>
      </c>
      <c r="N204" s="364">
        <v>75.73</v>
      </c>
      <c r="O204" s="365">
        <v>3719</v>
      </c>
      <c r="P204" s="364">
        <v>102.87</v>
      </c>
      <c r="Q204" s="364">
        <v>71.7</v>
      </c>
      <c r="R204" s="364">
        <v>63.63</v>
      </c>
      <c r="S204" s="364">
        <v>162.57</v>
      </c>
      <c r="T204" s="365">
        <v>323</v>
      </c>
      <c r="U204" s="364">
        <v>95.1</v>
      </c>
      <c r="V204" s="365">
        <v>463</v>
      </c>
      <c r="W204" s="364">
        <v>194.99</v>
      </c>
      <c r="X204" s="365">
        <v>27</v>
      </c>
      <c r="Y204" s="366">
        <v>17</v>
      </c>
      <c r="Z204" s="366">
        <v>8</v>
      </c>
      <c r="AA204" s="366">
        <v>11</v>
      </c>
      <c r="AB204" s="366">
        <v>0</v>
      </c>
      <c r="AC204" s="366">
        <v>1</v>
      </c>
      <c r="AD204" s="366">
        <v>4193</v>
      </c>
      <c r="AE204" s="366">
        <v>24</v>
      </c>
      <c r="AF204" s="366">
        <v>10</v>
      </c>
      <c r="AG204" s="366">
        <v>34</v>
      </c>
    </row>
    <row r="205" spans="1:33" x14ac:dyDescent="0.2">
      <c r="A205" s="359" t="s">
        <v>464</v>
      </c>
      <c r="B205" s="359" t="s">
        <v>465</v>
      </c>
      <c r="C205" s="366">
        <v>13122</v>
      </c>
      <c r="D205" s="366">
        <v>29</v>
      </c>
      <c r="E205" s="366">
        <v>615</v>
      </c>
      <c r="F205" s="366">
        <v>2312</v>
      </c>
      <c r="G205" s="366">
        <v>1103</v>
      </c>
      <c r="H205" s="363">
        <v>17181</v>
      </c>
      <c r="I205" s="363">
        <v>16078</v>
      </c>
      <c r="J205" s="366">
        <v>8</v>
      </c>
      <c r="K205" s="364">
        <v>87.21</v>
      </c>
      <c r="L205" s="364">
        <v>86.59</v>
      </c>
      <c r="M205" s="364">
        <v>5.89</v>
      </c>
      <c r="N205" s="364">
        <v>90.25</v>
      </c>
      <c r="O205" s="365">
        <v>11079</v>
      </c>
      <c r="P205" s="364">
        <v>92.56</v>
      </c>
      <c r="Q205" s="364">
        <v>84.49</v>
      </c>
      <c r="R205" s="364">
        <v>38.299999999999997</v>
      </c>
      <c r="S205" s="364">
        <v>129.22999999999999</v>
      </c>
      <c r="T205" s="365">
        <v>2585</v>
      </c>
      <c r="U205" s="364">
        <v>110.58</v>
      </c>
      <c r="V205" s="365">
        <v>1749</v>
      </c>
      <c r="W205" s="364">
        <v>207.35</v>
      </c>
      <c r="X205" s="365">
        <v>87</v>
      </c>
      <c r="Y205" s="366">
        <v>0</v>
      </c>
      <c r="Z205" s="366">
        <v>21</v>
      </c>
      <c r="AA205" s="366">
        <v>7</v>
      </c>
      <c r="AB205" s="366">
        <v>74</v>
      </c>
      <c r="AC205" s="366">
        <v>25</v>
      </c>
      <c r="AD205" s="366">
        <v>13122</v>
      </c>
      <c r="AE205" s="366">
        <v>71</v>
      </c>
      <c r="AF205" s="366">
        <v>5</v>
      </c>
      <c r="AG205" s="366">
        <v>76</v>
      </c>
    </row>
    <row r="206" spans="1:33" x14ac:dyDescent="0.2">
      <c r="A206" s="359" t="s">
        <v>466</v>
      </c>
      <c r="B206" s="359" t="s">
        <v>467</v>
      </c>
      <c r="C206" s="366">
        <v>18926</v>
      </c>
      <c r="D206" s="366">
        <v>0</v>
      </c>
      <c r="E206" s="366">
        <v>2467</v>
      </c>
      <c r="F206" s="366">
        <v>1063</v>
      </c>
      <c r="G206" s="366">
        <v>1200</v>
      </c>
      <c r="H206" s="363">
        <v>23656</v>
      </c>
      <c r="I206" s="363">
        <v>22456</v>
      </c>
      <c r="J206" s="366">
        <v>139</v>
      </c>
      <c r="K206" s="364">
        <v>76.55</v>
      </c>
      <c r="L206" s="364">
        <v>75.930000000000007</v>
      </c>
      <c r="M206" s="364">
        <v>6.99</v>
      </c>
      <c r="N206" s="364">
        <v>80.930000000000007</v>
      </c>
      <c r="O206" s="365">
        <v>13938</v>
      </c>
      <c r="P206" s="364">
        <v>72.900000000000006</v>
      </c>
      <c r="Q206" s="364">
        <v>70.650000000000006</v>
      </c>
      <c r="R206" s="364">
        <v>30.95</v>
      </c>
      <c r="S206" s="364">
        <v>101.4</v>
      </c>
      <c r="T206" s="365">
        <v>2918</v>
      </c>
      <c r="U206" s="364">
        <v>104.62</v>
      </c>
      <c r="V206" s="365">
        <v>4422</v>
      </c>
      <c r="W206" s="364">
        <v>97.55</v>
      </c>
      <c r="X206" s="365">
        <v>508</v>
      </c>
      <c r="Y206" s="366">
        <v>31</v>
      </c>
      <c r="Z206" s="366">
        <v>42</v>
      </c>
      <c r="AA206" s="366">
        <v>20</v>
      </c>
      <c r="AB206" s="366">
        <v>39</v>
      </c>
      <c r="AC206" s="366">
        <v>31</v>
      </c>
      <c r="AD206" s="366">
        <v>18434</v>
      </c>
      <c r="AE206" s="366">
        <v>111</v>
      </c>
      <c r="AF206" s="366">
        <v>176</v>
      </c>
      <c r="AG206" s="366">
        <v>287</v>
      </c>
    </row>
    <row r="207" spans="1:33" x14ac:dyDescent="0.2">
      <c r="A207" s="359" t="s">
        <v>468</v>
      </c>
      <c r="B207" s="359" t="s">
        <v>469</v>
      </c>
      <c r="C207" s="366">
        <v>4818</v>
      </c>
      <c r="D207" s="366">
        <v>36</v>
      </c>
      <c r="E207" s="366">
        <v>472</v>
      </c>
      <c r="F207" s="366">
        <v>1061</v>
      </c>
      <c r="G207" s="366">
        <v>639</v>
      </c>
      <c r="H207" s="363">
        <v>7026</v>
      </c>
      <c r="I207" s="363">
        <v>6387</v>
      </c>
      <c r="J207" s="366">
        <v>34</v>
      </c>
      <c r="K207" s="364">
        <v>100.16</v>
      </c>
      <c r="L207" s="364">
        <v>96.66</v>
      </c>
      <c r="M207" s="364">
        <v>9.23</v>
      </c>
      <c r="N207" s="364">
        <v>107.35</v>
      </c>
      <c r="O207" s="365">
        <v>3726</v>
      </c>
      <c r="P207" s="364">
        <v>88.74</v>
      </c>
      <c r="Q207" s="364">
        <v>77.98</v>
      </c>
      <c r="R207" s="364">
        <v>29.84</v>
      </c>
      <c r="S207" s="364">
        <v>117.07</v>
      </c>
      <c r="T207" s="365">
        <v>555</v>
      </c>
      <c r="U207" s="364">
        <v>131.94</v>
      </c>
      <c r="V207" s="365">
        <v>820</v>
      </c>
      <c r="W207" s="364">
        <v>183.89</v>
      </c>
      <c r="X207" s="365">
        <v>278</v>
      </c>
      <c r="Y207" s="366">
        <v>72</v>
      </c>
      <c r="Z207" s="366">
        <v>3</v>
      </c>
      <c r="AA207" s="366">
        <v>1</v>
      </c>
      <c r="AB207" s="366">
        <v>2</v>
      </c>
      <c r="AC207" s="366">
        <v>15</v>
      </c>
      <c r="AD207" s="366">
        <v>4724</v>
      </c>
      <c r="AE207" s="366">
        <v>23</v>
      </c>
      <c r="AF207" s="366">
        <v>9</v>
      </c>
      <c r="AG207" s="366">
        <v>32</v>
      </c>
    </row>
    <row r="208" spans="1:33" x14ac:dyDescent="0.2">
      <c r="A208" s="359" t="s">
        <v>470</v>
      </c>
      <c r="B208" s="359" t="s">
        <v>471</v>
      </c>
      <c r="C208" s="366">
        <v>10127</v>
      </c>
      <c r="D208" s="366">
        <v>12</v>
      </c>
      <c r="E208" s="366">
        <v>666</v>
      </c>
      <c r="F208" s="366">
        <v>1104</v>
      </c>
      <c r="G208" s="366">
        <v>535</v>
      </c>
      <c r="H208" s="363">
        <v>12444</v>
      </c>
      <c r="I208" s="363">
        <v>11909</v>
      </c>
      <c r="J208" s="366">
        <v>0</v>
      </c>
      <c r="K208" s="364">
        <v>79.599999999999994</v>
      </c>
      <c r="L208" s="364">
        <v>78.959999999999994</v>
      </c>
      <c r="M208" s="364">
        <v>5.85</v>
      </c>
      <c r="N208" s="364">
        <v>82.71</v>
      </c>
      <c r="O208" s="365">
        <v>8839</v>
      </c>
      <c r="P208" s="364">
        <v>80.819999999999993</v>
      </c>
      <c r="Q208" s="364">
        <v>70.739999999999995</v>
      </c>
      <c r="R208" s="364">
        <v>51.8</v>
      </c>
      <c r="S208" s="364">
        <v>128.76</v>
      </c>
      <c r="T208" s="365">
        <v>1599</v>
      </c>
      <c r="U208" s="364">
        <v>105.53</v>
      </c>
      <c r="V208" s="365">
        <v>1258</v>
      </c>
      <c r="W208" s="364">
        <v>200.65</v>
      </c>
      <c r="X208" s="365">
        <v>81</v>
      </c>
      <c r="Y208" s="366">
        <v>49</v>
      </c>
      <c r="Z208" s="366">
        <v>22</v>
      </c>
      <c r="AA208" s="366">
        <v>5</v>
      </c>
      <c r="AB208" s="366">
        <v>45</v>
      </c>
      <c r="AC208" s="366">
        <v>9</v>
      </c>
      <c r="AD208" s="366">
        <v>10106</v>
      </c>
      <c r="AE208" s="366">
        <v>70</v>
      </c>
      <c r="AF208" s="366">
        <v>145</v>
      </c>
      <c r="AG208" s="366">
        <v>215</v>
      </c>
    </row>
    <row r="209" spans="1:33" x14ac:dyDescent="0.2">
      <c r="A209" s="359" t="s">
        <v>472</v>
      </c>
      <c r="B209" s="359" t="s">
        <v>473</v>
      </c>
      <c r="C209" s="366">
        <v>3745</v>
      </c>
      <c r="D209" s="366">
        <v>0</v>
      </c>
      <c r="E209" s="366">
        <v>314</v>
      </c>
      <c r="F209" s="366">
        <v>491</v>
      </c>
      <c r="G209" s="366">
        <v>930</v>
      </c>
      <c r="H209" s="363">
        <v>5480</v>
      </c>
      <c r="I209" s="363">
        <v>4550</v>
      </c>
      <c r="J209" s="366">
        <v>18</v>
      </c>
      <c r="K209" s="364">
        <v>119.26</v>
      </c>
      <c r="L209" s="364">
        <v>117.06</v>
      </c>
      <c r="M209" s="364">
        <v>9.2899999999999991</v>
      </c>
      <c r="N209" s="364">
        <v>127.99</v>
      </c>
      <c r="O209" s="365">
        <v>2845</v>
      </c>
      <c r="P209" s="364">
        <v>106.9</v>
      </c>
      <c r="Q209" s="364">
        <v>99.64</v>
      </c>
      <c r="R209" s="364">
        <v>82.32</v>
      </c>
      <c r="S209" s="364">
        <v>181.7</v>
      </c>
      <c r="T209" s="365">
        <v>646</v>
      </c>
      <c r="U209" s="364">
        <v>188.24</v>
      </c>
      <c r="V209" s="365">
        <v>510</v>
      </c>
      <c r="W209" s="364">
        <v>140.78</v>
      </c>
      <c r="X209" s="365">
        <v>33</v>
      </c>
      <c r="Y209" s="366">
        <v>0</v>
      </c>
      <c r="Z209" s="366">
        <v>0</v>
      </c>
      <c r="AA209" s="366">
        <v>8</v>
      </c>
      <c r="AB209" s="366">
        <v>0</v>
      </c>
      <c r="AC209" s="366">
        <v>20</v>
      </c>
      <c r="AD209" s="366">
        <v>3574</v>
      </c>
      <c r="AE209" s="366">
        <v>35</v>
      </c>
      <c r="AF209" s="366">
        <v>14</v>
      </c>
      <c r="AG209" s="366">
        <v>49</v>
      </c>
    </row>
    <row r="210" spans="1:33" x14ac:dyDescent="0.2">
      <c r="A210" s="359" t="s">
        <v>474</v>
      </c>
      <c r="B210" s="359" t="s">
        <v>475</v>
      </c>
      <c r="C210" s="366">
        <v>3507</v>
      </c>
      <c r="D210" s="366">
        <v>3</v>
      </c>
      <c r="E210" s="366">
        <v>324</v>
      </c>
      <c r="F210" s="366">
        <v>1097</v>
      </c>
      <c r="G210" s="366">
        <v>864</v>
      </c>
      <c r="H210" s="363">
        <v>5795</v>
      </c>
      <c r="I210" s="363">
        <v>4931</v>
      </c>
      <c r="J210" s="366">
        <v>17</v>
      </c>
      <c r="K210" s="364">
        <v>125.25</v>
      </c>
      <c r="L210" s="364">
        <v>123.56</v>
      </c>
      <c r="M210" s="364">
        <v>12.24</v>
      </c>
      <c r="N210" s="364">
        <v>132.44999999999999</v>
      </c>
      <c r="O210" s="365">
        <v>2849</v>
      </c>
      <c r="P210" s="364">
        <v>105.96</v>
      </c>
      <c r="Q210" s="364">
        <v>98.54</v>
      </c>
      <c r="R210" s="364">
        <v>55.41</v>
      </c>
      <c r="S210" s="364">
        <v>160.52000000000001</v>
      </c>
      <c r="T210" s="365">
        <v>1247</v>
      </c>
      <c r="U210" s="364">
        <v>191.02</v>
      </c>
      <c r="V210" s="365">
        <v>385</v>
      </c>
      <c r="W210" s="364">
        <v>137.52000000000001</v>
      </c>
      <c r="X210" s="365">
        <v>53</v>
      </c>
      <c r="Y210" s="366">
        <v>5</v>
      </c>
      <c r="Z210" s="366">
        <v>1</v>
      </c>
      <c r="AA210" s="366">
        <v>1</v>
      </c>
      <c r="AB210" s="366">
        <v>24</v>
      </c>
      <c r="AC210" s="366">
        <v>18</v>
      </c>
      <c r="AD210" s="366">
        <v>3382</v>
      </c>
      <c r="AE210" s="366">
        <v>27</v>
      </c>
      <c r="AF210" s="366">
        <v>7</v>
      </c>
      <c r="AG210" s="366">
        <v>34</v>
      </c>
    </row>
    <row r="211" spans="1:33" x14ac:dyDescent="0.2">
      <c r="A211" s="359" t="s">
        <v>476</v>
      </c>
      <c r="B211" s="359" t="s">
        <v>477</v>
      </c>
      <c r="C211" s="366">
        <v>11402</v>
      </c>
      <c r="D211" s="366">
        <v>0</v>
      </c>
      <c r="E211" s="366">
        <v>263</v>
      </c>
      <c r="F211" s="366">
        <v>635</v>
      </c>
      <c r="G211" s="366">
        <v>303</v>
      </c>
      <c r="H211" s="363">
        <v>12603</v>
      </c>
      <c r="I211" s="363">
        <v>12300</v>
      </c>
      <c r="J211" s="366">
        <v>4</v>
      </c>
      <c r="K211" s="364">
        <v>88.12</v>
      </c>
      <c r="L211" s="364">
        <v>88.08</v>
      </c>
      <c r="M211" s="364">
        <v>5.13</v>
      </c>
      <c r="N211" s="364">
        <v>90.73</v>
      </c>
      <c r="O211" s="365">
        <v>10795</v>
      </c>
      <c r="P211" s="364">
        <v>86.13</v>
      </c>
      <c r="Q211" s="364">
        <v>76.650000000000006</v>
      </c>
      <c r="R211" s="364">
        <v>53.72</v>
      </c>
      <c r="S211" s="364">
        <v>139.76</v>
      </c>
      <c r="T211" s="365">
        <v>642</v>
      </c>
      <c r="U211" s="364">
        <v>104.81</v>
      </c>
      <c r="V211" s="365">
        <v>404</v>
      </c>
      <c r="W211" s="364">
        <v>139.77000000000001</v>
      </c>
      <c r="X211" s="365">
        <v>163</v>
      </c>
      <c r="Y211" s="366">
        <v>0</v>
      </c>
      <c r="Z211" s="366">
        <v>42</v>
      </c>
      <c r="AA211" s="366">
        <v>3</v>
      </c>
      <c r="AB211" s="366">
        <v>17</v>
      </c>
      <c r="AC211" s="366">
        <v>6</v>
      </c>
      <c r="AD211" s="366">
        <v>11402</v>
      </c>
      <c r="AE211" s="366">
        <v>92</v>
      </c>
      <c r="AF211" s="366">
        <v>104</v>
      </c>
      <c r="AG211" s="366">
        <v>196</v>
      </c>
    </row>
    <row r="212" spans="1:33" x14ac:dyDescent="0.2">
      <c r="A212" s="359" t="s">
        <v>478</v>
      </c>
      <c r="B212" s="359" t="s">
        <v>479</v>
      </c>
      <c r="C212" s="366">
        <v>1917</v>
      </c>
      <c r="D212" s="366">
        <v>0</v>
      </c>
      <c r="E212" s="366">
        <v>174</v>
      </c>
      <c r="F212" s="366">
        <v>181</v>
      </c>
      <c r="G212" s="366">
        <v>262</v>
      </c>
      <c r="H212" s="363">
        <v>2534</v>
      </c>
      <c r="I212" s="363">
        <v>2272</v>
      </c>
      <c r="J212" s="366">
        <v>0</v>
      </c>
      <c r="K212" s="364">
        <v>92.1</v>
      </c>
      <c r="L212" s="364">
        <v>90.66</v>
      </c>
      <c r="M212" s="364">
        <v>4.72</v>
      </c>
      <c r="N212" s="364">
        <v>96.1</v>
      </c>
      <c r="O212" s="365">
        <v>1513</v>
      </c>
      <c r="P212" s="364">
        <v>110.15</v>
      </c>
      <c r="Q212" s="364">
        <v>91.57</v>
      </c>
      <c r="R212" s="364">
        <v>64.95</v>
      </c>
      <c r="S212" s="364">
        <v>170.42</v>
      </c>
      <c r="T212" s="365">
        <v>250</v>
      </c>
      <c r="U212" s="364">
        <v>120.98</v>
      </c>
      <c r="V212" s="365">
        <v>196</v>
      </c>
      <c r="W212" s="364">
        <v>217.42</v>
      </c>
      <c r="X212" s="365">
        <v>44</v>
      </c>
      <c r="Y212" s="366">
        <v>0</v>
      </c>
      <c r="Z212" s="366">
        <v>1</v>
      </c>
      <c r="AA212" s="366">
        <v>1</v>
      </c>
      <c r="AB212" s="366">
        <v>25</v>
      </c>
      <c r="AC212" s="366">
        <v>6</v>
      </c>
      <c r="AD212" s="366">
        <v>1753</v>
      </c>
      <c r="AE212" s="366">
        <v>10</v>
      </c>
      <c r="AF212" s="366">
        <v>2</v>
      </c>
      <c r="AG212" s="366">
        <v>12</v>
      </c>
    </row>
    <row r="213" spans="1:33" x14ac:dyDescent="0.2">
      <c r="A213" s="359" t="s">
        <v>480</v>
      </c>
      <c r="B213" s="359" t="s">
        <v>481</v>
      </c>
      <c r="C213" s="366">
        <v>6247</v>
      </c>
      <c r="D213" s="366">
        <v>0</v>
      </c>
      <c r="E213" s="366">
        <v>431</v>
      </c>
      <c r="F213" s="366">
        <v>530</v>
      </c>
      <c r="G213" s="366">
        <v>926</v>
      </c>
      <c r="H213" s="363">
        <v>8134</v>
      </c>
      <c r="I213" s="363">
        <v>7208</v>
      </c>
      <c r="J213" s="366">
        <v>12</v>
      </c>
      <c r="K213" s="364">
        <v>119.59</v>
      </c>
      <c r="L213" s="364">
        <v>119.15</v>
      </c>
      <c r="M213" s="364">
        <v>4.9800000000000004</v>
      </c>
      <c r="N213" s="364">
        <v>124.36</v>
      </c>
      <c r="O213" s="365">
        <v>5188</v>
      </c>
      <c r="P213" s="364">
        <v>114.16</v>
      </c>
      <c r="Q213" s="364">
        <v>107.66</v>
      </c>
      <c r="R213" s="364">
        <v>30.92</v>
      </c>
      <c r="S213" s="364">
        <v>144.52000000000001</v>
      </c>
      <c r="T213" s="365">
        <v>611</v>
      </c>
      <c r="U213" s="364">
        <v>154.59</v>
      </c>
      <c r="V213" s="365">
        <v>940</v>
      </c>
      <c r="W213" s="364">
        <v>216.09</v>
      </c>
      <c r="X213" s="365">
        <v>63</v>
      </c>
      <c r="Y213" s="366">
        <v>0</v>
      </c>
      <c r="Z213" s="366">
        <v>6</v>
      </c>
      <c r="AA213" s="366">
        <v>0</v>
      </c>
      <c r="AB213" s="366">
        <v>46</v>
      </c>
      <c r="AC213" s="366">
        <v>18</v>
      </c>
      <c r="AD213" s="366">
        <v>6247</v>
      </c>
      <c r="AE213" s="366">
        <v>39</v>
      </c>
      <c r="AF213" s="366">
        <v>26</v>
      </c>
      <c r="AG213" s="366">
        <v>65</v>
      </c>
    </row>
    <row r="214" spans="1:33" x14ac:dyDescent="0.2">
      <c r="A214" s="359" t="s">
        <v>482</v>
      </c>
      <c r="B214" s="359" t="s">
        <v>483</v>
      </c>
      <c r="C214" s="366">
        <v>1329</v>
      </c>
      <c r="D214" s="366">
        <v>0</v>
      </c>
      <c r="E214" s="366">
        <v>86</v>
      </c>
      <c r="F214" s="366">
        <v>739</v>
      </c>
      <c r="G214" s="366">
        <v>453</v>
      </c>
      <c r="H214" s="363">
        <v>2607</v>
      </c>
      <c r="I214" s="363">
        <v>2154</v>
      </c>
      <c r="J214" s="366">
        <v>37</v>
      </c>
      <c r="K214" s="364">
        <v>85.99</v>
      </c>
      <c r="L214" s="364">
        <v>83.03</v>
      </c>
      <c r="M214" s="364">
        <v>3.82</v>
      </c>
      <c r="N214" s="364">
        <v>88.65</v>
      </c>
      <c r="O214" s="365">
        <v>949</v>
      </c>
      <c r="P214" s="364">
        <v>74.58</v>
      </c>
      <c r="Q214" s="364">
        <v>65.92</v>
      </c>
      <c r="R214" s="364">
        <v>19.100000000000001</v>
      </c>
      <c r="S214" s="364">
        <v>93.06</v>
      </c>
      <c r="T214" s="365">
        <v>776</v>
      </c>
      <c r="U214" s="364">
        <v>104.14</v>
      </c>
      <c r="V214" s="365">
        <v>377</v>
      </c>
      <c r="W214" s="364">
        <v>135.75</v>
      </c>
      <c r="X214" s="365">
        <v>12</v>
      </c>
      <c r="Y214" s="366">
        <v>15</v>
      </c>
      <c r="Z214" s="366">
        <v>3</v>
      </c>
      <c r="AA214" s="366">
        <v>3</v>
      </c>
      <c r="AB214" s="366">
        <v>33</v>
      </c>
      <c r="AC214" s="366">
        <v>10</v>
      </c>
      <c r="AD214" s="366">
        <v>1329</v>
      </c>
      <c r="AE214" s="366">
        <v>6</v>
      </c>
      <c r="AF214" s="366">
        <v>9</v>
      </c>
      <c r="AG214" s="366">
        <v>15</v>
      </c>
    </row>
    <row r="215" spans="1:33" x14ac:dyDescent="0.2">
      <c r="A215" s="359" t="s">
        <v>484</v>
      </c>
      <c r="B215" s="359" t="s">
        <v>485</v>
      </c>
      <c r="C215" s="366">
        <v>8826</v>
      </c>
      <c r="D215" s="366">
        <v>6</v>
      </c>
      <c r="E215" s="366">
        <v>278</v>
      </c>
      <c r="F215" s="366">
        <v>819</v>
      </c>
      <c r="G215" s="366">
        <v>469</v>
      </c>
      <c r="H215" s="363">
        <v>10398</v>
      </c>
      <c r="I215" s="363">
        <v>9929</v>
      </c>
      <c r="J215" s="366">
        <v>36</v>
      </c>
      <c r="K215" s="364">
        <v>123.56</v>
      </c>
      <c r="L215" s="364">
        <v>137.61000000000001</v>
      </c>
      <c r="M215" s="364">
        <v>10.46</v>
      </c>
      <c r="N215" s="364">
        <v>130.9</v>
      </c>
      <c r="O215" s="365">
        <v>7840</v>
      </c>
      <c r="P215" s="364">
        <v>121.53</v>
      </c>
      <c r="Q215" s="364">
        <v>118.28</v>
      </c>
      <c r="R215" s="364">
        <v>46.65</v>
      </c>
      <c r="S215" s="364">
        <v>164.63</v>
      </c>
      <c r="T215" s="365">
        <v>1010</v>
      </c>
      <c r="U215" s="364">
        <v>201.28</v>
      </c>
      <c r="V215" s="365">
        <v>834</v>
      </c>
      <c r="W215" s="364">
        <v>257.47000000000003</v>
      </c>
      <c r="X215" s="365">
        <v>4</v>
      </c>
      <c r="Y215" s="366">
        <v>2</v>
      </c>
      <c r="Z215" s="366">
        <v>1</v>
      </c>
      <c r="AA215" s="366">
        <v>1</v>
      </c>
      <c r="AB215" s="366">
        <v>0</v>
      </c>
      <c r="AC215" s="366">
        <v>12</v>
      </c>
      <c r="AD215" s="366">
        <v>8774</v>
      </c>
      <c r="AE215" s="366">
        <v>19</v>
      </c>
      <c r="AF215" s="366">
        <v>45</v>
      </c>
      <c r="AG215" s="366">
        <v>64</v>
      </c>
    </row>
    <row r="216" spans="1:33" x14ac:dyDescent="0.2">
      <c r="A216" s="359" t="s">
        <v>486</v>
      </c>
      <c r="B216" s="359" t="s">
        <v>487</v>
      </c>
      <c r="C216" s="366">
        <v>726</v>
      </c>
      <c r="D216" s="366">
        <v>0</v>
      </c>
      <c r="E216" s="366">
        <v>119</v>
      </c>
      <c r="F216" s="366">
        <v>96</v>
      </c>
      <c r="G216" s="366">
        <v>59</v>
      </c>
      <c r="H216" s="363">
        <v>1000</v>
      </c>
      <c r="I216" s="363">
        <v>941</v>
      </c>
      <c r="J216" s="366">
        <v>2</v>
      </c>
      <c r="K216" s="364">
        <v>92.28</v>
      </c>
      <c r="L216" s="364">
        <v>88.52</v>
      </c>
      <c r="M216" s="364">
        <v>3.99</v>
      </c>
      <c r="N216" s="364">
        <v>95.28</v>
      </c>
      <c r="O216" s="365">
        <v>530</v>
      </c>
      <c r="P216" s="364">
        <v>101.61</v>
      </c>
      <c r="Q216" s="364">
        <v>94.53</v>
      </c>
      <c r="R216" s="364">
        <v>116.98</v>
      </c>
      <c r="S216" s="364">
        <v>218.59</v>
      </c>
      <c r="T216" s="365">
        <v>84</v>
      </c>
      <c r="U216" s="364">
        <v>105.44</v>
      </c>
      <c r="V216" s="365">
        <v>174</v>
      </c>
      <c r="W216" s="364">
        <v>210.67</v>
      </c>
      <c r="X216" s="365">
        <v>121</v>
      </c>
      <c r="Y216" s="366">
        <v>0</v>
      </c>
      <c r="Z216" s="366">
        <v>0</v>
      </c>
      <c r="AA216" s="366">
        <v>1</v>
      </c>
      <c r="AB216" s="366">
        <v>4</v>
      </c>
      <c r="AC216" s="366">
        <v>0</v>
      </c>
      <c r="AD216" s="366">
        <v>726</v>
      </c>
      <c r="AE216" s="366">
        <v>3</v>
      </c>
      <c r="AF216" s="366">
        <v>6</v>
      </c>
      <c r="AG216" s="366">
        <v>9</v>
      </c>
    </row>
    <row r="217" spans="1:33" x14ac:dyDescent="0.2">
      <c r="A217" s="359" t="s">
        <v>488</v>
      </c>
      <c r="B217" s="359" t="s">
        <v>489</v>
      </c>
      <c r="C217" s="366">
        <v>18025</v>
      </c>
      <c r="D217" s="366">
        <v>0</v>
      </c>
      <c r="E217" s="366">
        <v>686</v>
      </c>
      <c r="F217" s="366">
        <v>2018</v>
      </c>
      <c r="G217" s="366">
        <v>228</v>
      </c>
      <c r="H217" s="363">
        <v>20957</v>
      </c>
      <c r="I217" s="363">
        <v>20729</v>
      </c>
      <c r="J217" s="366">
        <v>8</v>
      </c>
      <c r="K217" s="364">
        <v>76.33</v>
      </c>
      <c r="L217" s="364">
        <v>76.44</v>
      </c>
      <c r="M217" s="364">
        <v>5.07</v>
      </c>
      <c r="N217" s="364">
        <v>80.849999999999994</v>
      </c>
      <c r="O217" s="365">
        <v>15941</v>
      </c>
      <c r="P217" s="364">
        <v>76.97</v>
      </c>
      <c r="Q217" s="364">
        <v>70.58</v>
      </c>
      <c r="R217" s="364">
        <v>43.75</v>
      </c>
      <c r="S217" s="364">
        <v>118.82</v>
      </c>
      <c r="T217" s="365">
        <v>2466</v>
      </c>
      <c r="U217" s="364">
        <v>99.55</v>
      </c>
      <c r="V217" s="365">
        <v>1981</v>
      </c>
      <c r="W217" s="364">
        <v>243.35</v>
      </c>
      <c r="X217" s="365">
        <v>37</v>
      </c>
      <c r="Y217" s="366">
        <v>0</v>
      </c>
      <c r="Z217" s="366">
        <v>114</v>
      </c>
      <c r="AA217" s="366">
        <v>10</v>
      </c>
      <c r="AB217" s="366">
        <v>24</v>
      </c>
      <c r="AC217" s="366">
        <v>6</v>
      </c>
      <c r="AD217" s="366">
        <v>17873</v>
      </c>
      <c r="AE217" s="366">
        <v>67</v>
      </c>
      <c r="AF217" s="366">
        <v>210</v>
      </c>
      <c r="AG217" s="366">
        <v>277</v>
      </c>
    </row>
    <row r="218" spans="1:33" x14ac:dyDescent="0.2">
      <c r="A218" s="359" t="s">
        <v>490</v>
      </c>
      <c r="B218" s="359" t="s">
        <v>491</v>
      </c>
      <c r="C218" s="366">
        <v>2300</v>
      </c>
      <c r="D218" s="366">
        <v>0</v>
      </c>
      <c r="E218" s="366">
        <v>63</v>
      </c>
      <c r="F218" s="366">
        <v>698</v>
      </c>
      <c r="G218" s="366">
        <v>290</v>
      </c>
      <c r="H218" s="363">
        <v>3351</v>
      </c>
      <c r="I218" s="363">
        <v>3061</v>
      </c>
      <c r="J218" s="366">
        <v>6</v>
      </c>
      <c r="K218" s="364">
        <v>100.77</v>
      </c>
      <c r="L218" s="364">
        <v>100.9</v>
      </c>
      <c r="M218" s="364">
        <v>8.15</v>
      </c>
      <c r="N218" s="364">
        <v>105.17</v>
      </c>
      <c r="O218" s="365">
        <v>1757</v>
      </c>
      <c r="P218" s="364">
        <v>89.92</v>
      </c>
      <c r="Q218" s="364">
        <v>86.36</v>
      </c>
      <c r="R218" s="364">
        <v>45.74</v>
      </c>
      <c r="S218" s="364">
        <v>135.54</v>
      </c>
      <c r="T218" s="365">
        <v>755</v>
      </c>
      <c r="U218" s="364">
        <v>149.29</v>
      </c>
      <c r="V218" s="365">
        <v>538</v>
      </c>
      <c r="W218" s="364">
        <v>0</v>
      </c>
      <c r="X218" s="365">
        <v>0</v>
      </c>
      <c r="Y218" s="366">
        <v>0</v>
      </c>
      <c r="Z218" s="366">
        <v>1</v>
      </c>
      <c r="AA218" s="366">
        <v>5</v>
      </c>
      <c r="AB218" s="366">
        <v>31</v>
      </c>
      <c r="AC218" s="366">
        <v>1</v>
      </c>
      <c r="AD218" s="366">
        <v>2300</v>
      </c>
      <c r="AE218" s="366">
        <v>10</v>
      </c>
      <c r="AF218" s="366">
        <v>12</v>
      </c>
      <c r="AG218" s="366">
        <v>22</v>
      </c>
    </row>
    <row r="219" spans="1:33" x14ac:dyDescent="0.2">
      <c r="A219" s="359" t="s">
        <v>492</v>
      </c>
      <c r="B219" s="359" t="s">
        <v>493</v>
      </c>
      <c r="C219" s="366">
        <v>4189</v>
      </c>
      <c r="D219" s="366">
        <v>0</v>
      </c>
      <c r="E219" s="366">
        <v>106</v>
      </c>
      <c r="F219" s="366">
        <v>378</v>
      </c>
      <c r="G219" s="366">
        <v>40</v>
      </c>
      <c r="H219" s="363">
        <v>4713</v>
      </c>
      <c r="I219" s="363">
        <v>4673</v>
      </c>
      <c r="J219" s="366">
        <v>5</v>
      </c>
      <c r="K219" s="364">
        <v>74.53</v>
      </c>
      <c r="L219" s="364">
        <v>72.14</v>
      </c>
      <c r="M219" s="364">
        <v>4.8899999999999997</v>
      </c>
      <c r="N219" s="364">
        <v>75.05</v>
      </c>
      <c r="O219" s="365">
        <v>3627</v>
      </c>
      <c r="P219" s="364">
        <v>90.21</v>
      </c>
      <c r="Q219" s="364">
        <v>80.34</v>
      </c>
      <c r="R219" s="364">
        <v>46.49</v>
      </c>
      <c r="S219" s="364">
        <v>132.03</v>
      </c>
      <c r="T219" s="365">
        <v>438</v>
      </c>
      <c r="U219" s="364">
        <v>93.18</v>
      </c>
      <c r="V219" s="365">
        <v>552</v>
      </c>
      <c r="W219" s="364">
        <v>0</v>
      </c>
      <c r="X219" s="365">
        <v>0</v>
      </c>
      <c r="Y219" s="366">
        <v>0</v>
      </c>
      <c r="Z219" s="366">
        <v>13</v>
      </c>
      <c r="AA219" s="366">
        <v>1</v>
      </c>
      <c r="AB219" s="366">
        <v>0</v>
      </c>
      <c r="AC219" s="366">
        <v>3</v>
      </c>
      <c r="AD219" s="366">
        <v>4184</v>
      </c>
      <c r="AE219" s="366">
        <v>15</v>
      </c>
      <c r="AF219" s="366">
        <v>22</v>
      </c>
      <c r="AG219" s="366">
        <v>37</v>
      </c>
    </row>
    <row r="220" spans="1:33" x14ac:dyDescent="0.2">
      <c r="A220" s="359" t="s">
        <v>494</v>
      </c>
      <c r="B220" s="359" t="s">
        <v>495</v>
      </c>
      <c r="C220" s="366">
        <v>3733</v>
      </c>
      <c r="D220" s="366">
        <v>0</v>
      </c>
      <c r="E220" s="366">
        <v>80</v>
      </c>
      <c r="F220" s="366">
        <v>685</v>
      </c>
      <c r="G220" s="366">
        <v>344</v>
      </c>
      <c r="H220" s="363">
        <v>4842</v>
      </c>
      <c r="I220" s="363">
        <v>4498</v>
      </c>
      <c r="J220" s="366">
        <v>10</v>
      </c>
      <c r="K220" s="364">
        <v>97.11</v>
      </c>
      <c r="L220" s="364">
        <v>95.51</v>
      </c>
      <c r="M220" s="364">
        <v>3.31</v>
      </c>
      <c r="N220" s="364">
        <v>99.83</v>
      </c>
      <c r="O220" s="365">
        <v>3147</v>
      </c>
      <c r="P220" s="364">
        <v>87.77</v>
      </c>
      <c r="Q220" s="364">
        <v>80.08</v>
      </c>
      <c r="R220" s="364">
        <v>41.44</v>
      </c>
      <c r="S220" s="364">
        <v>129.13999999999999</v>
      </c>
      <c r="T220" s="365">
        <v>621</v>
      </c>
      <c r="U220" s="364">
        <v>123.54</v>
      </c>
      <c r="V220" s="365">
        <v>583</v>
      </c>
      <c r="W220" s="364">
        <v>132.29</v>
      </c>
      <c r="X220" s="365">
        <v>14</v>
      </c>
      <c r="Y220" s="366">
        <v>0</v>
      </c>
      <c r="Z220" s="366">
        <v>2</v>
      </c>
      <c r="AA220" s="366">
        <v>22</v>
      </c>
      <c r="AB220" s="366">
        <v>49</v>
      </c>
      <c r="AC220" s="366">
        <v>2</v>
      </c>
      <c r="AD220" s="366">
        <v>3733</v>
      </c>
      <c r="AE220" s="366">
        <v>17</v>
      </c>
      <c r="AF220" s="366">
        <v>10</v>
      </c>
      <c r="AG220" s="366">
        <v>27</v>
      </c>
    </row>
    <row r="221" spans="1:33" x14ac:dyDescent="0.2">
      <c r="A221" s="359" t="s">
        <v>496</v>
      </c>
      <c r="B221" s="359" t="s">
        <v>497</v>
      </c>
      <c r="C221" s="366">
        <v>3446</v>
      </c>
      <c r="D221" s="366">
        <v>0</v>
      </c>
      <c r="E221" s="366">
        <v>442</v>
      </c>
      <c r="F221" s="366">
        <v>859</v>
      </c>
      <c r="G221" s="366">
        <v>338</v>
      </c>
      <c r="H221" s="363">
        <v>5085</v>
      </c>
      <c r="I221" s="363">
        <v>4747</v>
      </c>
      <c r="J221" s="366">
        <v>2</v>
      </c>
      <c r="K221" s="364">
        <v>82.61</v>
      </c>
      <c r="L221" s="364">
        <v>81.040000000000006</v>
      </c>
      <c r="M221" s="364">
        <v>7.92</v>
      </c>
      <c r="N221" s="364">
        <v>86.86</v>
      </c>
      <c r="O221" s="365">
        <v>2769</v>
      </c>
      <c r="P221" s="364">
        <v>91.39</v>
      </c>
      <c r="Q221" s="364">
        <v>75.709999999999994</v>
      </c>
      <c r="R221" s="364">
        <v>43.87</v>
      </c>
      <c r="S221" s="364">
        <v>132.47999999999999</v>
      </c>
      <c r="T221" s="365">
        <v>1262</v>
      </c>
      <c r="U221" s="364">
        <v>100.6</v>
      </c>
      <c r="V221" s="365">
        <v>561</v>
      </c>
      <c r="W221" s="364">
        <v>142.28</v>
      </c>
      <c r="X221" s="365">
        <v>25</v>
      </c>
      <c r="Y221" s="366">
        <v>1</v>
      </c>
      <c r="Z221" s="366">
        <v>0</v>
      </c>
      <c r="AA221" s="366">
        <v>13</v>
      </c>
      <c r="AB221" s="366">
        <v>18</v>
      </c>
      <c r="AC221" s="366">
        <v>6</v>
      </c>
      <c r="AD221" s="366">
        <v>3389</v>
      </c>
      <c r="AE221" s="366">
        <v>30</v>
      </c>
      <c r="AF221" s="366">
        <v>10</v>
      </c>
      <c r="AG221" s="366">
        <v>40</v>
      </c>
    </row>
    <row r="222" spans="1:33" x14ac:dyDescent="0.2">
      <c r="A222" s="359" t="s">
        <v>498</v>
      </c>
      <c r="B222" s="359" t="s">
        <v>499</v>
      </c>
      <c r="C222" s="366">
        <v>2585</v>
      </c>
      <c r="D222" s="366">
        <v>0</v>
      </c>
      <c r="E222" s="366">
        <v>41</v>
      </c>
      <c r="F222" s="366">
        <v>234</v>
      </c>
      <c r="G222" s="366">
        <v>703</v>
      </c>
      <c r="H222" s="363">
        <v>3563</v>
      </c>
      <c r="I222" s="363">
        <v>2860</v>
      </c>
      <c r="J222" s="366">
        <v>7</v>
      </c>
      <c r="K222" s="364">
        <v>100.62</v>
      </c>
      <c r="L222" s="364">
        <v>98.28</v>
      </c>
      <c r="M222" s="364">
        <v>6.06</v>
      </c>
      <c r="N222" s="364">
        <v>105.11</v>
      </c>
      <c r="O222" s="365">
        <v>2189</v>
      </c>
      <c r="P222" s="364">
        <v>87.9</v>
      </c>
      <c r="Q222" s="364">
        <v>79.61</v>
      </c>
      <c r="R222" s="364">
        <v>35.78</v>
      </c>
      <c r="S222" s="364">
        <v>122.75</v>
      </c>
      <c r="T222" s="365">
        <v>154</v>
      </c>
      <c r="U222" s="364">
        <v>129.41</v>
      </c>
      <c r="V222" s="365">
        <v>357</v>
      </c>
      <c r="W222" s="364">
        <v>204.25</v>
      </c>
      <c r="X222" s="365">
        <v>77</v>
      </c>
      <c r="Y222" s="366">
        <v>15</v>
      </c>
      <c r="Z222" s="366">
        <v>2</v>
      </c>
      <c r="AA222" s="366">
        <v>1</v>
      </c>
      <c r="AB222" s="366">
        <v>99</v>
      </c>
      <c r="AC222" s="366">
        <v>12</v>
      </c>
      <c r="AD222" s="366">
        <v>2548</v>
      </c>
      <c r="AE222" s="366">
        <v>21</v>
      </c>
      <c r="AF222" s="366">
        <v>32</v>
      </c>
      <c r="AG222" s="366">
        <v>53</v>
      </c>
    </row>
    <row r="223" spans="1:33" x14ac:dyDescent="0.2">
      <c r="A223" s="359" t="s">
        <v>500</v>
      </c>
      <c r="B223" s="359" t="s">
        <v>501</v>
      </c>
      <c r="C223" s="366">
        <v>1352</v>
      </c>
      <c r="D223" s="366">
        <v>282</v>
      </c>
      <c r="E223" s="366">
        <v>60</v>
      </c>
      <c r="F223" s="366">
        <v>286</v>
      </c>
      <c r="G223" s="366">
        <v>401</v>
      </c>
      <c r="H223" s="363">
        <v>2381</v>
      </c>
      <c r="I223" s="363">
        <v>1980</v>
      </c>
      <c r="J223" s="366">
        <v>19</v>
      </c>
      <c r="K223" s="364">
        <v>121.62</v>
      </c>
      <c r="L223" s="364">
        <v>118.51</v>
      </c>
      <c r="M223" s="364">
        <v>9.84</v>
      </c>
      <c r="N223" s="364">
        <v>130.29</v>
      </c>
      <c r="O223" s="365">
        <v>853</v>
      </c>
      <c r="P223" s="364">
        <v>116.6</v>
      </c>
      <c r="Q223" s="364">
        <v>107.35</v>
      </c>
      <c r="R223" s="364">
        <v>24.17</v>
      </c>
      <c r="S223" s="364">
        <v>140.15</v>
      </c>
      <c r="T223" s="365">
        <v>312</v>
      </c>
      <c r="U223" s="364">
        <v>203.74</v>
      </c>
      <c r="V223" s="365">
        <v>273</v>
      </c>
      <c r="W223" s="364">
        <v>157.24</v>
      </c>
      <c r="X223" s="365">
        <v>32</v>
      </c>
      <c r="Y223" s="366">
        <v>0</v>
      </c>
      <c r="Z223" s="366">
        <v>0</v>
      </c>
      <c r="AA223" s="366">
        <v>0</v>
      </c>
      <c r="AB223" s="366">
        <v>10</v>
      </c>
      <c r="AC223" s="366">
        <v>9</v>
      </c>
      <c r="AD223" s="366">
        <v>1303</v>
      </c>
      <c r="AE223" s="366">
        <v>20</v>
      </c>
      <c r="AF223" s="366">
        <v>4</v>
      </c>
      <c r="AG223" s="366">
        <v>24</v>
      </c>
    </row>
    <row r="224" spans="1:33" x14ac:dyDescent="0.2">
      <c r="A224" s="359" t="s">
        <v>502</v>
      </c>
      <c r="B224" s="359" t="s">
        <v>503</v>
      </c>
      <c r="C224" s="366">
        <v>2976</v>
      </c>
      <c r="D224" s="366">
        <v>0</v>
      </c>
      <c r="E224" s="366">
        <v>94</v>
      </c>
      <c r="F224" s="366">
        <v>1384</v>
      </c>
      <c r="G224" s="366">
        <v>486</v>
      </c>
      <c r="H224" s="363">
        <v>4940</v>
      </c>
      <c r="I224" s="363">
        <v>4454</v>
      </c>
      <c r="J224" s="366">
        <v>28</v>
      </c>
      <c r="K224" s="364">
        <v>96.85</v>
      </c>
      <c r="L224" s="364">
        <v>97.2</v>
      </c>
      <c r="M224" s="364">
        <v>4.76</v>
      </c>
      <c r="N224" s="364">
        <v>98.71</v>
      </c>
      <c r="O224" s="365">
        <v>2673</v>
      </c>
      <c r="P224" s="364">
        <v>95.58</v>
      </c>
      <c r="Q224" s="364">
        <v>85.43</v>
      </c>
      <c r="R224" s="364">
        <v>20.100000000000001</v>
      </c>
      <c r="S224" s="364">
        <v>115.42</v>
      </c>
      <c r="T224" s="365">
        <v>1466</v>
      </c>
      <c r="U224" s="364">
        <v>111.59</v>
      </c>
      <c r="V224" s="365">
        <v>299</v>
      </c>
      <c r="W224" s="364">
        <v>122.3</v>
      </c>
      <c r="X224" s="365">
        <v>11</v>
      </c>
      <c r="Y224" s="366">
        <v>99</v>
      </c>
      <c r="Z224" s="366">
        <v>4</v>
      </c>
      <c r="AA224" s="366">
        <v>0</v>
      </c>
      <c r="AB224" s="366">
        <v>59</v>
      </c>
      <c r="AC224" s="366">
        <v>15</v>
      </c>
      <c r="AD224" s="366">
        <v>2976</v>
      </c>
      <c r="AE224" s="366">
        <v>19</v>
      </c>
      <c r="AF224" s="366">
        <v>8</v>
      </c>
      <c r="AG224" s="366">
        <v>27</v>
      </c>
    </row>
    <row r="225" spans="1:33" x14ac:dyDescent="0.2">
      <c r="A225" s="359" t="s">
        <v>504</v>
      </c>
      <c r="B225" s="359" t="s">
        <v>505</v>
      </c>
      <c r="C225" s="366">
        <v>5708</v>
      </c>
      <c r="D225" s="366">
        <v>16</v>
      </c>
      <c r="E225" s="366">
        <v>231</v>
      </c>
      <c r="F225" s="366">
        <v>648</v>
      </c>
      <c r="G225" s="366">
        <v>569</v>
      </c>
      <c r="H225" s="363">
        <v>7172</v>
      </c>
      <c r="I225" s="363">
        <v>6603</v>
      </c>
      <c r="J225" s="366">
        <v>9</v>
      </c>
      <c r="K225" s="364">
        <v>112.2</v>
      </c>
      <c r="L225" s="364">
        <v>107.77</v>
      </c>
      <c r="M225" s="364">
        <v>9.0500000000000007</v>
      </c>
      <c r="N225" s="364">
        <v>117.2</v>
      </c>
      <c r="O225" s="365">
        <v>4415</v>
      </c>
      <c r="P225" s="364">
        <v>99.57</v>
      </c>
      <c r="Q225" s="364">
        <v>89.75</v>
      </c>
      <c r="R225" s="364">
        <v>44.74</v>
      </c>
      <c r="S225" s="364">
        <v>143.38999999999999</v>
      </c>
      <c r="T225" s="365">
        <v>831</v>
      </c>
      <c r="U225" s="364">
        <v>159.68</v>
      </c>
      <c r="V225" s="365">
        <v>1126</v>
      </c>
      <c r="W225" s="364">
        <v>160.82</v>
      </c>
      <c r="X225" s="365">
        <v>39</v>
      </c>
      <c r="Y225" s="366">
        <v>0</v>
      </c>
      <c r="Z225" s="366">
        <v>1</v>
      </c>
      <c r="AA225" s="366">
        <v>1</v>
      </c>
      <c r="AB225" s="366">
        <v>0</v>
      </c>
      <c r="AC225" s="366">
        <v>20</v>
      </c>
      <c r="AD225" s="366">
        <v>5392</v>
      </c>
      <c r="AE225" s="366">
        <v>31</v>
      </c>
      <c r="AF225" s="366">
        <v>41</v>
      </c>
      <c r="AG225" s="366">
        <v>72</v>
      </c>
    </row>
    <row r="226" spans="1:33" x14ac:dyDescent="0.2">
      <c r="A226" s="359" t="s">
        <v>506</v>
      </c>
      <c r="B226" s="359" t="s">
        <v>507</v>
      </c>
      <c r="C226" s="366">
        <v>1505</v>
      </c>
      <c r="D226" s="366">
        <v>0</v>
      </c>
      <c r="E226" s="366">
        <v>42</v>
      </c>
      <c r="F226" s="366">
        <v>287</v>
      </c>
      <c r="G226" s="366">
        <v>215</v>
      </c>
      <c r="H226" s="363">
        <v>2049</v>
      </c>
      <c r="I226" s="363">
        <v>1834</v>
      </c>
      <c r="J226" s="366">
        <v>6</v>
      </c>
      <c r="K226" s="364">
        <v>91.1</v>
      </c>
      <c r="L226" s="364">
        <v>94.81</v>
      </c>
      <c r="M226" s="364">
        <v>6.33</v>
      </c>
      <c r="N226" s="364">
        <v>93.72</v>
      </c>
      <c r="O226" s="365">
        <v>1251</v>
      </c>
      <c r="P226" s="364">
        <v>88.61</v>
      </c>
      <c r="Q226" s="364">
        <v>81.16</v>
      </c>
      <c r="R226" s="364">
        <v>38.909999999999997</v>
      </c>
      <c r="S226" s="364">
        <v>121.01</v>
      </c>
      <c r="T226" s="365">
        <v>227</v>
      </c>
      <c r="U226" s="364">
        <v>113.63</v>
      </c>
      <c r="V226" s="365">
        <v>223</v>
      </c>
      <c r="W226" s="364">
        <v>0</v>
      </c>
      <c r="X226" s="365">
        <v>0</v>
      </c>
      <c r="Y226" s="366">
        <v>0</v>
      </c>
      <c r="Z226" s="366">
        <v>4</v>
      </c>
      <c r="AA226" s="366">
        <v>0</v>
      </c>
      <c r="AB226" s="366">
        <v>8</v>
      </c>
      <c r="AC226" s="366">
        <v>1</v>
      </c>
      <c r="AD226" s="366">
        <v>1492</v>
      </c>
      <c r="AE226" s="366">
        <v>5</v>
      </c>
      <c r="AF226" s="366">
        <v>1</v>
      </c>
      <c r="AG226" s="366">
        <v>6</v>
      </c>
    </row>
    <row r="227" spans="1:33" x14ac:dyDescent="0.2">
      <c r="A227" s="359" t="s">
        <v>508</v>
      </c>
      <c r="B227" s="359" t="s">
        <v>509</v>
      </c>
      <c r="C227" s="366">
        <v>3155</v>
      </c>
      <c r="D227" s="366">
        <v>0</v>
      </c>
      <c r="E227" s="366">
        <v>38</v>
      </c>
      <c r="F227" s="366">
        <v>145</v>
      </c>
      <c r="G227" s="366">
        <v>99</v>
      </c>
      <c r="H227" s="363">
        <v>3437</v>
      </c>
      <c r="I227" s="363">
        <v>3338</v>
      </c>
      <c r="J227" s="366">
        <v>4</v>
      </c>
      <c r="K227" s="364">
        <v>91.05</v>
      </c>
      <c r="L227" s="364">
        <v>86.84</v>
      </c>
      <c r="M227" s="364">
        <v>3.58</v>
      </c>
      <c r="N227" s="364">
        <v>92.49</v>
      </c>
      <c r="O227" s="365">
        <v>2015</v>
      </c>
      <c r="P227" s="364">
        <v>79.73</v>
      </c>
      <c r="Q227" s="364">
        <v>76.86</v>
      </c>
      <c r="R227" s="364">
        <v>52.62</v>
      </c>
      <c r="S227" s="364">
        <v>131.63</v>
      </c>
      <c r="T227" s="365">
        <v>146</v>
      </c>
      <c r="U227" s="364">
        <v>99.81</v>
      </c>
      <c r="V227" s="365">
        <v>1056</v>
      </c>
      <c r="W227" s="364">
        <v>175.94</v>
      </c>
      <c r="X227" s="365">
        <v>21</v>
      </c>
      <c r="Y227" s="366">
        <v>0</v>
      </c>
      <c r="Z227" s="366">
        <v>0</v>
      </c>
      <c r="AA227" s="366">
        <v>6</v>
      </c>
      <c r="AB227" s="366">
        <v>36</v>
      </c>
      <c r="AC227" s="366">
        <v>0</v>
      </c>
      <c r="AD227" s="366">
        <v>3130</v>
      </c>
      <c r="AE227" s="366">
        <v>102</v>
      </c>
      <c r="AF227" s="366">
        <v>10</v>
      </c>
      <c r="AG227" s="366">
        <v>112</v>
      </c>
    </row>
    <row r="228" spans="1:33" x14ac:dyDescent="0.2">
      <c r="A228" s="359" t="s">
        <v>510</v>
      </c>
      <c r="B228" s="359" t="s">
        <v>511</v>
      </c>
      <c r="C228" s="366">
        <v>26928</v>
      </c>
      <c r="D228" s="366">
        <v>14</v>
      </c>
      <c r="E228" s="366">
        <v>1604</v>
      </c>
      <c r="F228" s="366">
        <v>1364</v>
      </c>
      <c r="G228" s="366">
        <v>406</v>
      </c>
      <c r="H228" s="363">
        <v>30316</v>
      </c>
      <c r="I228" s="363">
        <v>29910</v>
      </c>
      <c r="J228" s="366">
        <v>11</v>
      </c>
      <c r="K228" s="364">
        <v>78.97</v>
      </c>
      <c r="L228" s="364">
        <v>78.89</v>
      </c>
      <c r="M228" s="364">
        <v>8.1300000000000008</v>
      </c>
      <c r="N228" s="364">
        <v>82.74</v>
      </c>
      <c r="O228" s="365">
        <v>24357</v>
      </c>
      <c r="P228" s="364">
        <v>81.150000000000006</v>
      </c>
      <c r="Q228" s="364">
        <v>74.34</v>
      </c>
      <c r="R228" s="364">
        <v>37.520000000000003</v>
      </c>
      <c r="S228" s="364">
        <v>117.77</v>
      </c>
      <c r="T228" s="365">
        <v>2659</v>
      </c>
      <c r="U228" s="364">
        <v>111.53</v>
      </c>
      <c r="V228" s="365">
        <v>2355</v>
      </c>
      <c r="W228" s="364">
        <v>164.55</v>
      </c>
      <c r="X228" s="365">
        <v>65</v>
      </c>
      <c r="Y228" s="366">
        <v>0</v>
      </c>
      <c r="Z228" s="366">
        <v>92</v>
      </c>
      <c r="AA228" s="366">
        <v>20</v>
      </c>
      <c r="AB228" s="366">
        <v>40</v>
      </c>
      <c r="AC228" s="366">
        <v>15</v>
      </c>
      <c r="AD228" s="366">
        <v>26823</v>
      </c>
      <c r="AE228" s="366">
        <v>101</v>
      </c>
      <c r="AF228" s="366">
        <v>188</v>
      </c>
      <c r="AG228" s="366">
        <v>289</v>
      </c>
    </row>
    <row r="229" spans="1:33" x14ac:dyDescent="0.2">
      <c r="A229" s="359" t="s">
        <v>512</v>
      </c>
      <c r="B229" s="359" t="s">
        <v>513</v>
      </c>
      <c r="C229" s="366">
        <v>5845</v>
      </c>
      <c r="D229" s="366">
        <v>13</v>
      </c>
      <c r="E229" s="366">
        <v>459</v>
      </c>
      <c r="F229" s="366">
        <v>1039</v>
      </c>
      <c r="G229" s="366">
        <v>516</v>
      </c>
      <c r="H229" s="363">
        <v>7872</v>
      </c>
      <c r="I229" s="363">
        <v>7356</v>
      </c>
      <c r="J229" s="366">
        <v>18</v>
      </c>
      <c r="K229" s="364">
        <v>90.17</v>
      </c>
      <c r="L229" s="364">
        <v>88.06</v>
      </c>
      <c r="M229" s="364">
        <v>7.55</v>
      </c>
      <c r="N229" s="364">
        <v>96.08</v>
      </c>
      <c r="O229" s="365">
        <v>4497</v>
      </c>
      <c r="P229" s="364">
        <v>92.34</v>
      </c>
      <c r="Q229" s="364">
        <v>81.540000000000006</v>
      </c>
      <c r="R229" s="364">
        <v>51.85</v>
      </c>
      <c r="S229" s="364">
        <v>141.91</v>
      </c>
      <c r="T229" s="365">
        <v>1024</v>
      </c>
      <c r="U229" s="364">
        <v>113.17</v>
      </c>
      <c r="V229" s="365">
        <v>845</v>
      </c>
      <c r="W229" s="364">
        <v>193.04</v>
      </c>
      <c r="X229" s="365">
        <v>292</v>
      </c>
      <c r="Y229" s="366">
        <v>0</v>
      </c>
      <c r="Z229" s="366">
        <v>8</v>
      </c>
      <c r="AA229" s="366">
        <v>3</v>
      </c>
      <c r="AB229" s="366">
        <v>23</v>
      </c>
      <c r="AC229" s="366">
        <v>12</v>
      </c>
      <c r="AD229" s="366">
        <v>5616</v>
      </c>
      <c r="AE229" s="366">
        <v>50</v>
      </c>
      <c r="AF229" s="366">
        <v>26</v>
      </c>
      <c r="AG229" s="366">
        <v>76</v>
      </c>
    </row>
    <row r="230" spans="1:33" x14ac:dyDescent="0.2">
      <c r="A230" s="359" t="s">
        <v>514</v>
      </c>
      <c r="B230" s="359" t="s">
        <v>515</v>
      </c>
      <c r="C230" s="366">
        <v>6223</v>
      </c>
      <c r="D230" s="366">
        <v>0</v>
      </c>
      <c r="E230" s="366">
        <v>206</v>
      </c>
      <c r="F230" s="366">
        <v>631</v>
      </c>
      <c r="G230" s="366">
        <v>357</v>
      </c>
      <c r="H230" s="363">
        <v>7417</v>
      </c>
      <c r="I230" s="363">
        <v>7060</v>
      </c>
      <c r="J230" s="366">
        <v>7</v>
      </c>
      <c r="K230" s="364">
        <v>84.84</v>
      </c>
      <c r="L230" s="364">
        <v>84.19</v>
      </c>
      <c r="M230" s="364">
        <v>3.7</v>
      </c>
      <c r="N230" s="364">
        <v>86.39</v>
      </c>
      <c r="O230" s="365">
        <v>5409</v>
      </c>
      <c r="P230" s="364">
        <v>94.36</v>
      </c>
      <c r="Q230" s="364">
        <v>83.32</v>
      </c>
      <c r="R230" s="364">
        <v>46</v>
      </c>
      <c r="S230" s="364">
        <v>139.75</v>
      </c>
      <c r="T230" s="365">
        <v>672</v>
      </c>
      <c r="U230" s="364">
        <v>105.06</v>
      </c>
      <c r="V230" s="365">
        <v>802</v>
      </c>
      <c r="W230" s="364">
        <v>207.52</v>
      </c>
      <c r="X230" s="365">
        <v>70</v>
      </c>
      <c r="Y230" s="366">
        <v>1</v>
      </c>
      <c r="Z230" s="366">
        <v>14</v>
      </c>
      <c r="AA230" s="366">
        <v>9</v>
      </c>
      <c r="AB230" s="366">
        <v>18</v>
      </c>
      <c r="AC230" s="366">
        <v>7</v>
      </c>
      <c r="AD230" s="366">
        <v>6180</v>
      </c>
      <c r="AE230" s="366">
        <v>34</v>
      </c>
      <c r="AF230" s="366">
        <v>60</v>
      </c>
      <c r="AG230" s="366">
        <v>94</v>
      </c>
    </row>
    <row r="231" spans="1:33" x14ac:dyDescent="0.2">
      <c r="A231" s="359" t="s">
        <v>516</v>
      </c>
      <c r="B231" s="359" t="s">
        <v>517</v>
      </c>
      <c r="C231" s="366">
        <v>2961</v>
      </c>
      <c r="D231" s="366">
        <v>0</v>
      </c>
      <c r="E231" s="366">
        <v>273</v>
      </c>
      <c r="F231" s="366">
        <v>89</v>
      </c>
      <c r="G231" s="366">
        <v>329</v>
      </c>
      <c r="H231" s="363">
        <v>3652</v>
      </c>
      <c r="I231" s="363">
        <v>3323</v>
      </c>
      <c r="J231" s="366">
        <v>1</v>
      </c>
      <c r="K231" s="364">
        <v>92.68</v>
      </c>
      <c r="L231" s="364">
        <v>90.21</v>
      </c>
      <c r="M231" s="364">
        <v>4.32</v>
      </c>
      <c r="N231" s="364">
        <v>96.44</v>
      </c>
      <c r="O231" s="365">
        <v>1526</v>
      </c>
      <c r="P231" s="364">
        <v>83.88</v>
      </c>
      <c r="Q231" s="364">
        <v>78.38</v>
      </c>
      <c r="R231" s="364">
        <v>49.22</v>
      </c>
      <c r="S231" s="364">
        <v>133.1</v>
      </c>
      <c r="T231" s="365">
        <v>201</v>
      </c>
      <c r="U231" s="364">
        <v>116.92</v>
      </c>
      <c r="V231" s="365">
        <v>656</v>
      </c>
      <c r="W231" s="364">
        <v>99.06</v>
      </c>
      <c r="X231" s="365">
        <v>20</v>
      </c>
      <c r="Y231" s="366">
        <v>0</v>
      </c>
      <c r="Z231" s="366">
        <v>0</v>
      </c>
      <c r="AA231" s="366">
        <v>0</v>
      </c>
      <c r="AB231" s="366">
        <v>34</v>
      </c>
      <c r="AC231" s="366">
        <v>7</v>
      </c>
      <c r="AD231" s="366">
        <v>2082</v>
      </c>
      <c r="AE231" s="366">
        <v>8</v>
      </c>
      <c r="AF231" s="366">
        <v>4</v>
      </c>
      <c r="AG231" s="366">
        <v>12</v>
      </c>
    </row>
    <row r="232" spans="1:33" x14ac:dyDescent="0.2">
      <c r="A232" s="359" t="s">
        <v>518</v>
      </c>
      <c r="B232" s="359" t="s">
        <v>519</v>
      </c>
      <c r="C232" s="366">
        <v>15464</v>
      </c>
      <c r="D232" s="366">
        <v>0</v>
      </c>
      <c r="E232" s="366">
        <v>1704</v>
      </c>
      <c r="F232" s="366">
        <v>1618</v>
      </c>
      <c r="G232" s="366">
        <v>640</v>
      </c>
      <c r="H232" s="363">
        <v>19426</v>
      </c>
      <c r="I232" s="363">
        <v>18786</v>
      </c>
      <c r="J232" s="366">
        <v>36</v>
      </c>
      <c r="K232" s="364">
        <v>87.23</v>
      </c>
      <c r="L232" s="364">
        <v>84.95</v>
      </c>
      <c r="M232" s="364">
        <v>11.83</v>
      </c>
      <c r="N232" s="364">
        <v>91.56</v>
      </c>
      <c r="O232" s="365">
        <v>13611</v>
      </c>
      <c r="P232" s="364">
        <v>81.739999999999995</v>
      </c>
      <c r="Q232" s="364">
        <v>75.930000000000007</v>
      </c>
      <c r="R232" s="364">
        <v>39.409999999999997</v>
      </c>
      <c r="S232" s="364">
        <v>120.14</v>
      </c>
      <c r="T232" s="365">
        <v>2771</v>
      </c>
      <c r="U232" s="364">
        <v>103.7</v>
      </c>
      <c r="V232" s="365">
        <v>1193</v>
      </c>
      <c r="W232" s="364">
        <v>127.31</v>
      </c>
      <c r="X232" s="365">
        <v>21</v>
      </c>
      <c r="Y232" s="366">
        <v>0</v>
      </c>
      <c r="Z232" s="366">
        <v>53</v>
      </c>
      <c r="AA232" s="366">
        <v>147</v>
      </c>
      <c r="AB232" s="366">
        <v>79</v>
      </c>
      <c r="AC232" s="366">
        <v>1</v>
      </c>
      <c r="AD232" s="366">
        <v>14917</v>
      </c>
      <c r="AE232" s="366">
        <v>42</v>
      </c>
      <c r="AF232" s="366">
        <v>37</v>
      </c>
      <c r="AG232" s="366">
        <v>79</v>
      </c>
    </row>
    <row r="233" spans="1:33" x14ac:dyDescent="0.2">
      <c r="A233" s="359" t="s">
        <v>520</v>
      </c>
      <c r="B233" s="359" t="s">
        <v>521</v>
      </c>
      <c r="C233" s="366">
        <v>1826</v>
      </c>
      <c r="D233" s="366">
        <v>0</v>
      </c>
      <c r="E233" s="366">
        <v>38</v>
      </c>
      <c r="F233" s="366">
        <v>195</v>
      </c>
      <c r="G233" s="366">
        <v>390</v>
      </c>
      <c r="H233" s="363">
        <v>2449</v>
      </c>
      <c r="I233" s="363">
        <v>2059</v>
      </c>
      <c r="J233" s="366">
        <v>0</v>
      </c>
      <c r="K233" s="364">
        <v>93.91</v>
      </c>
      <c r="L233" s="364">
        <v>87.47</v>
      </c>
      <c r="M233" s="364">
        <v>5.5</v>
      </c>
      <c r="N233" s="364">
        <v>97.77</v>
      </c>
      <c r="O233" s="365">
        <v>1138</v>
      </c>
      <c r="P233" s="364">
        <v>105.85</v>
      </c>
      <c r="Q233" s="364">
        <v>93.75</v>
      </c>
      <c r="R233" s="364">
        <v>66.680000000000007</v>
      </c>
      <c r="S233" s="364">
        <v>171.96</v>
      </c>
      <c r="T233" s="365">
        <v>233</v>
      </c>
      <c r="U233" s="364">
        <v>113.9</v>
      </c>
      <c r="V233" s="365">
        <v>502</v>
      </c>
      <c r="W233" s="364">
        <v>0</v>
      </c>
      <c r="X233" s="365">
        <v>0</v>
      </c>
      <c r="Y233" s="366">
        <v>8</v>
      </c>
      <c r="Z233" s="366">
        <v>0</v>
      </c>
      <c r="AA233" s="366">
        <v>3</v>
      </c>
      <c r="AB233" s="366">
        <v>71</v>
      </c>
      <c r="AC233" s="366">
        <v>6</v>
      </c>
      <c r="AD233" s="366">
        <v>1786</v>
      </c>
      <c r="AE233" s="366">
        <v>49</v>
      </c>
      <c r="AF233" s="366">
        <v>8</v>
      </c>
      <c r="AG233" s="366">
        <v>57</v>
      </c>
    </row>
    <row r="234" spans="1:33" x14ac:dyDescent="0.2">
      <c r="A234" s="359" t="s">
        <v>522</v>
      </c>
      <c r="B234" s="359" t="s">
        <v>523</v>
      </c>
      <c r="C234" s="366">
        <v>5532</v>
      </c>
      <c r="D234" s="366">
        <v>0</v>
      </c>
      <c r="E234" s="366">
        <v>84</v>
      </c>
      <c r="F234" s="366">
        <v>1071</v>
      </c>
      <c r="G234" s="366">
        <v>883</v>
      </c>
      <c r="H234" s="363">
        <v>7570</v>
      </c>
      <c r="I234" s="363">
        <v>6687</v>
      </c>
      <c r="J234" s="366">
        <v>1</v>
      </c>
      <c r="K234" s="364">
        <v>108.05</v>
      </c>
      <c r="L234" s="364">
        <v>104.56</v>
      </c>
      <c r="M234" s="364">
        <v>4.32</v>
      </c>
      <c r="N234" s="364">
        <v>110.82</v>
      </c>
      <c r="O234" s="365">
        <v>5182</v>
      </c>
      <c r="P234" s="364">
        <v>93.26</v>
      </c>
      <c r="Q234" s="364">
        <v>88.57</v>
      </c>
      <c r="R234" s="364">
        <v>22.91</v>
      </c>
      <c r="S234" s="364">
        <v>115.99</v>
      </c>
      <c r="T234" s="365">
        <v>903</v>
      </c>
      <c r="U234" s="364">
        <v>163.41999999999999</v>
      </c>
      <c r="V234" s="365">
        <v>316</v>
      </c>
      <c r="W234" s="364">
        <v>141.97</v>
      </c>
      <c r="X234" s="365">
        <v>102</v>
      </c>
      <c r="Y234" s="366">
        <v>0</v>
      </c>
      <c r="Z234" s="366">
        <v>0</v>
      </c>
      <c r="AA234" s="366">
        <v>1</v>
      </c>
      <c r="AB234" s="366">
        <v>53</v>
      </c>
      <c r="AC234" s="366">
        <v>15</v>
      </c>
      <c r="AD234" s="366">
        <v>5520</v>
      </c>
      <c r="AE234" s="366">
        <v>25</v>
      </c>
      <c r="AF234" s="366">
        <v>8</v>
      </c>
      <c r="AG234" s="366">
        <v>33</v>
      </c>
    </row>
    <row r="235" spans="1:33" x14ac:dyDescent="0.2">
      <c r="A235" s="359" t="s">
        <v>524</v>
      </c>
      <c r="B235" s="359" t="s">
        <v>525</v>
      </c>
      <c r="C235" s="366">
        <v>15408</v>
      </c>
      <c r="D235" s="366">
        <v>2</v>
      </c>
      <c r="E235" s="366">
        <v>1366</v>
      </c>
      <c r="F235" s="366">
        <v>1135</v>
      </c>
      <c r="G235" s="366">
        <v>435</v>
      </c>
      <c r="H235" s="363">
        <v>18346</v>
      </c>
      <c r="I235" s="363">
        <v>17911</v>
      </c>
      <c r="J235" s="366">
        <v>187</v>
      </c>
      <c r="K235" s="364">
        <v>80.84</v>
      </c>
      <c r="L235" s="364">
        <v>79.66</v>
      </c>
      <c r="M235" s="364">
        <v>7.99</v>
      </c>
      <c r="N235" s="364">
        <v>83.46</v>
      </c>
      <c r="O235" s="365">
        <v>12890</v>
      </c>
      <c r="P235" s="364">
        <v>86.58</v>
      </c>
      <c r="Q235" s="364">
        <v>78.760000000000005</v>
      </c>
      <c r="R235" s="364">
        <v>54.45</v>
      </c>
      <c r="S235" s="364">
        <v>140.47999999999999</v>
      </c>
      <c r="T235" s="365">
        <v>2226</v>
      </c>
      <c r="U235" s="364">
        <v>99.34</v>
      </c>
      <c r="V235" s="365">
        <v>2243</v>
      </c>
      <c r="W235" s="364">
        <v>101.41</v>
      </c>
      <c r="X235" s="365">
        <v>9</v>
      </c>
      <c r="Y235" s="366">
        <v>2</v>
      </c>
      <c r="Z235" s="366">
        <v>24</v>
      </c>
      <c r="AA235" s="366">
        <v>22</v>
      </c>
      <c r="AB235" s="366">
        <v>2</v>
      </c>
      <c r="AC235" s="366">
        <v>11</v>
      </c>
      <c r="AD235" s="366">
        <v>15301</v>
      </c>
      <c r="AE235" s="366">
        <v>109</v>
      </c>
      <c r="AF235" s="366">
        <v>96</v>
      </c>
      <c r="AG235" s="366">
        <v>205</v>
      </c>
    </row>
    <row r="236" spans="1:33" x14ac:dyDescent="0.2">
      <c r="A236" s="359" t="s">
        <v>526</v>
      </c>
      <c r="B236" s="359" t="s">
        <v>527</v>
      </c>
      <c r="C236" s="366">
        <v>12762</v>
      </c>
      <c r="D236" s="366">
        <v>25</v>
      </c>
      <c r="E236" s="366">
        <v>386</v>
      </c>
      <c r="F236" s="366">
        <v>1724</v>
      </c>
      <c r="G236" s="366">
        <v>975</v>
      </c>
      <c r="H236" s="363">
        <v>15872</v>
      </c>
      <c r="I236" s="363">
        <v>14897</v>
      </c>
      <c r="J236" s="366">
        <v>0</v>
      </c>
      <c r="K236" s="364">
        <v>89.01</v>
      </c>
      <c r="L236" s="364">
        <v>86.9</v>
      </c>
      <c r="M236" s="364">
        <v>3.9</v>
      </c>
      <c r="N236" s="364">
        <v>91.09</v>
      </c>
      <c r="O236" s="365">
        <v>10066</v>
      </c>
      <c r="P236" s="364">
        <v>84.66</v>
      </c>
      <c r="Q236" s="364">
        <v>80.12</v>
      </c>
      <c r="R236" s="364">
        <v>28.68</v>
      </c>
      <c r="S236" s="364">
        <v>113.21</v>
      </c>
      <c r="T236" s="365">
        <v>1634</v>
      </c>
      <c r="U236" s="364">
        <v>107.91</v>
      </c>
      <c r="V236" s="365">
        <v>1901</v>
      </c>
      <c r="W236" s="364">
        <v>198.93</v>
      </c>
      <c r="X236" s="365">
        <v>372</v>
      </c>
      <c r="Y236" s="366">
        <v>0</v>
      </c>
      <c r="Z236" s="366">
        <v>24</v>
      </c>
      <c r="AA236" s="366">
        <v>27</v>
      </c>
      <c r="AB236" s="366">
        <v>74</v>
      </c>
      <c r="AC236" s="366">
        <v>9</v>
      </c>
      <c r="AD236" s="366">
        <v>12474</v>
      </c>
      <c r="AE236" s="366">
        <v>130</v>
      </c>
      <c r="AF236" s="366">
        <v>102</v>
      </c>
      <c r="AG236" s="366">
        <v>232</v>
      </c>
    </row>
    <row r="237" spans="1:33" x14ac:dyDescent="0.2">
      <c r="A237" s="359" t="s">
        <v>528</v>
      </c>
      <c r="B237" s="359" t="s">
        <v>529</v>
      </c>
      <c r="C237" s="366">
        <v>3569</v>
      </c>
      <c r="D237" s="366">
        <v>24</v>
      </c>
      <c r="E237" s="366">
        <v>370</v>
      </c>
      <c r="F237" s="366">
        <v>230</v>
      </c>
      <c r="G237" s="366">
        <v>412</v>
      </c>
      <c r="H237" s="363">
        <v>4605</v>
      </c>
      <c r="I237" s="363">
        <v>4193</v>
      </c>
      <c r="J237" s="366">
        <v>31</v>
      </c>
      <c r="K237" s="364">
        <v>121.79</v>
      </c>
      <c r="L237" s="364">
        <v>119.85</v>
      </c>
      <c r="M237" s="364">
        <v>8.31</v>
      </c>
      <c r="N237" s="364">
        <v>128.94999999999999</v>
      </c>
      <c r="O237" s="365">
        <v>3199</v>
      </c>
      <c r="P237" s="364">
        <v>108.43</v>
      </c>
      <c r="Q237" s="364">
        <v>98.93</v>
      </c>
      <c r="R237" s="364">
        <v>61.93</v>
      </c>
      <c r="S237" s="364">
        <v>157.31</v>
      </c>
      <c r="T237" s="365">
        <v>489</v>
      </c>
      <c r="U237" s="364">
        <v>150.56</v>
      </c>
      <c r="V237" s="365">
        <v>176</v>
      </c>
      <c r="W237" s="364">
        <v>0</v>
      </c>
      <c r="X237" s="365">
        <v>0</v>
      </c>
      <c r="Y237" s="366">
        <v>2</v>
      </c>
      <c r="Z237" s="366">
        <v>1</v>
      </c>
      <c r="AA237" s="366">
        <v>23</v>
      </c>
      <c r="AB237" s="366">
        <v>0</v>
      </c>
      <c r="AC237" s="366">
        <v>16</v>
      </c>
      <c r="AD237" s="366">
        <v>3421</v>
      </c>
      <c r="AE237" s="366">
        <v>18</v>
      </c>
      <c r="AF237" s="366">
        <v>10</v>
      </c>
      <c r="AG237" s="366">
        <v>28</v>
      </c>
    </row>
    <row r="238" spans="1:33" x14ac:dyDescent="0.2">
      <c r="A238" s="359" t="s">
        <v>530</v>
      </c>
      <c r="B238" s="359" t="s">
        <v>531</v>
      </c>
      <c r="C238" s="366">
        <v>2629</v>
      </c>
      <c r="D238" s="366">
        <v>0</v>
      </c>
      <c r="E238" s="366">
        <v>227</v>
      </c>
      <c r="F238" s="366">
        <v>613</v>
      </c>
      <c r="G238" s="366">
        <v>605</v>
      </c>
      <c r="H238" s="363">
        <v>4074</v>
      </c>
      <c r="I238" s="363">
        <v>3469</v>
      </c>
      <c r="J238" s="366">
        <v>0</v>
      </c>
      <c r="K238" s="364">
        <v>104.22</v>
      </c>
      <c r="L238" s="364">
        <v>102.68</v>
      </c>
      <c r="M238" s="364">
        <v>5.61</v>
      </c>
      <c r="N238" s="364">
        <v>108.63</v>
      </c>
      <c r="O238" s="365">
        <v>2007</v>
      </c>
      <c r="P238" s="364">
        <v>92.3</v>
      </c>
      <c r="Q238" s="364">
        <v>85.78</v>
      </c>
      <c r="R238" s="364">
        <v>60.41</v>
      </c>
      <c r="S238" s="364">
        <v>149.36000000000001</v>
      </c>
      <c r="T238" s="365">
        <v>468</v>
      </c>
      <c r="U238" s="364">
        <v>113.61</v>
      </c>
      <c r="V238" s="365">
        <v>586</v>
      </c>
      <c r="W238" s="364">
        <v>224.08</v>
      </c>
      <c r="X238" s="365">
        <v>38</v>
      </c>
      <c r="Y238" s="366">
        <v>0</v>
      </c>
      <c r="Z238" s="366">
        <v>2</v>
      </c>
      <c r="AA238" s="366">
        <v>6</v>
      </c>
      <c r="AB238" s="366">
        <v>30</v>
      </c>
      <c r="AC238" s="366">
        <v>10</v>
      </c>
      <c r="AD238" s="366">
        <v>2592</v>
      </c>
      <c r="AE238" s="366">
        <v>13</v>
      </c>
      <c r="AF238" s="366">
        <v>1</v>
      </c>
      <c r="AG238" s="366">
        <v>14</v>
      </c>
    </row>
    <row r="239" spans="1:33" x14ac:dyDescent="0.2">
      <c r="A239" s="359" t="s">
        <v>532</v>
      </c>
      <c r="B239" s="359" t="s">
        <v>533</v>
      </c>
      <c r="C239" s="366">
        <v>4121</v>
      </c>
      <c r="D239" s="366">
        <v>0</v>
      </c>
      <c r="E239" s="366">
        <v>418</v>
      </c>
      <c r="F239" s="366">
        <v>877</v>
      </c>
      <c r="G239" s="366">
        <v>574</v>
      </c>
      <c r="H239" s="363">
        <v>5990</v>
      </c>
      <c r="I239" s="363">
        <v>5416</v>
      </c>
      <c r="J239" s="366">
        <v>76</v>
      </c>
      <c r="K239" s="364">
        <v>96.86</v>
      </c>
      <c r="L239" s="364">
        <v>95.72</v>
      </c>
      <c r="M239" s="364">
        <v>4.38</v>
      </c>
      <c r="N239" s="364">
        <v>100.45</v>
      </c>
      <c r="O239" s="365">
        <v>3336</v>
      </c>
      <c r="P239" s="364">
        <v>91.07</v>
      </c>
      <c r="Q239" s="364">
        <v>90.06</v>
      </c>
      <c r="R239" s="364">
        <v>35.68</v>
      </c>
      <c r="S239" s="364">
        <v>126.01</v>
      </c>
      <c r="T239" s="365">
        <v>1019</v>
      </c>
      <c r="U239" s="364">
        <v>114.67</v>
      </c>
      <c r="V239" s="365">
        <v>392</v>
      </c>
      <c r="W239" s="364">
        <v>149.99</v>
      </c>
      <c r="X239" s="365">
        <v>78</v>
      </c>
      <c r="Y239" s="366">
        <v>0</v>
      </c>
      <c r="Z239" s="366">
        <v>5</v>
      </c>
      <c r="AA239" s="366">
        <v>4</v>
      </c>
      <c r="AB239" s="366">
        <v>14</v>
      </c>
      <c r="AC239" s="366">
        <v>7</v>
      </c>
      <c r="AD239" s="366">
        <v>3735</v>
      </c>
      <c r="AE239" s="366">
        <v>21</v>
      </c>
      <c r="AF239" s="366">
        <v>3</v>
      </c>
      <c r="AG239" s="366">
        <v>24</v>
      </c>
    </row>
    <row r="240" spans="1:33" x14ac:dyDescent="0.2">
      <c r="A240" s="359" t="s">
        <v>534</v>
      </c>
      <c r="B240" s="359" t="s">
        <v>535</v>
      </c>
      <c r="C240" s="366">
        <v>3626</v>
      </c>
      <c r="D240" s="366">
        <v>0</v>
      </c>
      <c r="E240" s="366">
        <v>367</v>
      </c>
      <c r="F240" s="366">
        <v>206</v>
      </c>
      <c r="G240" s="366">
        <v>1296</v>
      </c>
      <c r="H240" s="363">
        <v>5495</v>
      </c>
      <c r="I240" s="363">
        <v>4199</v>
      </c>
      <c r="J240" s="366">
        <v>23</v>
      </c>
      <c r="K240" s="364">
        <v>112.74</v>
      </c>
      <c r="L240" s="364">
        <v>112.25</v>
      </c>
      <c r="M240" s="364">
        <v>3.35</v>
      </c>
      <c r="N240" s="364">
        <v>115.57</v>
      </c>
      <c r="O240" s="365">
        <v>2383</v>
      </c>
      <c r="P240" s="364">
        <v>105.06</v>
      </c>
      <c r="Q240" s="364">
        <v>102.19</v>
      </c>
      <c r="R240" s="364">
        <v>48.74</v>
      </c>
      <c r="S240" s="364">
        <v>153.80000000000001</v>
      </c>
      <c r="T240" s="365">
        <v>260</v>
      </c>
      <c r="U240" s="364">
        <v>155.46</v>
      </c>
      <c r="V240" s="365">
        <v>872</v>
      </c>
      <c r="W240" s="364">
        <v>181.34</v>
      </c>
      <c r="X240" s="365">
        <v>79</v>
      </c>
      <c r="Y240" s="366">
        <v>14</v>
      </c>
      <c r="Z240" s="366">
        <v>0</v>
      </c>
      <c r="AA240" s="366">
        <v>0</v>
      </c>
      <c r="AB240" s="366">
        <v>95</v>
      </c>
      <c r="AC240" s="366">
        <v>35</v>
      </c>
      <c r="AD240" s="366">
        <v>3399</v>
      </c>
      <c r="AE240" s="366">
        <v>16</v>
      </c>
      <c r="AF240" s="366">
        <v>2</v>
      </c>
      <c r="AG240" s="366">
        <v>18</v>
      </c>
    </row>
    <row r="241" spans="1:33" x14ac:dyDescent="0.2">
      <c r="A241" s="359" t="s">
        <v>536</v>
      </c>
      <c r="B241" s="359" t="s">
        <v>537</v>
      </c>
      <c r="C241" s="366">
        <v>1747</v>
      </c>
      <c r="D241" s="366">
        <v>0</v>
      </c>
      <c r="E241" s="366">
        <v>148</v>
      </c>
      <c r="F241" s="366">
        <v>44</v>
      </c>
      <c r="G241" s="366">
        <v>374</v>
      </c>
      <c r="H241" s="363">
        <v>2313</v>
      </c>
      <c r="I241" s="363">
        <v>1939</v>
      </c>
      <c r="J241" s="366">
        <v>6</v>
      </c>
      <c r="K241" s="364">
        <v>94.07</v>
      </c>
      <c r="L241" s="364">
        <v>93.51</v>
      </c>
      <c r="M241" s="364">
        <v>4.54</v>
      </c>
      <c r="N241" s="364">
        <v>97.32</v>
      </c>
      <c r="O241" s="365">
        <v>1331</v>
      </c>
      <c r="P241" s="364">
        <v>110.77</v>
      </c>
      <c r="Q241" s="364">
        <v>109.98</v>
      </c>
      <c r="R241" s="364">
        <v>95.41</v>
      </c>
      <c r="S241" s="364">
        <v>205.38</v>
      </c>
      <c r="T241" s="365">
        <v>119</v>
      </c>
      <c r="U241" s="364">
        <v>109.41</v>
      </c>
      <c r="V241" s="365">
        <v>407</v>
      </c>
      <c r="W241" s="364">
        <v>193.93</v>
      </c>
      <c r="X241" s="365">
        <v>48</v>
      </c>
      <c r="Y241" s="366">
        <v>33</v>
      </c>
      <c r="Z241" s="366">
        <v>2</v>
      </c>
      <c r="AA241" s="366">
        <v>0</v>
      </c>
      <c r="AB241" s="366">
        <v>96</v>
      </c>
      <c r="AC241" s="366">
        <v>4</v>
      </c>
      <c r="AD241" s="366">
        <v>1731</v>
      </c>
      <c r="AE241" s="366">
        <v>29</v>
      </c>
      <c r="AF241" s="366">
        <v>11</v>
      </c>
      <c r="AG241" s="366">
        <v>40</v>
      </c>
    </row>
    <row r="242" spans="1:33" x14ac:dyDescent="0.2">
      <c r="A242" s="359" t="s">
        <v>538</v>
      </c>
      <c r="B242" s="359" t="s">
        <v>539</v>
      </c>
      <c r="C242" s="366">
        <v>11292</v>
      </c>
      <c r="D242" s="366">
        <v>0</v>
      </c>
      <c r="E242" s="366">
        <v>345</v>
      </c>
      <c r="F242" s="366">
        <v>1799</v>
      </c>
      <c r="G242" s="366">
        <v>1056</v>
      </c>
      <c r="H242" s="363">
        <v>14492</v>
      </c>
      <c r="I242" s="363">
        <v>13436</v>
      </c>
      <c r="J242" s="366">
        <v>0</v>
      </c>
      <c r="K242" s="364">
        <v>100.58</v>
      </c>
      <c r="L242" s="364">
        <v>101.05</v>
      </c>
      <c r="M242" s="364">
        <v>5.65</v>
      </c>
      <c r="N242" s="364">
        <v>103.99</v>
      </c>
      <c r="O242" s="365">
        <v>10245</v>
      </c>
      <c r="P242" s="364">
        <v>91.26</v>
      </c>
      <c r="Q242" s="364">
        <v>85.21</v>
      </c>
      <c r="R242" s="364">
        <v>35.130000000000003</v>
      </c>
      <c r="S242" s="364">
        <v>125.93</v>
      </c>
      <c r="T242" s="365">
        <v>1883</v>
      </c>
      <c r="U242" s="364">
        <v>142.61000000000001</v>
      </c>
      <c r="V242" s="365">
        <v>683</v>
      </c>
      <c r="W242" s="364">
        <v>203.05</v>
      </c>
      <c r="X242" s="365">
        <v>95</v>
      </c>
      <c r="Y242" s="366">
        <v>0</v>
      </c>
      <c r="Z242" s="366">
        <v>19</v>
      </c>
      <c r="AA242" s="366">
        <v>4</v>
      </c>
      <c r="AB242" s="366">
        <v>86</v>
      </c>
      <c r="AC242" s="366">
        <v>13</v>
      </c>
      <c r="AD242" s="366">
        <v>10973</v>
      </c>
      <c r="AE242" s="366">
        <v>59</v>
      </c>
      <c r="AF242" s="366">
        <v>106</v>
      </c>
      <c r="AG242" s="366">
        <v>165</v>
      </c>
    </row>
    <row r="243" spans="1:33" x14ac:dyDescent="0.2">
      <c r="A243" s="359" t="s">
        <v>540</v>
      </c>
      <c r="B243" s="359" t="s">
        <v>541</v>
      </c>
      <c r="C243" s="366">
        <v>4002</v>
      </c>
      <c r="D243" s="366">
        <v>0</v>
      </c>
      <c r="E243" s="366">
        <v>87</v>
      </c>
      <c r="F243" s="366">
        <v>597</v>
      </c>
      <c r="G243" s="366">
        <v>553</v>
      </c>
      <c r="H243" s="363">
        <v>5239</v>
      </c>
      <c r="I243" s="363">
        <v>4686</v>
      </c>
      <c r="J243" s="366">
        <v>0</v>
      </c>
      <c r="K243" s="364">
        <v>94.73</v>
      </c>
      <c r="L243" s="364">
        <v>91.17</v>
      </c>
      <c r="M243" s="364">
        <v>2.25</v>
      </c>
      <c r="N243" s="364">
        <v>96.88</v>
      </c>
      <c r="O243" s="365">
        <v>3293</v>
      </c>
      <c r="P243" s="364">
        <v>83.57</v>
      </c>
      <c r="Q243" s="364">
        <v>74.849999999999994</v>
      </c>
      <c r="R243" s="364">
        <v>34.97</v>
      </c>
      <c r="S243" s="364">
        <v>117.78</v>
      </c>
      <c r="T243" s="365">
        <v>556</v>
      </c>
      <c r="U243" s="364">
        <v>127.59</v>
      </c>
      <c r="V243" s="365">
        <v>376</v>
      </c>
      <c r="W243" s="364">
        <v>202.96</v>
      </c>
      <c r="X243" s="365">
        <v>41</v>
      </c>
      <c r="Y243" s="366">
        <v>0</v>
      </c>
      <c r="Z243" s="366">
        <v>4</v>
      </c>
      <c r="AA243" s="366">
        <v>0</v>
      </c>
      <c r="AB243" s="366">
        <v>34</v>
      </c>
      <c r="AC243" s="366">
        <v>19</v>
      </c>
      <c r="AD243" s="366">
        <v>3731</v>
      </c>
      <c r="AE243" s="366">
        <v>28</v>
      </c>
      <c r="AF243" s="366">
        <v>9</v>
      </c>
      <c r="AG243" s="366">
        <v>37</v>
      </c>
    </row>
    <row r="244" spans="1:33" x14ac:dyDescent="0.2">
      <c r="A244" s="359" t="s">
        <v>542</v>
      </c>
      <c r="B244" s="359" t="s">
        <v>543</v>
      </c>
      <c r="C244" s="366">
        <v>1054</v>
      </c>
      <c r="D244" s="366">
        <v>0</v>
      </c>
      <c r="E244" s="366">
        <v>109</v>
      </c>
      <c r="F244" s="366">
        <v>0</v>
      </c>
      <c r="G244" s="366">
        <v>348</v>
      </c>
      <c r="H244" s="363">
        <v>1511</v>
      </c>
      <c r="I244" s="363">
        <v>1163</v>
      </c>
      <c r="J244" s="366">
        <v>1</v>
      </c>
      <c r="K244" s="364">
        <v>86.25</v>
      </c>
      <c r="L244" s="364">
        <v>84.47</v>
      </c>
      <c r="M244" s="364">
        <v>5.03</v>
      </c>
      <c r="N244" s="364">
        <v>90.3</v>
      </c>
      <c r="O244" s="365">
        <v>750</v>
      </c>
      <c r="P244" s="364">
        <v>118.07</v>
      </c>
      <c r="Q244" s="364">
        <v>69.56</v>
      </c>
      <c r="R244" s="364">
        <v>109.12</v>
      </c>
      <c r="S244" s="364">
        <v>227.19</v>
      </c>
      <c r="T244" s="365">
        <v>95</v>
      </c>
      <c r="U244" s="364">
        <v>107.92</v>
      </c>
      <c r="V244" s="365">
        <v>185</v>
      </c>
      <c r="W244" s="364">
        <v>0</v>
      </c>
      <c r="X244" s="365">
        <v>0</v>
      </c>
      <c r="Y244" s="366">
        <v>0</v>
      </c>
      <c r="Z244" s="366">
        <v>0</v>
      </c>
      <c r="AA244" s="366">
        <v>0</v>
      </c>
      <c r="AB244" s="366">
        <v>10</v>
      </c>
      <c r="AC244" s="366">
        <v>2</v>
      </c>
      <c r="AD244" s="366">
        <v>989</v>
      </c>
      <c r="AE244" s="366">
        <v>5</v>
      </c>
      <c r="AF244" s="366">
        <v>0</v>
      </c>
      <c r="AG244" s="366">
        <v>5</v>
      </c>
    </row>
    <row r="245" spans="1:33" x14ac:dyDescent="0.2">
      <c r="A245" s="359" t="s">
        <v>544</v>
      </c>
      <c r="B245" s="359" t="s">
        <v>545</v>
      </c>
      <c r="C245" s="366">
        <v>1807</v>
      </c>
      <c r="D245" s="366">
        <v>0</v>
      </c>
      <c r="E245" s="366">
        <v>142</v>
      </c>
      <c r="F245" s="366">
        <v>268</v>
      </c>
      <c r="G245" s="366">
        <v>522</v>
      </c>
      <c r="H245" s="363">
        <v>2739</v>
      </c>
      <c r="I245" s="363">
        <v>2217</v>
      </c>
      <c r="J245" s="366">
        <v>3</v>
      </c>
      <c r="K245" s="364">
        <v>88.98</v>
      </c>
      <c r="L245" s="364">
        <v>87.46</v>
      </c>
      <c r="M245" s="364">
        <v>5.71</v>
      </c>
      <c r="N245" s="364">
        <v>94.09</v>
      </c>
      <c r="O245" s="365">
        <v>1240</v>
      </c>
      <c r="P245" s="364">
        <v>97.05</v>
      </c>
      <c r="Q245" s="364">
        <v>72.02</v>
      </c>
      <c r="R245" s="364">
        <v>47.08</v>
      </c>
      <c r="S245" s="364">
        <v>144.13</v>
      </c>
      <c r="T245" s="365">
        <v>275</v>
      </c>
      <c r="U245" s="364">
        <v>107.88</v>
      </c>
      <c r="V245" s="365">
        <v>278</v>
      </c>
      <c r="W245" s="364">
        <v>0</v>
      </c>
      <c r="X245" s="365">
        <v>0</v>
      </c>
      <c r="Y245" s="366">
        <v>33</v>
      </c>
      <c r="Z245" s="366">
        <v>1</v>
      </c>
      <c r="AA245" s="366">
        <v>0</v>
      </c>
      <c r="AB245" s="366">
        <v>34</v>
      </c>
      <c r="AC245" s="366">
        <v>12</v>
      </c>
      <c r="AD245" s="366">
        <v>1718</v>
      </c>
      <c r="AE245" s="366">
        <v>23</v>
      </c>
      <c r="AF245" s="366">
        <v>4</v>
      </c>
      <c r="AG245" s="366">
        <v>27</v>
      </c>
    </row>
    <row r="246" spans="1:33" x14ac:dyDescent="0.2">
      <c r="A246" s="359" t="s">
        <v>546</v>
      </c>
      <c r="B246" s="359" t="s">
        <v>547</v>
      </c>
      <c r="C246" s="366">
        <v>4097</v>
      </c>
      <c r="D246" s="366">
        <v>2</v>
      </c>
      <c r="E246" s="366">
        <v>201</v>
      </c>
      <c r="F246" s="366">
        <v>541</v>
      </c>
      <c r="G246" s="366">
        <v>220</v>
      </c>
      <c r="H246" s="363">
        <v>5061</v>
      </c>
      <c r="I246" s="363">
        <v>4841</v>
      </c>
      <c r="J246" s="366">
        <v>0</v>
      </c>
      <c r="K246" s="364">
        <v>92.96</v>
      </c>
      <c r="L246" s="364">
        <v>92.94</v>
      </c>
      <c r="M246" s="364">
        <v>4.57</v>
      </c>
      <c r="N246" s="364">
        <v>94.28</v>
      </c>
      <c r="O246" s="365">
        <v>3518</v>
      </c>
      <c r="P246" s="364">
        <v>86.35</v>
      </c>
      <c r="Q246" s="364">
        <v>82.43</v>
      </c>
      <c r="R246" s="364">
        <v>45.59</v>
      </c>
      <c r="S246" s="364">
        <v>131.38999999999999</v>
      </c>
      <c r="T246" s="365">
        <v>667</v>
      </c>
      <c r="U246" s="364">
        <v>116.06</v>
      </c>
      <c r="V246" s="365">
        <v>494</v>
      </c>
      <c r="W246" s="364">
        <v>207.9</v>
      </c>
      <c r="X246" s="365">
        <v>8</v>
      </c>
      <c r="Y246" s="366">
        <v>0</v>
      </c>
      <c r="Z246" s="366">
        <v>10</v>
      </c>
      <c r="AA246" s="366">
        <v>1</v>
      </c>
      <c r="AB246" s="366">
        <v>23</v>
      </c>
      <c r="AC246" s="366">
        <v>2</v>
      </c>
      <c r="AD246" s="366">
        <v>4011</v>
      </c>
      <c r="AE246" s="366">
        <v>27</v>
      </c>
      <c r="AF246" s="366">
        <v>11</v>
      </c>
      <c r="AG246" s="366">
        <v>38</v>
      </c>
    </row>
    <row r="247" spans="1:33" x14ac:dyDescent="0.2">
      <c r="A247" s="359" t="s">
        <v>548</v>
      </c>
      <c r="B247" s="359" t="s">
        <v>549</v>
      </c>
      <c r="C247" s="366">
        <v>6642</v>
      </c>
      <c r="D247" s="366">
        <v>0</v>
      </c>
      <c r="E247" s="366">
        <v>227</v>
      </c>
      <c r="F247" s="366">
        <v>819</v>
      </c>
      <c r="G247" s="366">
        <v>694</v>
      </c>
      <c r="H247" s="363">
        <v>8382</v>
      </c>
      <c r="I247" s="363">
        <v>7688</v>
      </c>
      <c r="J247" s="366">
        <v>6</v>
      </c>
      <c r="K247" s="364">
        <v>89.39</v>
      </c>
      <c r="L247" s="364">
        <v>88.92</v>
      </c>
      <c r="M247" s="364">
        <v>5.39</v>
      </c>
      <c r="N247" s="364">
        <v>91</v>
      </c>
      <c r="O247" s="365">
        <v>4478</v>
      </c>
      <c r="P247" s="364">
        <v>90.56</v>
      </c>
      <c r="Q247" s="364">
        <v>81.63</v>
      </c>
      <c r="R247" s="364">
        <v>40.909999999999997</v>
      </c>
      <c r="S247" s="364">
        <v>130.78</v>
      </c>
      <c r="T247" s="365">
        <v>1003</v>
      </c>
      <c r="U247" s="364">
        <v>115.87</v>
      </c>
      <c r="V247" s="365">
        <v>1948</v>
      </c>
      <c r="W247" s="364">
        <v>0</v>
      </c>
      <c r="X247" s="365">
        <v>0</v>
      </c>
      <c r="Y247" s="366">
        <v>74</v>
      </c>
      <c r="Z247" s="366">
        <v>4</v>
      </c>
      <c r="AA247" s="366">
        <v>10</v>
      </c>
      <c r="AB247" s="366">
        <v>35</v>
      </c>
      <c r="AC247" s="366">
        <v>10</v>
      </c>
      <c r="AD247" s="366">
        <v>6637</v>
      </c>
      <c r="AE247" s="366">
        <v>45</v>
      </c>
      <c r="AF247" s="366">
        <v>35</v>
      </c>
      <c r="AG247" s="366">
        <v>80</v>
      </c>
    </row>
    <row r="248" spans="1:33" x14ac:dyDescent="0.2">
      <c r="A248" s="359" t="s">
        <v>550</v>
      </c>
      <c r="B248" s="359" t="s">
        <v>551</v>
      </c>
      <c r="C248" s="366">
        <v>6587</v>
      </c>
      <c r="D248" s="366">
        <v>0</v>
      </c>
      <c r="E248" s="366">
        <v>239</v>
      </c>
      <c r="F248" s="366">
        <v>768</v>
      </c>
      <c r="G248" s="366">
        <v>1033</v>
      </c>
      <c r="H248" s="363">
        <v>8627</v>
      </c>
      <c r="I248" s="363">
        <v>7594</v>
      </c>
      <c r="J248" s="366">
        <v>0</v>
      </c>
      <c r="K248" s="364">
        <v>112.64</v>
      </c>
      <c r="L248" s="364">
        <v>111.27</v>
      </c>
      <c r="M248" s="364">
        <v>5.54</v>
      </c>
      <c r="N248" s="364">
        <v>114.64</v>
      </c>
      <c r="O248" s="365">
        <v>5259</v>
      </c>
      <c r="P248" s="364">
        <v>96.46</v>
      </c>
      <c r="Q248" s="364">
        <v>92.33</v>
      </c>
      <c r="R248" s="364">
        <v>29.64</v>
      </c>
      <c r="S248" s="364">
        <v>123.72</v>
      </c>
      <c r="T248" s="365">
        <v>810</v>
      </c>
      <c r="U248" s="364">
        <v>181.64</v>
      </c>
      <c r="V248" s="365">
        <v>1115</v>
      </c>
      <c r="W248" s="364">
        <v>165.73</v>
      </c>
      <c r="X248" s="365">
        <v>66</v>
      </c>
      <c r="Y248" s="366">
        <v>79</v>
      </c>
      <c r="Z248" s="366">
        <v>1</v>
      </c>
      <c r="AA248" s="366">
        <v>2</v>
      </c>
      <c r="AB248" s="366">
        <v>93</v>
      </c>
      <c r="AC248" s="366">
        <v>25</v>
      </c>
      <c r="AD248" s="366">
        <v>6384</v>
      </c>
      <c r="AE248" s="366">
        <v>42</v>
      </c>
      <c r="AF248" s="366">
        <v>5</v>
      </c>
      <c r="AG248" s="366">
        <v>47</v>
      </c>
    </row>
    <row r="249" spans="1:33" x14ac:dyDescent="0.2">
      <c r="A249" s="359" t="s">
        <v>552</v>
      </c>
      <c r="B249" s="359" t="s">
        <v>553</v>
      </c>
      <c r="C249" s="366">
        <v>3993</v>
      </c>
      <c r="D249" s="366">
        <v>3</v>
      </c>
      <c r="E249" s="366">
        <v>266</v>
      </c>
      <c r="F249" s="366">
        <v>1059</v>
      </c>
      <c r="G249" s="366">
        <v>254</v>
      </c>
      <c r="H249" s="363">
        <v>5575</v>
      </c>
      <c r="I249" s="363">
        <v>5321</v>
      </c>
      <c r="J249" s="366">
        <v>2</v>
      </c>
      <c r="K249" s="364">
        <v>88.16</v>
      </c>
      <c r="L249" s="364">
        <v>87.22</v>
      </c>
      <c r="M249" s="364">
        <v>2.7</v>
      </c>
      <c r="N249" s="364">
        <v>90.77</v>
      </c>
      <c r="O249" s="365">
        <v>3551</v>
      </c>
      <c r="P249" s="364">
        <v>90.54</v>
      </c>
      <c r="Q249" s="364">
        <v>81.17</v>
      </c>
      <c r="R249" s="364">
        <v>26.36</v>
      </c>
      <c r="S249" s="364">
        <v>116.7</v>
      </c>
      <c r="T249" s="365">
        <v>1237</v>
      </c>
      <c r="U249" s="364">
        <v>105.22</v>
      </c>
      <c r="V249" s="365">
        <v>427</v>
      </c>
      <c r="W249" s="364">
        <v>0</v>
      </c>
      <c r="X249" s="365">
        <v>0</v>
      </c>
      <c r="Y249" s="366">
        <v>5</v>
      </c>
      <c r="Z249" s="366">
        <v>4</v>
      </c>
      <c r="AA249" s="366">
        <v>0</v>
      </c>
      <c r="AB249" s="366">
        <v>32</v>
      </c>
      <c r="AC249" s="366">
        <v>3</v>
      </c>
      <c r="AD249" s="366">
        <v>3991</v>
      </c>
      <c r="AE249" s="366">
        <v>31</v>
      </c>
      <c r="AF249" s="366">
        <v>6</v>
      </c>
      <c r="AG249" s="366">
        <v>37</v>
      </c>
    </row>
    <row r="250" spans="1:33" x14ac:dyDescent="0.2">
      <c r="A250" s="359" t="s">
        <v>554</v>
      </c>
      <c r="B250" s="359" t="s">
        <v>555</v>
      </c>
      <c r="C250" s="366">
        <v>9293</v>
      </c>
      <c r="D250" s="366">
        <v>0</v>
      </c>
      <c r="E250" s="366">
        <v>319</v>
      </c>
      <c r="F250" s="366">
        <v>1698</v>
      </c>
      <c r="G250" s="366">
        <v>731</v>
      </c>
      <c r="H250" s="363">
        <v>12041</v>
      </c>
      <c r="I250" s="363">
        <v>11310</v>
      </c>
      <c r="J250" s="366">
        <v>5</v>
      </c>
      <c r="K250" s="364">
        <v>93.22</v>
      </c>
      <c r="L250" s="364">
        <v>89.3</v>
      </c>
      <c r="M250" s="364">
        <v>4.2300000000000004</v>
      </c>
      <c r="N250" s="364">
        <v>94.58</v>
      </c>
      <c r="O250" s="365">
        <v>8340</v>
      </c>
      <c r="P250" s="364">
        <v>88.22</v>
      </c>
      <c r="Q250" s="364">
        <v>78.760000000000005</v>
      </c>
      <c r="R250" s="364">
        <v>29.75</v>
      </c>
      <c r="S250" s="364">
        <v>117.9</v>
      </c>
      <c r="T250" s="365">
        <v>1963</v>
      </c>
      <c r="U250" s="364">
        <v>118.61</v>
      </c>
      <c r="V250" s="365">
        <v>630</v>
      </c>
      <c r="W250" s="364">
        <v>159.32</v>
      </c>
      <c r="X250" s="365">
        <v>15</v>
      </c>
      <c r="Y250" s="366">
        <v>0</v>
      </c>
      <c r="Z250" s="366">
        <v>26</v>
      </c>
      <c r="AA250" s="366">
        <v>38</v>
      </c>
      <c r="AB250" s="366">
        <v>13</v>
      </c>
      <c r="AC250" s="366">
        <v>19</v>
      </c>
      <c r="AD250" s="366">
        <v>9207</v>
      </c>
      <c r="AE250" s="366">
        <v>32</v>
      </c>
      <c r="AF250" s="366">
        <v>71</v>
      </c>
      <c r="AG250" s="366">
        <v>103</v>
      </c>
    </row>
    <row r="251" spans="1:33" x14ac:dyDescent="0.2">
      <c r="A251" s="359" t="s">
        <v>556</v>
      </c>
      <c r="B251" s="359" t="s">
        <v>557</v>
      </c>
      <c r="C251" s="366">
        <v>5728</v>
      </c>
      <c r="D251" s="366">
        <v>0</v>
      </c>
      <c r="E251" s="366">
        <v>301</v>
      </c>
      <c r="F251" s="366">
        <v>664</v>
      </c>
      <c r="G251" s="366">
        <v>375</v>
      </c>
      <c r="H251" s="363">
        <v>7068</v>
      </c>
      <c r="I251" s="363">
        <v>6693</v>
      </c>
      <c r="J251" s="366">
        <v>5</v>
      </c>
      <c r="K251" s="364">
        <v>89.35</v>
      </c>
      <c r="L251" s="364">
        <v>85.48</v>
      </c>
      <c r="M251" s="364">
        <v>5.2</v>
      </c>
      <c r="N251" s="364">
        <v>90.82</v>
      </c>
      <c r="O251" s="365">
        <v>5586</v>
      </c>
      <c r="P251" s="364">
        <v>82.73</v>
      </c>
      <c r="Q251" s="364">
        <v>77.150000000000006</v>
      </c>
      <c r="R251" s="364">
        <v>42.02</v>
      </c>
      <c r="S251" s="364">
        <v>123.47</v>
      </c>
      <c r="T251" s="365">
        <v>790</v>
      </c>
      <c r="U251" s="364">
        <v>106.87</v>
      </c>
      <c r="V251" s="365">
        <v>100</v>
      </c>
      <c r="W251" s="364">
        <v>171.03</v>
      </c>
      <c r="X251" s="365">
        <v>160</v>
      </c>
      <c r="Y251" s="366">
        <v>0</v>
      </c>
      <c r="Z251" s="366">
        <v>6</v>
      </c>
      <c r="AA251" s="366">
        <v>0</v>
      </c>
      <c r="AB251" s="366">
        <v>39</v>
      </c>
      <c r="AC251" s="366">
        <v>8</v>
      </c>
      <c r="AD251" s="366">
        <v>5728</v>
      </c>
      <c r="AE251" s="366">
        <v>27</v>
      </c>
      <c r="AF251" s="366">
        <v>9</v>
      </c>
      <c r="AG251" s="366">
        <v>36</v>
      </c>
    </row>
    <row r="252" spans="1:33" x14ac:dyDescent="0.2">
      <c r="A252" s="359" t="s">
        <v>558</v>
      </c>
      <c r="B252" s="359" t="s">
        <v>559</v>
      </c>
      <c r="C252" s="366">
        <v>3876</v>
      </c>
      <c r="D252" s="366">
        <v>55</v>
      </c>
      <c r="E252" s="366">
        <v>385</v>
      </c>
      <c r="F252" s="366">
        <v>1000</v>
      </c>
      <c r="G252" s="366">
        <v>192</v>
      </c>
      <c r="H252" s="363">
        <v>5508</v>
      </c>
      <c r="I252" s="363">
        <v>5316</v>
      </c>
      <c r="J252" s="366">
        <v>0</v>
      </c>
      <c r="K252" s="364">
        <v>81.010000000000005</v>
      </c>
      <c r="L252" s="364">
        <v>77.7</v>
      </c>
      <c r="M252" s="364">
        <v>3.11</v>
      </c>
      <c r="N252" s="364">
        <v>83.18</v>
      </c>
      <c r="O252" s="365">
        <v>3130</v>
      </c>
      <c r="P252" s="364">
        <v>84.58</v>
      </c>
      <c r="Q252" s="364">
        <v>75.37</v>
      </c>
      <c r="R252" s="364">
        <v>66.42</v>
      </c>
      <c r="S252" s="364">
        <v>150.36000000000001</v>
      </c>
      <c r="T252" s="365">
        <v>941</v>
      </c>
      <c r="U252" s="364">
        <v>98.24</v>
      </c>
      <c r="V252" s="365">
        <v>656</v>
      </c>
      <c r="W252" s="364">
        <v>126.33</v>
      </c>
      <c r="X252" s="365">
        <v>326</v>
      </c>
      <c r="Y252" s="366">
        <v>0</v>
      </c>
      <c r="Z252" s="366">
        <v>4</v>
      </c>
      <c r="AA252" s="366">
        <v>4</v>
      </c>
      <c r="AB252" s="366">
        <v>2</v>
      </c>
      <c r="AC252" s="366">
        <v>1</v>
      </c>
      <c r="AD252" s="366">
        <v>3673</v>
      </c>
      <c r="AE252" s="366">
        <v>40</v>
      </c>
      <c r="AF252" s="366">
        <v>38</v>
      </c>
      <c r="AG252" s="366">
        <v>78</v>
      </c>
    </row>
    <row r="253" spans="1:33" x14ac:dyDescent="0.2">
      <c r="A253" s="359" t="s">
        <v>560</v>
      </c>
      <c r="B253" s="359" t="s">
        <v>561</v>
      </c>
      <c r="C253" s="366">
        <v>5891</v>
      </c>
      <c r="D253" s="366">
        <v>93</v>
      </c>
      <c r="E253" s="366">
        <v>937</v>
      </c>
      <c r="F253" s="366">
        <v>1085</v>
      </c>
      <c r="G253" s="366">
        <v>995</v>
      </c>
      <c r="H253" s="363">
        <v>9001</v>
      </c>
      <c r="I253" s="363">
        <v>8006</v>
      </c>
      <c r="J253" s="366">
        <v>1</v>
      </c>
      <c r="K253" s="364">
        <v>106.17</v>
      </c>
      <c r="L253" s="364">
        <v>103.22</v>
      </c>
      <c r="M253" s="364">
        <v>7.88</v>
      </c>
      <c r="N253" s="364">
        <v>112.91</v>
      </c>
      <c r="O253" s="365">
        <v>4667</v>
      </c>
      <c r="P253" s="364">
        <v>93.52</v>
      </c>
      <c r="Q253" s="364">
        <v>88.06</v>
      </c>
      <c r="R253" s="364">
        <v>43.65</v>
      </c>
      <c r="S253" s="364">
        <v>135.16</v>
      </c>
      <c r="T253" s="365">
        <v>1616</v>
      </c>
      <c r="U253" s="364">
        <v>143.35</v>
      </c>
      <c r="V253" s="365">
        <v>816</v>
      </c>
      <c r="W253" s="364">
        <v>147.38</v>
      </c>
      <c r="X253" s="365">
        <v>23</v>
      </c>
      <c r="Y253" s="366">
        <v>0</v>
      </c>
      <c r="Z253" s="366">
        <v>1</v>
      </c>
      <c r="AA253" s="366">
        <v>8</v>
      </c>
      <c r="AB253" s="366">
        <v>41</v>
      </c>
      <c r="AC253" s="366">
        <v>20</v>
      </c>
      <c r="AD253" s="366">
        <v>5745</v>
      </c>
      <c r="AE253" s="366">
        <v>41</v>
      </c>
      <c r="AF253" s="366">
        <v>5</v>
      </c>
      <c r="AG253" s="366">
        <v>46</v>
      </c>
    </row>
    <row r="254" spans="1:33" x14ac:dyDescent="0.2">
      <c r="A254" s="359" t="s">
        <v>562</v>
      </c>
      <c r="B254" s="359" t="s">
        <v>563</v>
      </c>
      <c r="C254" s="366">
        <v>2851</v>
      </c>
      <c r="D254" s="366">
        <v>0</v>
      </c>
      <c r="E254" s="366">
        <v>554</v>
      </c>
      <c r="F254" s="366">
        <v>318</v>
      </c>
      <c r="G254" s="366">
        <v>422</v>
      </c>
      <c r="H254" s="363">
        <v>4145</v>
      </c>
      <c r="I254" s="363">
        <v>3723</v>
      </c>
      <c r="J254" s="366">
        <v>2</v>
      </c>
      <c r="K254" s="364">
        <v>98.44</v>
      </c>
      <c r="L254" s="364">
        <v>96.84</v>
      </c>
      <c r="M254" s="364">
        <v>13.95</v>
      </c>
      <c r="N254" s="364">
        <v>109.4</v>
      </c>
      <c r="O254" s="365">
        <v>2443</v>
      </c>
      <c r="P254" s="364">
        <v>91.61</v>
      </c>
      <c r="Q254" s="364">
        <v>83.29</v>
      </c>
      <c r="R254" s="364">
        <v>64.16</v>
      </c>
      <c r="S254" s="364">
        <v>154.02000000000001</v>
      </c>
      <c r="T254" s="365">
        <v>512</v>
      </c>
      <c r="U254" s="364">
        <v>149.6</v>
      </c>
      <c r="V254" s="365">
        <v>367</v>
      </c>
      <c r="W254" s="364">
        <v>0</v>
      </c>
      <c r="X254" s="365">
        <v>0</v>
      </c>
      <c r="Y254" s="366">
        <v>1</v>
      </c>
      <c r="Z254" s="366">
        <v>0</v>
      </c>
      <c r="AA254" s="366">
        <v>0</v>
      </c>
      <c r="AB254" s="366">
        <v>2</v>
      </c>
      <c r="AC254" s="366">
        <v>8</v>
      </c>
      <c r="AD254" s="366">
        <v>2851</v>
      </c>
      <c r="AE254" s="366">
        <v>10</v>
      </c>
      <c r="AF254" s="366">
        <v>3</v>
      </c>
      <c r="AG254" s="366">
        <v>13</v>
      </c>
    </row>
    <row r="255" spans="1:33" x14ac:dyDescent="0.2">
      <c r="A255" s="359" t="s">
        <v>564</v>
      </c>
      <c r="B255" s="359" t="s">
        <v>565</v>
      </c>
      <c r="C255" s="366">
        <v>14891</v>
      </c>
      <c r="D255" s="366">
        <v>428</v>
      </c>
      <c r="E255" s="366">
        <v>1405</v>
      </c>
      <c r="F255" s="366">
        <v>715</v>
      </c>
      <c r="G255" s="366">
        <v>3136</v>
      </c>
      <c r="H255" s="363">
        <v>20575</v>
      </c>
      <c r="I255" s="363">
        <v>17439</v>
      </c>
      <c r="J255" s="366">
        <v>175</v>
      </c>
      <c r="K255" s="364">
        <v>123.69</v>
      </c>
      <c r="L255" s="364">
        <v>126.34</v>
      </c>
      <c r="M255" s="364">
        <v>14.14</v>
      </c>
      <c r="N255" s="364">
        <v>134.93</v>
      </c>
      <c r="O255" s="365">
        <v>12297</v>
      </c>
      <c r="P255" s="364">
        <v>110.06</v>
      </c>
      <c r="Q255" s="364">
        <v>104.26</v>
      </c>
      <c r="R255" s="364">
        <v>61.13</v>
      </c>
      <c r="S255" s="364">
        <v>168.15</v>
      </c>
      <c r="T255" s="365">
        <v>1893</v>
      </c>
      <c r="U255" s="364">
        <v>199.48</v>
      </c>
      <c r="V255" s="365">
        <v>1185</v>
      </c>
      <c r="W255" s="364">
        <v>206.63</v>
      </c>
      <c r="X255" s="365">
        <v>25</v>
      </c>
      <c r="Y255" s="366">
        <v>0</v>
      </c>
      <c r="Z255" s="366">
        <v>0</v>
      </c>
      <c r="AA255" s="366">
        <v>77</v>
      </c>
      <c r="AB255" s="366">
        <v>112</v>
      </c>
      <c r="AC255" s="366">
        <v>182</v>
      </c>
      <c r="AD255" s="366">
        <v>14229</v>
      </c>
      <c r="AE255" s="366">
        <v>128</v>
      </c>
      <c r="AF255" s="366">
        <v>60</v>
      </c>
      <c r="AG255" s="366">
        <v>188</v>
      </c>
    </row>
    <row r="256" spans="1:33" x14ac:dyDescent="0.2">
      <c r="A256" s="359" t="s">
        <v>566</v>
      </c>
      <c r="B256" s="359" t="s">
        <v>567</v>
      </c>
      <c r="C256" s="366">
        <v>4925</v>
      </c>
      <c r="D256" s="366">
        <v>0</v>
      </c>
      <c r="E256" s="366">
        <v>156</v>
      </c>
      <c r="F256" s="366">
        <v>338</v>
      </c>
      <c r="G256" s="366">
        <v>394</v>
      </c>
      <c r="H256" s="363">
        <v>5813</v>
      </c>
      <c r="I256" s="363">
        <v>5419</v>
      </c>
      <c r="J256" s="366">
        <v>9</v>
      </c>
      <c r="K256" s="364">
        <v>117.53</v>
      </c>
      <c r="L256" s="364">
        <v>112.5</v>
      </c>
      <c r="M256" s="364">
        <v>5.77</v>
      </c>
      <c r="N256" s="364">
        <v>122.69</v>
      </c>
      <c r="O256" s="365">
        <v>4719</v>
      </c>
      <c r="P256" s="364">
        <v>110.7</v>
      </c>
      <c r="Q256" s="364">
        <v>104.7</v>
      </c>
      <c r="R256" s="364">
        <v>68.510000000000005</v>
      </c>
      <c r="S256" s="364">
        <v>171.87</v>
      </c>
      <c r="T256" s="365">
        <v>345</v>
      </c>
      <c r="U256" s="364">
        <v>215.98</v>
      </c>
      <c r="V256" s="365">
        <v>184</v>
      </c>
      <c r="W256" s="364">
        <v>156.82</v>
      </c>
      <c r="X256" s="365">
        <v>2</v>
      </c>
      <c r="Y256" s="366">
        <v>0</v>
      </c>
      <c r="Z256" s="366">
        <v>2</v>
      </c>
      <c r="AA256" s="366">
        <v>0</v>
      </c>
      <c r="AB256" s="366">
        <v>0</v>
      </c>
      <c r="AC256" s="366">
        <v>15</v>
      </c>
      <c r="AD256" s="366">
        <v>4922</v>
      </c>
      <c r="AE256" s="366">
        <v>24</v>
      </c>
      <c r="AF256" s="366">
        <v>3</v>
      </c>
      <c r="AG256" s="366">
        <v>27</v>
      </c>
    </row>
    <row r="257" spans="1:33" x14ac:dyDescent="0.2">
      <c r="A257" s="359" t="s">
        <v>568</v>
      </c>
      <c r="B257" s="359" t="s">
        <v>569</v>
      </c>
      <c r="C257" s="366">
        <v>2187</v>
      </c>
      <c r="D257" s="366">
        <v>0</v>
      </c>
      <c r="E257" s="366">
        <v>276</v>
      </c>
      <c r="F257" s="366">
        <v>206</v>
      </c>
      <c r="G257" s="366">
        <v>254</v>
      </c>
      <c r="H257" s="363">
        <v>2923</v>
      </c>
      <c r="I257" s="363">
        <v>2669</v>
      </c>
      <c r="J257" s="366">
        <v>2</v>
      </c>
      <c r="K257" s="364">
        <v>123.11</v>
      </c>
      <c r="L257" s="364">
        <v>120.79</v>
      </c>
      <c r="M257" s="364">
        <v>7.97</v>
      </c>
      <c r="N257" s="364">
        <v>129.62</v>
      </c>
      <c r="O257" s="365">
        <v>1617</v>
      </c>
      <c r="P257" s="364">
        <v>119.72</v>
      </c>
      <c r="Q257" s="364">
        <v>106.71</v>
      </c>
      <c r="R257" s="364">
        <v>38.729999999999997</v>
      </c>
      <c r="S257" s="364">
        <v>157.06</v>
      </c>
      <c r="T257" s="365">
        <v>391</v>
      </c>
      <c r="U257" s="364">
        <v>194.01</v>
      </c>
      <c r="V257" s="365">
        <v>339</v>
      </c>
      <c r="W257" s="364">
        <v>187.3</v>
      </c>
      <c r="X257" s="365">
        <v>38</v>
      </c>
      <c r="Y257" s="366">
        <v>0</v>
      </c>
      <c r="Z257" s="366">
        <v>0</v>
      </c>
      <c r="AA257" s="366">
        <v>0</v>
      </c>
      <c r="AB257" s="366">
        <v>29</v>
      </c>
      <c r="AC257" s="366">
        <v>16</v>
      </c>
      <c r="AD257" s="366">
        <v>2184</v>
      </c>
      <c r="AE257" s="366">
        <v>20</v>
      </c>
      <c r="AF257" s="366">
        <v>4</v>
      </c>
      <c r="AG257" s="366">
        <v>24</v>
      </c>
    </row>
    <row r="258" spans="1:33" x14ac:dyDescent="0.2">
      <c r="A258" s="359" t="s">
        <v>570</v>
      </c>
      <c r="B258" s="359" t="s">
        <v>571</v>
      </c>
      <c r="C258" s="366">
        <v>14585</v>
      </c>
      <c r="D258" s="366">
        <v>0</v>
      </c>
      <c r="E258" s="366">
        <v>646</v>
      </c>
      <c r="F258" s="366">
        <v>2189</v>
      </c>
      <c r="G258" s="366">
        <v>567</v>
      </c>
      <c r="H258" s="363">
        <v>17987</v>
      </c>
      <c r="I258" s="363">
        <v>17420</v>
      </c>
      <c r="J258" s="366">
        <v>94</v>
      </c>
      <c r="K258" s="364">
        <v>89.48</v>
      </c>
      <c r="L258" s="364">
        <v>85.96</v>
      </c>
      <c r="M258" s="364">
        <v>1.8</v>
      </c>
      <c r="N258" s="364">
        <v>91.11</v>
      </c>
      <c r="O258" s="365">
        <v>13136</v>
      </c>
      <c r="P258" s="364">
        <v>93.45</v>
      </c>
      <c r="Q258" s="364">
        <v>79.16</v>
      </c>
      <c r="R258" s="364">
        <v>45.11</v>
      </c>
      <c r="S258" s="364">
        <v>138.04</v>
      </c>
      <c r="T258" s="365">
        <v>2472</v>
      </c>
      <c r="U258" s="364">
        <v>101.04</v>
      </c>
      <c r="V258" s="365">
        <v>1350</v>
      </c>
      <c r="W258" s="364">
        <v>136.5</v>
      </c>
      <c r="X258" s="365">
        <v>191</v>
      </c>
      <c r="Y258" s="366">
        <v>0</v>
      </c>
      <c r="Z258" s="366">
        <v>53</v>
      </c>
      <c r="AA258" s="366">
        <v>1</v>
      </c>
      <c r="AB258" s="366">
        <v>60</v>
      </c>
      <c r="AC258" s="366">
        <v>9</v>
      </c>
      <c r="AD258" s="366">
        <v>14531</v>
      </c>
      <c r="AE258" s="366">
        <v>162</v>
      </c>
      <c r="AF258" s="366">
        <v>99</v>
      </c>
      <c r="AG258" s="366">
        <v>261</v>
      </c>
    </row>
    <row r="259" spans="1:33" x14ac:dyDescent="0.2">
      <c r="A259" s="359" t="s">
        <v>572</v>
      </c>
      <c r="B259" s="359" t="s">
        <v>573</v>
      </c>
      <c r="C259" s="366">
        <v>6478</v>
      </c>
      <c r="D259" s="366">
        <v>0</v>
      </c>
      <c r="E259" s="366">
        <v>288</v>
      </c>
      <c r="F259" s="366">
        <v>1636</v>
      </c>
      <c r="G259" s="366">
        <v>453</v>
      </c>
      <c r="H259" s="363">
        <v>8855</v>
      </c>
      <c r="I259" s="363">
        <v>8402</v>
      </c>
      <c r="J259" s="366">
        <v>0</v>
      </c>
      <c r="K259" s="364">
        <v>84.53</v>
      </c>
      <c r="L259" s="364">
        <v>84.36</v>
      </c>
      <c r="M259" s="364">
        <v>4.9800000000000004</v>
      </c>
      <c r="N259" s="364">
        <v>87.53</v>
      </c>
      <c r="O259" s="365">
        <v>5759</v>
      </c>
      <c r="P259" s="364">
        <v>82.64</v>
      </c>
      <c r="Q259" s="364">
        <v>76.260000000000005</v>
      </c>
      <c r="R259" s="364">
        <v>20.85</v>
      </c>
      <c r="S259" s="364">
        <v>102.89</v>
      </c>
      <c r="T259" s="365">
        <v>1781</v>
      </c>
      <c r="U259" s="364">
        <v>107.36</v>
      </c>
      <c r="V259" s="365">
        <v>714</v>
      </c>
      <c r="W259" s="364">
        <v>193.29</v>
      </c>
      <c r="X259" s="365">
        <v>140</v>
      </c>
      <c r="Y259" s="366">
        <v>8</v>
      </c>
      <c r="Z259" s="366">
        <v>11</v>
      </c>
      <c r="AA259" s="366">
        <v>0</v>
      </c>
      <c r="AB259" s="366">
        <v>18</v>
      </c>
      <c r="AC259" s="366">
        <v>7</v>
      </c>
      <c r="AD259" s="366">
        <v>6478</v>
      </c>
      <c r="AE259" s="366">
        <v>50</v>
      </c>
      <c r="AF259" s="366">
        <v>72</v>
      </c>
      <c r="AG259" s="366">
        <v>122</v>
      </c>
    </row>
    <row r="260" spans="1:33" x14ac:dyDescent="0.2">
      <c r="A260" s="359" t="s">
        <v>574</v>
      </c>
      <c r="B260" s="359" t="s">
        <v>575</v>
      </c>
      <c r="C260" s="366">
        <v>3401</v>
      </c>
      <c r="D260" s="366">
        <v>0</v>
      </c>
      <c r="E260" s="366">
        <v>134</v>
      </c>
      <c r="F260" s="366">
        <v>299</v>
      </c>
      <c r="G260" s="366">
        <v>78</v>
      </c>
      <c r="H260" s="363">
        <v>3912</v>
      </c>
      <c r="I260" s="363">
        <v>3834</v>
      </c>
      <c r="J260" s="366">
        <v>65</v>
      </c>
      <c r="K260" s="364">
        <v>86.72</v>
      </c>
      <c r="L260" s="364">
        <v>83.31</v>
      </c>
      <c r="M260" s="364">
        <v>4.33</v>
      </c>
      <c r="N260" s="364">
        <v>88.54</v>
      </c>
      <c r="O260" s="365">
        <v>3042</v>
      </c>
      <c r="P260" s="364">
        <v>83.1</v>
      </c>
      <c r="Q260" s="364">
        <v>76.19</v>
      </c>
      <c r="R260" s="364">
        <v>67.84</v>
      </c>
      <c r="S260" s="364">
        <v>150.72</v>
      </c>
      <c r="T260" s="365">
        <v>320</v>
      </c>
      <c r="U260" s="364">
        <v>98.43</v>
      </c>
      <c r="V260" s="365">
        <v>256</v>
      </c>
      <c r="W260" s="364">
        <v>149.74</v>
      </c>
      <c r="X260" s="365">
        <v>72</v>
      </c>
      <c r="Y260" s="366">
        <v>0</v>
      </c>
      <c r="Z260" s="366">
        <v>11</v>
      </c>
      <c r="AA260" s="366">
        <v>0</v>
      </c>
      <c r="AB260" s="366">
        <v>0</v>
      </c>
      <c r="AC260" s="366">
        <v>3</v>
      </c>
      <c r="AD260" s="366">
        <v>3216</v>
      </c>
      <c r="AE260" s="366">
        <v>28</v>
      </c>
      <c r="AF260" s="366">
        <v>4</v>
      </c>
      <c r="AG260" s="366">
        <v>32</v>
      </c>
    </row>
    <row r="261" spans="1:33" x14ac:dyDescent="0.2">
      <c r="A261" s="359" t="s">
        <v>576</v>
      </c>
      <c r="B261" s="359" t="s">
        <v>577</v>
      </c>
      <c r="C261" s="366">
        <v>1731</v>
      </c>
      <c r="D261" s="366">
        <v>6</v>
      </c>
      <c r="E261" s="366">
        <v>162</v>
      </c>
      <c r="F261" s="366">
        <v>311</v>
      </c>
      <c r="G261" s="366">
        <v>612</v>
      </c>
      <c r="H261" s="363">
        <v>2822</v>
      </c>
      <c r="I261" s="363">
        <v>2210</v>
      </c>
      <c r="J261" s="366">
        <v>0</v>
      </c>
      <c r="K261" s="364">
        <v>114.34</v>
      </c>
      <c r="L261" s="364">
        <v>111.37</v>
      </c>
      <c r="M261" s="364">
        <v>7.18</v>
      </c>
      <c r="N261" s="364">
        <v>121.05</v>
      </c>
      <c r="O261" s="365">
        <v>1425</v>
      </c>
      <c r="P261" s="364">
        <v>104.38</v>
      </c>
      <c r="Q261" s="364">
        <v>92.39</v>
      </c>
      <c r="R261" s="364">
        <v>39.9</v>
      </c>
      <c r="S261" s="364">
        <v>143.4</v>
      </c>
      <c r="T261" s="365">
        <v>410</v>
      </c>
      <c r="U261" s="364">
        <v>144.15</v>
      </c>
      <c r="V261" s="365">
        <v>165</v>
      </c>
      <c r="W261" s="364">
        <v>0</v>
      </c>
      <c r="X261" s="365">
        <v>0</v>
      </c>
      <c r="Y261" s="366">
        <v>0</v>
      </c>
      <c r="Z261" s="366">
        <v>0</v>
      </c>
      <c r="AA261" s="366">
        <v>0</v>
      </c>
      <c r="AB261" s="366">
        <v>49</v>
      </c>
      <c r="AC261" s="366">
        <v>11</v>
      </c>
      <c r="AD261" s="366">
        <v>1609</v>
      </c>
      <c r="AE261" s="366">
        <v>6</v>
      </c>
      <c r="AF261" s="366">
        <v>1</v>
      </c>
      <c r="AG261" s="366">
        <v>7</v>
      </c>
    </row>
    <row r="262" spans="1:33" x14ac:dyDescent="0.2">
      <c r="A262" s="359" t="s">
        <v>578</v>
      </c>
      <c r="B262" s="359" t="s">
        <v>579</v>
      </c>
      <c r="C262" s="366">
        <v>4736</v>
      </c>
      <c r="D262" s="366">
        <v>0</v>
      </c>
      <c r="E262" s="366">
        <v>566</v>
      </c>
      <c r="F262" s="366">
        <v>1242</v>
      </c>
      <c r="G262" s="366">
        <v>1076</v>
      </c>
      <c r="H262" s="363">
        <v>7620</v>
      </c>
      <c r="I262" s="363">
        <v>6544</v>
      </c>
      <c r="J262" s="366">
        <v>2</v>
      </c>
      <c r="K262" s="364">
        <v>84.05</v>
      </c>
      <c r="L262" s="364">
        <v>82.32</v>
      </c>
      <c r="M262" s="364">
        <v>7.29</v>
      </c>
      <c r="N262" s="364">
        <v>88.18</v>
      </c>
      <c r="O262" s="365">
        <v>3869</v>
      </c>
      <c r="P262" s="364">
        <v>84.74</v>
      </c>
      <c r="Q262" s="364">
        <v>77.22</v>
      </c>
      <c r="R262" s="364">
        <v>31.38</v>
      </c>
      <c r="S262" s="364">
        <v>114.9</v>
      </c>
      <c r="T262" s="365">
        <v>1618</v>
      </c>
      <c r="U262" s="364">
        <v>117.66</v>
      </c>
      <c r="V262" s="365">
        <v>644</v>
      </c>
      <c r="W262" s="364">
        <v>182.87</v>
      </c>
      <c r="X262" s="365">
        <v>52</v>
      </c>
      <c r="Y262" s="366">
        <v>6</v>
      </c>
      <c r="Z262" s="366">
        <v>4</v>
      </c>
      <c r="AA262" s="366">
        <v>5</v>
      </c>
      <c r="AB262" s="366">
        <v>32</v>
      </c>
      <c r="AC262" s="366">
        <v>9</v>
      </c>
      <c r="AD262" s="366">
        <v>4287</v>
      </c>
      <c r="AE262" s="366">
        <v>30</v>
      </c>
      <c r="AF262" s="366">
        <v>10</v>
      </c>
      <c r="AG262" s="366">
        <v>40</v>
      </c>
    </row>
    <row r="263" spans="1:33" x14ac:dyDescent="0.2">
      <c r="A263" s="359" t="s">
        <v>580</v>
      </c>
      <c r="B263" s="359" t="s">
        <v>581</v>
      </c>
      <c r="C263" s="366">
        <v>13013</v>
      </c>
      <c r="D263" s="366">
        <v>0</v>
      </c>
      <c r="E263" s="366">
        <v>350</v>
      </c>
      <c r="F263" s="366">
        <v>824</v>
      </c>
      <c r="G263" s="366">
        <v>320</v>
      </c>
      <c r="H263" s="363">
        <v>14507</v>
      </c>
      <c r="I263" s="363">
        <v>14187</v>
      </c>
      <c r="J263" s="366">
        <v>3</v>
      </c>
      <c r="K263" s="364">
        <v>82.06</v>
      </c>
      <c r="L263" s="364">
        <v>82.07</v>
      </c>
      <c r="M263" s="364">
        <v>12.34</v>
      </c>
      <c r="N263" s="364">
        <v>85.59</v>
      </c>
      <c r="O263" s="365">
        <v>10897</v>
      </c>
      <c r="P263" s="364">
        <v>87.54</v>
      </c>
      <c r="Q263" s="364">
        <v>78.349999999999994</v>
      </c>
      <c r="R263" s="364">
        <v>54.82</v>
      </c>
      <c r="S263" s="364">
        <v>141.84</v>
      </c>
      <c r="T263" s="365">
        <v>1046</v>
      </c>
      <c r="U263" s="364">
        <v>100.63</v>
      </c>
      <c r="V263" s="365">
        <v>1922</v>
      </c>
      <c r="W263" s="364">
        <v>161.63999999999999</v>
      </c>
      <c r="X263" s="365">
        <v>63</v>
      </c>
      <c r="Y263" s="366">
        <v>0</v>
      </c>
      <c r="Z263" s="366">
        <v>32</v>
      </c>
      <c r="AA263" s="366">
        <v>1</v>
      </c>
      <c r="AB263" s="366">
        <v>30</v>
      </c>
      <c r="AC263" s="366">
        <v>7</v>
      </c>
      <c r="AD263" s="366">
        <v>12877</v>
      </c>
      <c r="AE263" s="366">
        <v>66</v>
      </c>
      <c r="AF263" s="366">
        <v>331</v>
      </c>
      <c r="AG263" s="366">
        <v>397</v>
      </c>
    </row>
    <row r="264" spans="1:33" x14ac:dyDescent="0.2">
      <c r="A264" s="359" t="s">
        <v>582</v>
      </c>
      <c r="B264" s="359" t="s">
        <v>583</v>
      </c>
      <c r="C264" s="366">
        <v>6097</v>
      </c>
      <c r="D264" s="366">
        <v>0</v>
      </c>
      <c r="E264" s="366">
        <v>807</v>
      </c>
      <c r="F264" s="366">
        <v>1523</v>
      </c>
      <c r="G264" s="366">
        <v>257</v>
      </c>
      <c r="H264" s="363">
        <v>8684</v>
      </c>
      <c r="I264" s="363">
        <v>8427</v>
      </c>
      <c r="J264" s="366">
        <v>23</v>
      </c>
      <c r="K264" s="364">
        <v>77.040000000000006</v>
      </c>
      <c r="L264" s="364">
        <v>75.73</v>
      </c>
      <c r="M264" s="364">
        <v>4.8499999999999996</v>
      </c>
      <c r="N264" s="364">
        <v>80.42</v>
      </c>
      <c r="O264" s="365">
        <v>4853</v>
      </c>
      <c r="P264" s="364">
        <v>96.19</v>
      </c>
      <c r="Q264" s="364">
        <v>84.83</v>
      </c>
      <c r="R264" s="364">
        <v>65.89</v>
      </c>
      <c r="S264" s="364">
        <v>161.55000000000001</v>
      </c>
      <c r="T264" s="365">
        <v>1757</v>
      </c>
      <c r="U264" s="364">
        <v>96.95</v>
      </c>
      <c r="V264" s="365">
        <v>639</v>
      </c>
      <c r="W264" s="364">
        <v>229.17</v>
      </c>
      <c r="X264" s="365">
        <v>141</v>
      </c>
      <c r="Y264" s="366">
        <v>11</v>
      </c>
      <c r="Z264" s="366">
        <v>1</v>
      </c>
      <c r="AA264" s="366">
        <v>5</v>
      </c>
      <c r="AB264" s="366">
        <v>0</v>
      </c>
      <c r="AC264" s="366">
        <v>5</v>
      </c>
      <c r="AD264" s="366">
        <v>5498</v>
      </c>
      <c r="AE264" s="366">
        <v>28</v>
      </c>
      <c r="AF264" s="366">
        <v>26</v>
      </c>
      <c r="AG264" s="366">
        <v>54</v>
      </c>
    </row>
    <row r="265" spans="1:33" x14ac:dyDescent="0.2">
      <c r="A265" s="359" t="s">
        <v>584</v>
      </c>
      <c r="B265" s="359" t="s">
        <v>585</v>
      </c>
      <c r="C265" s="366">
        <v>7241</v>
      </c>
      <c r="D265" s="366">
        <v>2</v>
      </c>
      <c r="E265" s="366">
        <v>89</v>
      </c>
      <c r="F265" s="366">
        <v>783</v>
      </c>
      <c r="G265" s="366">
        <v>983</v>
      </c>
      <c r="H265" s="363">
        <v>9098</v>
      </c>
      <c r="I265" s="363">
        <v>8115</v>
      </c>
      <c r="J265" s="366">
        <v>10</v>
      </c>
      <c r="K265" s="364">
        <v>106.92</v>
      </c>
      <c r="L265" s="364">
        <v>104.19</v>
      </c>
      <c r="M265" s="364">
        <v>6.19</v>
      </c>
      <c r="N265" s="364">
        <v>109.9</v>
      </c>
      <c r="O265" s="365">
        <v>6510</v>
      </c>
      <c r="P265" s="364">
        <v>95.97</v>
      </c>
      <c r="Q265" s="364">
        <v>91.58</v>
      </c>
      <c r="R265" s="364">
        <v>41.14</v>
      </c>
      <c r="S265" s="364">
        <v>135.96</v>
      </c>
      <c r="T265" s="365">
        <v>715</v>
      </c>
      <c r="U265" s="364">
        <v>141.85</v>
      </c>
      <c r="V265" s="365">
        <v>372</v>
      </c>
      <c r="W265" s="364">
        <v>134.55000000000001</v>
      </c>
      <c r="X265" s="365">
        <v>91</v>
      </c>
      <c r="Y265" s="366">
        <v>31</v>
      </c>
      <c r="Z265" s="366">
        <v>10</v>
      </c>
      <c r="AA265" s="366">
        <v>5</v>
      </c>
      <c r="AB265" s="366">
        <v>59</v>
      </c>
      <c r="AC265" s="366">
        <v>17</v>
      </c>
      <c r="AD265" s="366">
        <v>6820</v>
      </c>
      <c r="AE265" s="366">
        <v>106</v>
      </c>
      <c r="AF265" s="366">
        <v>47</v>
      </c>
      <c r="AG265" s="366">
        <v>153</v>
      </c>
    </row>
    <row r="266" spans="1:33" x14ac:dyDescent="0.2">
      <c r="A266" s="359" t="s">
        <v>586</v>
      </c>
      <c r="B266" s="359" t="s">
        <v>587</v>
      </c>
      <c r="C266" s="366">
        <v>1705</v>
      </c>
      <c r="D266" s="366">
        <v>2</v>
      </c>
      <c r="E266" s="366">
        <v>155</v>
      </c>
      <c r="F266" s="366">
        <v>138</v>
      </c>
      <c r="G266" s="366">
        <v>553</v>
      </c>
      <c r="H266" s="363">
        <v>2553</v>
      </c>
      <c r="I266" s="363">
        <v>2000</v>
      </c>
      <c r="J266" s="366">
        <v>0</v>
      </c>
      <c r="K266" s="364">
        <v>99.88</v>
      </c>
      <c r="L266" s="364">
        <v>97.18</v>
      </c>
      <c r="M266" s="364">
        <v>5.45</v>
      </c>
      <c r="N266" s="364">
        <v>104.14</v>
      </c>
      <c r="O266" s="365">
        <v>1088</v>
      </c>
      <c r="P266" s="364">
        <v>87.61</v>
      </c>
      <c r="Q266" s="364">
        <v>81.94</v>
      </c>
      <c r="R266" s="364">
        <v>49.03</v>
      </c>
      <c r="S266" s="364">
        <v>133.96</v>
      </c>
      <c r="T266" s="365">
        <v>220</v>
      </c>
      <c r="U266" s="364">
        <v>126.68</v>
      </c>
      <c r="V266" s="365">
        <v>535</v>
      </c>
      <c r="W266" s="364">
        <v>0</v>
      </c>
      <c r="X266" s="365">
        <v>0</v>
      </c>
      <c r="Y266" s="366">
        <v>2</v>
      </c>
      <c r="Z266" s="366">
        <v>0</v>
      </c>
      <c r="AA266" s="366">
        <v>0</v>
      </c>
      <c r="AB266" s="366">
        <v>34</v>
      </c>
      <c r="AC266" s="366">
        <v>4</v>
      </c>
      <c r="AD266" s="366">
        <v>1625</v>
      </c>
      <c r="AE266" s="366">
        <v>19</v>
      </c>
      <c r="AF266" s="366">
        <v>11</v>
      </c>
      <c r="AG266" s="366">
        <v>30</v>
      </c>
    </row>
    <row r="267" spans="1:33" x14ac:dyDescent="0.2">
      <c r="A267" s="359" t="s">
        <v>588</v>
      </c>
      <c r="B267" s="359" t="s">
        <v>589</v>
      </c>
      <c r="C267" s="366">
        <v>31714</v>
      </c>
      <c r="D267" s="366">
        <v>2</v>
      </c>
      <c r="E267" s="366">
        <v>747</v>
      </c>
      <c r="F267" s="366">
        <v>2043</v>
      </c>
      <c r="G267" s="366">
        <v>298</v>
      </c>
      <c r="H267" s="363">
        <v>34804</v>
      </c>
      <c r="I267" s="363">
        <v>34506</v>
      </c>
      <c r="J267" s="366">
        <v>7</v>
      </c>
      <c r="K267" s="364">
        <v>80.12</v>
      </c>
      <c r="L267" s="364">
        <v>79.790000000000006</v>
      </c>
      <c r="M267" s="364">
        <v>6.46</v>
      </c>
      <c r="N267" s="364">
        <v>81.349999999999994</v>
      </c>
      <c r="O267" s="365">
        <v>29099</v>
      </c>
      <c r="P267" s="364">
        <v>86.62</v>
      </c>
      <c r="Q267" s="364">
        <v>74.2</v>
      </c>
      <c r="R267" s="364">
        <v>45.18</v>
      </c>
      <c r="S267" s="364">
        <v>130.38999999999999</v>
      </c>
      <c r="T267" s="365">
        <v>2077</v>
      </c>
      <c r="U267" s="364">
        <v>99.71</v>
      </c>
      <c r="V267" s="365">
        <v>2205</v>
      </c>
      <c r="W267" s="364">
        <v>188.11</v>
      </c>
      <c r="X267" s="365">
        <v>601</v>
      </c>
      <c r="Y267" s="366">
        <v>0</v>
      </c>
      <c r="Z267" s="366">
        <v>68</v>
      </c>
      <c r="AA267" s="366">
        <v>0</v>
      </c>
      <c r="AB267" s="366">
        <v>1</v>
      </c>
      <c r="AC267" s="366">
        <v>3</v>
      </c>
      <c r="AD267" s="366">
        <v>31419</v>
      </c>
      <c r="AE267" s="366">
        <v>281</v>
      </c>
      <c r="AF267" s="366">
        <v>187</v>
      </c>
      <c r="AG267" s="366">
        <v>468</v>
      </c>
    </row>
    <row r="268" spans="1:33" x14ac:dyDescent="0.2">
      <c r="A268" s="359" t="s">
        <v>590</v>
      </c>
      <c r="B268" s="359" t="s">
        <v>591</v>
      </c>
      <c r="C268" s="366">
        <v>3167</v>
      </c>
      <c r="D268" s="366">
        <v>44</v>
      </c>
      <c r="E268" s="366">
        <v>103</v>
      </c>
      <c r="F268" s="366">
        <v>303</v>
      </c>
      <c r="G268" s="366">
        <v>347</v>
      </c>
      <c r="H268" s="363">
        <v>3964</v>
      </c>
      <c r="I268" s="363">
        <v>3617</v>
      </c>
      <c r="J268" s="366">
        <v>22</v>
      </c>
      <c r="K268" s="364">
        <v>112.45</v>
      </c>
      <c r="L268" s="364">
        <v>109.66</v>
      </c>
      <c r="M268" s="364">
        <v>7.07</v>
      </c>
      <c r="N268" s="364">
        <v>116.78</v>
      </c>
      <c r="O268" s="365">
        <v>2937</v>
      </c>
      <c r="P268" s="364">
        <v>108.55</v>
      </c>
      <c r="Q268" s="364">
        <v>90.19</v>
      </c>
      <c r="R268" s="364">
        <v>36.090000000000003</v>
      </c>
      <c r="S268" s="364">
        <v>144.12</v>
      </c>
      <c r="T268" s="365">
        <v>352</v>
      </c>
      <c r="U268" s="364">
        <v>215.29</v>
      </c>
      <c r="V268" s="365">
        <v>182</v>
      </c>
      <c r="W268" s="364">
        <v>0</v>
      </c>
      <c r="X268" s="365">
        <v>0</v>
      </c>
      <c r="Y268" s="366">
        <v>12</v>
      </c>
      <c r="Z268" s="366">
        <v>0</v>
      </c>
      <c r="AA268" s="366">
        <v>0</v>
      </c>
      <c r="AB268" s="366">
        <v>16</v>
      </c>
      <c r="AC268" s="366">
        <v>5</v>
      </c>
      <c r="AD268" s="366">
        <v>3167</v>
      </c>
      <c r="AE268" s="366">
        <v>41</v>
      </c>
      <c r="AF268" s="366">
        <v>5</v>
      </c>
      <c r="AG268" s="366">
        <v>46</v>
      </c>
    </row>
    <row r="269" spans="1:33" x14ac:dyDescent="0.2">
      <c r="A269" s="359" t="s">
        <v>592</v>
      </c>
      <c r="B269" s="359" t="s">
        <v>593</v>
      </c>
      <c r="C269" s="366">
        <v>4618</v>
      </c>
      <c r="D269" s="366">
        <v>8</v>
      </c>
      <c r="E269" s="366">
        <v>420</v>
      </c>
      <c r="F269" s="366">
        <v>933</v>
      </c>
      <c r="G269" s="366">
        <v>1003</v>
      </c>
      <c r="H269" s="363">
        <v>6982</v>
      </c>
      <c r="I269" s="363">
        <v>5979</v>
      </c>
      <c r="J269" s="366">
        <v>27</v>
      </c>
      <c r="K269" s="364">
        <v>118.9</v>
      </c>
      <c r="L269" s="364">
        <v>117.03</v>
      </c>
      <c r="M269" s="364">
        <v>8.8000000000000007</v>
      </c>
      <c r="N269" s="364">
        <v>127.21</v>
      </c>
      <c r="O269" s="365">
        <v>4019</v>
      </c>
      <c r="P269" s="364">
        <v>116.17</v>
      </c>
      <c r="Q269" s="364">
        <v>104.74</v>
      </c>
      <c r="R269" s="364">
        <v>47.66</v>
      </c>
      <c r="S269" s="364">
        <v>163.43</v>
      </c>
      <c r="T269" s="365">
        <v>728</v>
      </c>
      <c r="U269" s="364">
        <v>181.1</v>
      </c>
      <c r="V269" s="365">
        <v>370</v>
      </c>
      <c r="W269" s="364">
        <v>223.82</v>
      </c>
      <c r="X269" s="365">
        <v>99</v>
      </c>
      <c r="Y269" s="366">
        <v>21</v>
      </c>
      <c r="Z269" s="366">
        <v>1</v>
      </c>
      <c r="AA269" s="366">
        <v>17</v>
      </c>
      <c r="AB269" s="366">
        <v>77</v>
      </c>
      <c r="AC269" s="366">
        <v>31</v>
      </c>
      <c r="AD269" s="366">
        <v>4456</v>
      </c>
      <c r="AE269" s="366">
        <v>24</v>
      </c>
      <c r="AF269" s="366">
        <v>21</v>
      </c>
      <c r="AG269" s="366">
        <v>45</v>
      </c>
    </row>
    <row r="270" spans="1:33" x14ac:dyDescent="0.2">
      <c r="A270" s="359" t="s">
        <v>594</v>
      </c>
      <c r="B270" s="359" t="s">
        <v>595</v>
      </c>
      <c r="C270" s="366">
        <v>7883</v>
      </c>
      <c r="D270" s="366">
        <v>0</v>
      </c>
      <c r="E270" s="366">
        <v>234</v>
      </c>
      <c r="F270" s="366">
        <v>438</v>
      </c>
      <c r="G270" s="366">
        <v>727</v>
      </c>
      <c r="H270" s="363">
        <v>9282</v>
      </c>
      <c r="I270" s="363">
        <v>8555</v>
      </c>
      <c r="J270" s="366">
        <v>6</v>
      </c>
      <c r="K270" s="364">
        <v>98.91</v>
      </c>
      <c r="L270" s="364">
        <v>98.45</v>
      </c>
      <c r="M270" s="364">
        <v>6.67</v>
      </c>
      <c r="N270" s="364">
        <v>101.99</v>
      </c>
      <c r="O270" s="365">
        <v>6537</v>
      </c>
      <c r="P270" s="364">
        <v>93.25</v>
      </c>
      <c r="Q270" s="364">
        <v>82.64</v>
      </c>
      <c r="R270" s="364">
        <v>51.79</v>
      </c>
      <c r="S270" s="364">
        <v>145.04</v>
      </c>
      <c r="T270" s="365">
        <v>603</v>
      </c>
      <c r="U270" s="364">
        <v>136.47</v>
      </c>
      <c r="V270" s="365">
        <v>1230</v>
      </c>
      <c r="W270" s="364">
        <v>0</v>
      </c>
      <c r="X270" s="365">
        <v>0</v>
      </c>
      <c r="Y270" s="366">
        <v>3</v>
      </c>
      <c r="Z270" s="366">
        <v>2</v>
      </c>
      <c r="AA270" s="366">
        <v>28</v>
      </c>
      <c r="AB270" s="366">
        <v>45</v>
      </c>
      <c r="AC270" s="366">
        <v>13</v>
      </c>
      <c r="AD270" s="366">
        <v>7787</v>
      </c>
      <c r="AE270" s="366">
        <v>69</v>
      </c>
      <c r="AF270" s="366">
        <v>62</v>
      </c>
      <c r="AG270" s="366">
        <v>131</v>
      </c>
    </row>
    <row r="271" spans="1:33" x14ac:dyDescent="0.2">
      <c r="A271" s="359" t="s">
        <v>596</v>
      </c>
      <c r="B271" s="359" t="s">
        <v>597</v>
      </c>
      <c r="C271" s="366">
        <v>4123</v>
      </c>
      <c r="D271" s="366">
        <v>0</v>
      </c>
      <c r="E271" s="366">
        <v>535</v>
      </c>
      <c r="F271" s="366">
        <v>923</v>
      </c>
      <c r="G271" s="366">
        <v>1060</v>
      </c>
      <c r="H271" s="363">
        <v>6641</v>
      </c>
      <c r="I271" s="363">
        <v>5581</v>
      </c>
      <c r="J271" s="366">
        <v>4</v>
      </c>
      <c r="K271" s="364">
        <v>98.33</v>
      </c>
      <c r="L271" s="364">
        <v>96.68</v>
      </c>
      <c r="M271" s="364">
        <v>6.67</v>
      </c>
      <c r="N271" s="364">
        <v>103.48</v>
      </c>
      <c r="O271" s="365">
        <v>3043</v>
      </c>
      <c r="P271" s="364">
        <v>84.84</v>
      </c>
      <c r="Q271" s="364">
        <v>82.27</v>
      </c>
      <c r="R271" s="364">
        <v>52.85</v>
      </c>
      <c r="S271" s="364">
        <v>135.51</v>
      </c>
      <c r="T271" s="365">
        <v>1328</v>
      </c>
      <c r="U271" s="364">
        <v>136.08000000000001</v>
      </c>
      <c r="V271" s="365">
        <v>825</v>
      </c>
      <c r="W271" s="364">
        <v>185.43</v>
      </c>
      <c r="X271" s="365">
        <v>81</v>
      </c>
      <c r="Y271" s="366">
        <v>70</v>
      </c>
      <c r="Z271" s="366">
        <v>0</v>
      </c>
      <c r="AA271" s="366">
        <v>2</v>
      </c>
      <c r="AB271" s="366">
        <v>51</v>
      </c>
      <c r="AC271" s="366">
        <v>23</v>
      </c>
      <c r="AD271" s="366">
        <v>3998</v>
      </c>
      <c r="AE271" s="366">
        <v>28</v>
      </c>
      <c r="AF271" s="366">
        <v>18</v>
      </c>
      <c r="AG271" s="366">
        <v>46</v>
      </c>
    </row>
    <row r="272" spans="1:33" x14ac:dyDescent="0.2">
      <c r="A272" s="359" t="s">
        <v>598</v>
      </c>
      <c r="B272" s="359" t="s">
        <v>599</v>
      </c>
      <c r="C272" s="366">
        <v>20173</v>
      </c>
      <c r="D272" s="366">
        <v>0</v>
      </c>
      <c r="E272" s="366">
        <v>655</v>
      </c>
      <c r="F272" s="366">
        <v>1353</v>
      </c>
      <c r="G272" s="366">
        <v>202</v>
      </c>
      <c r="H272" s="363">
        <v>22383</v>
      </c>
      <c r="I272" s="363">
        <v>22181</v>
      </c>
      <c r="J272" s="366">
        <v>6</v>
      </c>
      <c r="K272" s="364">
        <v>82.66</v>
      </c>
      <c r="L272" s="364">
        <v>79.209999999999994</v>
      </c>
      <c r="M272" s="364">
        <v>3.77</v>
      </c>
      <c r="N272" s="364">
        <v>86.09</v>
      </c>
      <c r="O272" s="365">
        <v>16701</v>
      </c>
      <c r="P272" s="364">
        <v>82.8</v>
      </c>
      <c r="Q272" s="364">
        <v>72.56</v>
      </c>
      <c r="R272" s="364">
        <v>40</v>
      </c>
      <c r="S272" s="364">
        <v>120.26</v>
      </c>
      <c r="T272" s="365">
        <v>1845</v>
      </c>
      <c r="U272" s="364">
        <v>105.93</v>
      </c>
      <c r="V272" s="365">
        <v>2449</v>
      </c>
      <c r="W272" s="364">
        <v>130.33000000000001</v>
      </c>
      <c r="X272" s="365">
        <v>44</v>
      </c>
      <c r="Y272" s="366">
        <v>0</v>
      </c>
      <c r="Z272" s="366">
        <v>41</v>
      </c>
      <c r="AA272" s="366">
        <v>9</v>
      </c>
      <c r="AB272" s="366">
        <v>8</v>
      </c>
      <c r="AC272" s="366">
        <v>0</v>
      </c>
      <c r="AD272" s="366">
        <v>19161</v>
      </c>
      <c r="AE272" s="366">
        <v>141</v>
      </c>
      <c r="AF272" s="366">
        <v>30</v>
      </c>
      <c r="AG272" s="366">
        <v>171</v>
      </c>
    </row>
    <row r="273" spans="1:33" x14ac:dyDescent="0.2">
      <c r="A273" s="359" t="s">
        <v>600</v>
      </c>
      <c r="B273" s="359" t="s">
        <v>601</v>
      </c>
      <c r="C273" s="366">
        <v>1628</v>
      </c>
      <c r="D273" s="366">
        <v>0</v>
      </c>
      <c r="E273" s="366">
        <v>120</v>
      </c>
      <c r="F273" s="366">
        <v>109</v>
      </c>
      <c r="G273" s="366">
        <v>210</v>
      </c>
      <c r="H273" s="363">
        <v>2067</v>
      </c>
      <c r="I273" s="363">
        <v>1857</v>
      </c>
      <c r="J273" s="366">
        <v>5</v>
      </c>
      <c r="K273" s="364">
        <v>89.25</v>
      </c>
      <c r="L273" s="364">
        <v>85.62</v>
      </c>
      <c r="M273" s="364">
        <v>5.56</v>
      </c>
      <c r="N273" s="364">
        <v>93.78</v>
      </c>
      <c r="O273" s="365">
        <v>1241</v>
      </c>
      <c r="P273" s="364">
        <v>83.89</v>
      </c>
      <c r="Q273" s="364">
        <v>78.11</v>
      </c>
      <c r="R273" s="364">
        <v>34.85</v>
      </c>
      <c r="S273" s="364">
        <v>118.74</v>
      </c>
      <c r="T273" s="365">
        <v>191</v>
      </c>
      <c r="U273" s="364">
        <v>114.47</v>
      </c>
      <c r="V273" s="365">
        <v>373</v>
      </c>
      <c r="W273" s="364">
        <v>0</v>
      </c>
      <c r="X273" s="365">
        <v>0</v>
      </c>
      <c r="Y273" s="366">
        <v>33</v>
      </c>
      <c r="Z273" s="366">
        <v>0</v>
      </c>
      <c r="AA273" s="366">
        <v>1</v>
      </c>
      <c r="AB273" s="366">
        <v>27</v>
      </c>
      <c r="AC273" s="366">
        <v>6</v>
      </c>
      <c r="AD273" s="366">
        <v>1628</v>
      </c>
      <c r="AE273" s="366">
        <v>13</v>
      </c>
      <c r="AF273" s="366">
        <v>3</v>
      </c>
      <c r="AG273" s="366">
        <v>16</v>
      </c>
    </row>
    <row r="274" spans="1:33" x14ac:dyDescent="0.2">
      <c r="A274" s="359" t="s">
        <v>602</v>
      </c>
      <c r="B274" s="359" t="s">
        <v>603</v>
      </c>
      <c r="C274" s="366">
        <v>1159</v>
      </c>
      <c r="D274" s="366">
        <v>0</v>
      </c>
      <c r="E274" s="366">
        <v>101</v>
      </c>
      <c r="F274" s="366">
        <v>75</v>
      </c>
      <c r="G274" s="366">
        <v>349</v>
      </c>
      <c r="H274" s="363">
        <v>1684</v>
      </c>
      <c r="I274" s="363">
        <v>1335</v>
      </c>
      <c r="J274" s="366">
        <v>3</v>
      </c>
      <c r="K274" s="364">
        <v>124.96</v>
      </c>
      <c r="L274" s="364">
        <v>122.88</v>
      </c>
      <c r="M274" s="364">
        <v>8.7799999999999994</v>
      </c>
      <c r="N274" s="364">
        <v>133.28</v>
      </c>
      <c r="O274" s="365">
        <v>695</v>
      </c>
      <c r="P274" s="364">
        <v>136.54</v>
      </c>
      <c r="Q274" s="364">
        <v>99.38</v>
      </c>
      <c r="R274" s="364">
        <v>56.16</v>
      </c>
      <c r="S274" s="364">
        <v>192.7</v>
      </c>
      <c r="T274" s="365">
        <v>86</v>
      </c>
      <c r="U274" s="364">
        <v>185.56</v>
      </c>
      <c r="V274" s="365">
        <v>366</v>
      </c>
      <c r="W274" s="364">
        <v>144.04</v>
      </c>
      <c r="X274" s="365">
        <v>6</v>
      </c>
      <c r="Y274" s="366">
        <v>0</v>
      </c>
      <c r="Z274" s="366">
        <v>0</v>
      </c>
      <c r="AA274" s="366">
        <v>0</v>
      </c>
      <c r="AB274" s="366">
        <v>55</v>
      </c>
      <c r="AC274" s="366">
        <v>5</v>
      </c>
      <c r="AD274" s="366">
        <v>1124</v>
      </c>
      <c r="AE274" s="366">
        <v>9</v>
      </c>
      <c r="AF274" s="366">
        <v>0</v>
      </c>
      <c r="AG274" s="366">
        <v>9</v>
      </c>
    </row>
    <row r="275" spans="1:33" x14ac:dyDescent="0.2">
      <c r="A275" s="359" t="s">
        <v>604</v>
      </c>
      <c r="B275" s="359" t="s">
        <v>605</v>
      </c>
      <c r="C275" s="366">
        <v>4275</v>
      </c>
      <c r="D275" s="366">
        <v>0</v>
      </c>
      <c r="E275" s="366">
        <v>220</v>
      </c>
      <c r="F275" s="366">
        <v>1364</v>
      </c>
      <c r="G275" s="366">
        <v>674</v>
      </c>
      <c r="H275" s="363">
        <v>6533</v>
      </c>
      <c r="I275" s="363">
        <v>5859</v>
      </c>
      <c r="J275" s="366">
        <v>2</v>
      </c>
      <c r="K275" s="364">
        <v>87.32</v>
      </c>
      <c r="L275" s="364">
        <v>86.51</v>
      </c>
      <c r="M275" s="364">
        <v>3.99</v>
      </c>
      <c r="N275" s="364">
        <v>91.13</v>
      </c>
      <c r="O275" s="365">
        <v>3392</v>
      </c>
      <c r="P275" s="364">
        <v>84.15</v>
      </c>
      <c r="Q275" s="364">
        <v>80.3</v>
      </c>
      <c r="R275" s="364">
        <v>15.44</v>
      </c>
      <c r="S275" s="364">
        <v>99.46</v>
      </c>
      <c r="T275" s="365">
        <v>1269</v>
      </c>
      <c r="U275" s="364">
        <v>129.21</v>
      </c>
      <c r="V275" s="365">
        <v>794</v>
      </c>
      <c r="W275" s="364">
        <v>97.93</v>
      </c>
      <c r="X275" s="365">
        <v>10</v>
      </c>
      <c r="Y275" s="366">
        <v>0</v>
      </c>
      <c r="Z275" s="366">
        <v>11</v>
      </c>
      <c r="AA275" s="366">
        <v>9</v>
      </c>
      <c r="AB275" s="366">
        <v>19</v>
      </c>
      <c r="AC275" s="366">
        <v>7</v>
      </c>
      <c r="AD275" s="366">
        <v>4246</v>
      </c>
      <c r="AE275" s="366">
        <v>1</v>
      </c>
      <c r="AF275" s="366">
        <v>12</v>
      </c>
      <c r="AG275" s="366">
        <v>13</v>
      </c>
    </row>
    <row r="276" spans="1:33" x14ac:dyDescent="0.2">
      <c r="A276" s="359" t="s">
        <v>606</v>
      </c>
      <c r="B276" s="359" t="s">
        <v>607</v>
      </c>
      <c r="C276" s="366">
        <v>11321</v>
      </c>
      <c r="D276" s="366">
        <v>0</v>
      </c>
      <c r="E276" s="366">
        <v>423</v>
      </c>
      <c r="F276" s="366">
        <v>1918</v>
      </c>
      <c r="G276" s="366">
        <v>551</v>
      </c>
      <c r="H276" s="363">
        <v>14213</v>
      </c>
      <c r="I276" s="363">
        <v>13662</v>
      </c>
      <c r="J276" s="366">
        <v>1</v>
      </c>
      <c r="K276" s="364">
        <v>90.6</v>
      </c>
      <c r="L276" s="364">
        <v>87.7</v>
      </c>
      <c r="M276" s="364">
        <v>6.31</v>
      </c>
      <c r="N276" s="364">
        <v>93.17</v>
      </c>
      <c r="O276" s="365">
        <v>9699</v>
      </c>
      <c r="P276" s="364">
        <v>89.1</v>
      </c>
      <c r="Q276" s="364">
        <v>86.11</v>
      </c>
      <c r="R276" s="364">
        <v>45.63</v>
      </c>
      <c r="S276" s="364">
        <v>134.68</v>
      </c>
      <c r="T276" s="365">
        <v>1982</v>
      </c>
      <c r="U276" s="364">
        <v>115.11</v>
      </c>
      <c r="V276" s="365">
        <v>1279</v>
      </c>
      <c r="W276" s="364">
        <v>201.27</v>
      </c>
      <c r="X276" s="365">
        <v>263</v>
      </c>
      <c r="Y276" s="366">
        <v>0</v>
      </c>
      <c r="Z276" s="366">
        <v>36</v>
      </c>
      <c r="AA276" s="366">
        <v>65</v>
      </c>
      <c r="AB276" s="366">
        <v>50</v>
      </c>
      <c r="AC276" s="366">
        <v>9</v>
      </c>
      <c r="AD276" s="366">
        <v>11317</v>
      </c>
      <c r="AE276" s="366">
        <v>71</v>
      </c>
      <c r="AF276" s="366">
        <v>153</v>
      </c>
      <c r="AG276" s="366">
        <v>224</v>
      </c>
    </row>
    <row r="277" spans="1:33" x14ac:dyDescent="0.2">
      <c r="A277" s="359" t="s">
        <v>608</v>
      </c>
      <c r="B277" s="359" t="s">
        <v>609</v>
      </c>
      <c r="C277" s="366">
        <v>2055</v>
      </c>
      <c r="D277" s="366">
        <v>0</v>
      </c>
      <c r="E277" s="366">
        <v>231</v>
      </c>
      <c r="F277" s="366">
        <v>683</v>
      </c>
      <c r="G277" s="366">
        <v>157</v>
      </c>
      <c r="H277" s="363">
        <v>3126</v>
      </c>
      <c r="I277" s="363">
        <v>2969</v>
      </c>
      <c r="J277" s="366">
        <v>0</v>
      </c>
      <c r="K277" s="364">
        <v>100.58</v>
      </c>
      <c r="L277" s="364">
        <v>98.56</v>
      </c>
      <c r="M277" s="364">
        <v>4.49</v>
      </c>
      <c r="N277" s="364">
        <v>104.29</v>
      </c>
      <c r="O277" s="365">
        <v>1707</v>
      </c>
      <c r="P277" s="364">
        <v>94.84</v>
      </c>
      <c r="Q277" s="364">
        <v>89.5</v>
      </c>
      <c r="R277" s="364">
        <v>55.99</v>
      </c>
      <c r="S277" s="364">
        <v>148.57</v>
      </c>
      <c r="T277" s="365">
        <v>891</v>
      </c>
      <c r="U277" s="364">
        <v>125.48</v>
      </c>
      <c r="V277" s="365">
        <v>299</v>
      </c>
      <c r="W277" s="364">
        <v>0</v>
      </c>
      <c r="X277" s="365">
        <v>0</v>
      </c>
      <c r="Y277" s="366">
        <v>6</v>
      </c>
      <c r="Z277" s="366">
        <v>0</v>
      </c>
      <c r="AA277" s="366">
        <v>5</v>
      </c>
      <c r="AB277" s="366">
        <v>25</v>
      </c>
      <c r="AC277" s="366">
        <v>2</v>
      </c>
      <c r="AD277" s="366">
        <v>2055</v>
      </c>
      <c r="AE277" s="366">
        <v>7</v>
      </c>
      <c r="AF277" s="366">
        <v>33</v>
      </c>
      <c r="AG277" s="366">
        <v>40</v>
      </c>
    </row>
    <row r="278" spans="1:33" x14ac:dyDescent="0.2">
      <c r="A278" s="359" t="s">
        <v>610</v>
      </c>
      <c r="B278" s="359" t="s">
        <v>611</v>
      </c>
      <c r="C278" s="366">
        <v>7510</v>
      </c>
      <c r="D278" s="366">
        <v>0</v>
      </c>
      <c r="E278" s="366">
        <v>328</v>
      </c>
      <c r="F278" s="366">
        <v>367</v>
      </c>
      <c r="G278" s="366">
        <v>1013</v>
      </c>
      <c r="H278" s="363">
        <v>9218</v>
      </c>
      <c r="I278" s="363">
        <v>8205</v>
      </c>
      <c r="J278" s="366">
        <v>19</v>
      </c>
      <c r="K278" s="364">
        <v>108.99</v>
      </c>
      <c r="L278" s="364">
        <v>107.4</v>
      </c>
      <c r="M278" s="364">
        <v>4.17</v>
      </c>
      <c r="N278" s="364">
        <v>112.49</v>
      </c>
      <c r="O278" s="365">
        <v>6148</v>
      </c>
      <c r="P278" s="364">
        <v>95.24</v>
      </c>
      <c r="Q278" s="364">
        <v>92.61</v>
      </c>
      <c r="R278" s="364">
        <v>37.020000000000003</v>
      </c>
      <c r="S278" s="364">
        <v>131.34</v>
      </c>
      <c r="T278" s="365">
        <v>563</v>
      </c>
      <c r="U278" s="364">
        <v>150.71</v>
      </c>
      <c r="V278" s="365">
        <v>1011</v>
      </c>
      <c r="W278" s="364">
        <v>112.31</v>
      </c>
      <c r="X278" s="365">
        <v>1</v>
      </c>
      <c r="Y278" s="366">
        <v>52</v>
      </c>
      <c r="Z278" s="366">
        <v>6</v>
      </c>
      <c r="AA278" s="366">
        <v>8</v>
      </c>
      <c r="AB278" s="366">
        <v>104</v>
      </c>
      <c r="AC278" s="366">
        <v>9</v>
      </c>
      <c r="AD278" s="366">
        <v>7235</v>
      </c>
      <c r="AE278" s="366">
        <v>64</v>
      </c>
      <c r="AF278" s="366">
        <v>52</v>
      </c>
      <c r="AG278" s="366">
        <v>116</v>
      </c>
    </row>
    <row r="279" spans="1:33" x14ac:dyDescent="0.2">
      <c r="A279" s="359" t="s">
        <v>612</v>
      </c>
      <c r="B279" s="359" t="s">
        <v>613</v>
      </c>
      <c r="C279" s="366">
        <v>4665</v>
      </c>
      <c r="D279" s="366">
        <v>0</v>
      </c>
      <c r="E279" s="366">
        <v>81</v>
      </c>
      <c r="F279" s="366">
        <v>570</v>
      </c>
      <c r="G279" s="366">
        <v>832</v>
      </c>
      <c r="H279" s="363">
        <v>6148</v>
      </c>
      <c r="I279" s="363">
        <v>5316</v>
      </c>
      <c r="J279" s="366">
        <v>0</v>
      </c>
      <c r="K279" s="364">
        <v>96.48</v>
      </c>
      <c r="L279" s="364">
        <v>92.85</v>
      </c>
      <c r="M279" s="364">
        <v>5.72</v>
      </c>
      <c r="N279" s="364">
        <v>99.51</v>
      </c>
      <c r="O279" s="365">
        <v>3860</v>
      </c>
      <c r="P279" s="364">
        <v>88.89</v>
      </c>
      <c r="Q279" s="364">
        <v>82.26</v>
      </c>
      <c r="R279" s="364">
        <v>43.77</v>
      </c>
      <c r="S279" s="364">
        <v>132.6</v>
      </c>
      <c r="T279" s="365">
        <v>623</v>
      </c>
      <c r="U279" s="364">
        <v>134.93</v>
      </c>
      <c r="V279" s="365">
        <v>795</v>
      </c>
      <c r="W279" s="364">
        <v>114.16</v>
      </c>
      <c r="X279" s="365">
        <v>17</v>
      </c>
      <c r="Y279" s="366">
        <v>0</v>
      </c>
      <c r="Z279" s="366">
        <v>3</v>
      </c>
      <c r="AA279" s="366">
        <v>0</v>
      </c>
      <c r="AB279" s="366">
        <v>32</v>
      </c>
      <c r="AC279" s="366">
        <v>12</v>
      </c>
      <c r="AD279" s="366">
        <v>4659</v>
      </c>
      <c r="AE279" s="366">
        <v>25</v>
      </c>
      <c r="AF279" s="366">
        <v>37</v>
      </c>
      <c r="AG279" s="366">
        <v>62</v>
      </c>
    </row>
    <row r="280" spans="1:33" x14ac:dyDescent="0.2">
      <c r="A280" s="359" t="s">
        <v>614</v>
      </c>
      <c r="B280" s="359" t="s">
        <v>615</v>
      </c>
      <c r="C280" s="366">
        <v>3873</v>
      </c>
      <c r="D280" s="366">
        <v>0</v>
      </c>
      <c r="E280" s="366">
        <v>116</v>
      </c>
      <c r="F280" s="366">
        <v>690</v>
      </c>
      <c r="G280" s="366">
        <v>178</v>
      </c>
      <c r="H280" s="363">
        <v>4857</v>
      </c>
      <c r="I280" s="363">
        <v>4679</v>
      </c>
      <c r="J280" s="366">
        <v>22</v>
      </c>
      <c r="K280" s="364">
        <v>92.79</v>
      </c>
      <c r="L280" s="364">
        <v>89.86</v>
      </c>
      <c r="M280" s="364">
        <v>8.2200000000000006</v>
      </c>
      <c r="N280" s="364">
        <v>98.59</v>
      </c>
      <c r="O280" s="365">
        <v>3538</v>
      </c>
      <c r="P280" s="364">
        <v>97.43</v>
      </c>
      <c r="Q280" s="364">
        <v>79.599999999999994</v>
      </c>
      <c r="R280" s="364">
        <v>60.21</v>
      </c>
      <c r="S280" s="364">
        <v>157.56</v>
      </c>
      <c r="T280" s="365">
        <v>782</v>
      </c>
      <c r="U280" s="364">
        <v>119.57</v>
      </c>
      <c r="V280" s="365">
        <v>314</v>
      </c>
      <c r="W280" s="364">
        <v>0</v>
      </c>
      <c r="X280" s="365">
        <v>0</v>
      </c>
      <c r="Y280" s="366">
        <v>0</v>
      </c>
      <c r="Z280" s="366">
        <v>2</v>
      </c>
      <c r="AA280" s="366">
        <v>40</v>
      </c>
      <c r="AB280" s="366">
        <v>31</v>
      </c>
      <c r="AC280" s="366">
        <v>1</v>
      </c>
      <c r="AD280" s="366">
        <v>3872</v>
      </c>
      <c r="AE280" s="366">
        <v>30</v>
      </c>
      <c r="AF280" s="366">
        <v>39</v>
      </c>
      <c r="AG280" s="366">
        <v>69</v>
      </c>
    </row>
    <row r="281" spans="1:33" x14ac:dyDescent="0.2">
      <c r="A281" s="359" t="s">
        <v>616</v>
      </c>
      <c r="B281" s="359" t="s">
        <v>617</v>
      </c>
      <c r="C281" s="366">
        <v>4630</v>
      </c>
      <c r="D281" s="366">
        <v>22</v>
      </c>
      <c r="E281" s="366">
        <v>59</v>
      </c>
      <c r="F281" s="366">
        <v>886</v>
      </c>
      <c r="G281" s="366">
        <v>241</v>
      </c>
      <c r="H281" s="363">
        <v>5838</v>
      </c>
      <c r="I281" s="363">
        <v>5597</v>
      </c>
      <c r="J281" s="366">
        <v>11</v>
      </c>
      <c r="K281" s="364">
        <v>114.5</v>
      </c>
      <c r="L281" s="364">
        <v>113.76</v>
      </c>
      <c r="M281" s="364">
        <v>6.89</v>
      </c>
      <c r="N281" s="364">
        <v>117.53</v>
      </c>
      <c r="O281" s="365">
        <v>4319</v>
      </c>
      <c r="P281" s="364">
        <v>101.26</v>
      </c>
      <c r="Q281" s="364">
        <v>98.12</v>
      </c>
      <c r="R281" s="364">
        <v>23.19</v>
      </c>
      <c r="S281" s="364">
        <v>122.59</v>
      </c>
      <c r="T281" s="365">
        <v>899</v>
      </c>
      <c r="U281" s="364">
        <v>169.82</v>
      </c>
      <c r="V281" s="365">
        <v>225</v>
      </c>
      <c r="W281" s="364">
        <v>170.71</v>
      </c>
      <c r="X281" s="365">
        <v>7</v>
      </c>
      <c r="Y281" s="366">
        <v>0</v>
      </c>
      <c r="Z281" s="366">
        <v>6</v>
      </c>
      <c r="AA281" s="366">
        <v>0</v>
      </c>
      <c r="AB281" s="366">
        <v>42</v>
      </c>
      <c r="AC281" s="366">
        <v>9</v>
      </c>
      <c r="AD281" s="366">
        <v>4630</v>
      </c>
      <c r="AE281" s="366">
        <v>38</v>
      </c>
      <c r="AF281" s="366">
        <v>19</v>
      </c>
      <c r="AG281" s="366">
        <v>57</v>
      </c>
    </row>
    <row r="282" spans="1:33" x14ac:dyDescent="0.2">
      <c r="A282" s="359" t="s">
        <v>618</v>
      </c>
      <c r="B282" s="359" t="s">
        <v>619</v>
      </c>
      <c r="C282" s="366">
        <v>1895</v>
      </c>
      <c r="D282" s="366">
        <v>0</v>
      </c>
      <c r="E282" s="366">
        <v>134</v>
      </c>
      <c r="F282" s="366">
        <v>93</v>
      </c>
      <c r="G282" s="366">
        <v>392</v>
      </c>
      <c r="H282" s="363">
        <v>2514</v>
      </c>
      <c r="I282" s="363">
        <v>2122</v>
      </c>
      <c r="J282" s="366">
        <v>42</v>
      </c>
      <c r="K282" s="364">
        <v>103.89</v>
      </c>
      <c r="L282" s="364">
        <v>105.49</v>
      </c>
      <c r="M282" s="364">
        <v>8.43</v>
      </c>
      <c r="N282" s="364">
        <v>109.8</v>
      </c>
      <c r="O282" s="365">
        <v>1188</v>
      </c>
      <c r="P282" s="364">
        <v>124.4</v>
      </c>
      <c r="Q282" s="364">
        <v>106.8</v>
      </c>
      <c r="R282" s="364">
        <v>95.5</v>
      </c>
      <c r="S282" s="364">
        <v>219.4</v>
      </c>
      <c r="T282" s="365">
        <v>191</v>
      </c>
      <c r="U282" s="364">
        <v>161.41999999999999</v>
      </c>
      <c r="V282" s="365">
        <v>554</v>
      </c>
      <c r="W282" s="364">
        <v>163.18</v>
      </c>
      <c r="X282" s="365">
        <v>4</v>
      </c>
      <c r="Y282" s="366">
        <v>0</v>
      </c>
      <c r="Z282" s="366">
        <v>0</v>
      </c>
      <c r="AA282" s="366">
        <v>0</v>
      </c>
      <c r="AB282" s="366">
        <v>8</v>
      </c>
      <c r="AC282" s="366">
        <v>6</v>
      </c>
      <c r="AD282" s="366">
        <v>1876</v>
      </c>
      <c r="AE282" s="366">
        <v>7</v>
      </c>
      <c r="AF282" s="366">
        <v>4</v>
      </c>
      <c r="AG282" s="366">
        <v>11</v>
      </c>
    </row>
    <row r="283" spans="1:33" x14ac:dyDescent="0.2">
      <c r="A283" s="359" t="s">
        <v>620</v>
      </c>
      <c r="B283" s="359" t="s">
        <v>621</v>
      </c>
      <c r="C283" s="366">
        <v>7712</v>
      </c>
      <c r="D283" s="366">
        <v>1</v>
      </c>
      <c r="E283" s="366">
        <v>142</v>
      </c>
      <c r="F283" s="366">
        <v>626</v>
      </c>
      <c r="G283" s="366">
        <v>1092</v>
      </c>
      <c r="H283" s="363">
        <v>9573</v>
      </c>
      <c r="I283" s="363">
        <v>8481</v>
      </c>
      <c r="J283" s="366">
        <v>2</v>
      </c>
      <c r="K283" s="364">
        <v>115.1</v>
      </c>
      <c r="L283" s="364">
        <v>114.95</v>
      </c>
      <c r="M283" s="364">
        <v>6.86</v>
      </c>
      <c r="N283" s="364">
        <v>116.26</v>
      </c>
      <c r="O283" s="365">
        <v>6472</v>
      </c>
      <c r="P283" s="364">
        <v>97.58</v>
      </c>
      <c r="Q283" s="364">
        <v>93.64</v>
      </c>
      <c r="R283" s="364">
        <v>43.5</v>
      </c>
      <c r="S283" s="364">
        <v>137.94999999999999</v>
      </c>
      <c r="T283" s="365">
        <v>555</v>
      </c>
      <c r="U283" s="364">
        <v>148.43</v>
      </c>
      <c r="V283" s="365">
        <v>1162</v>
      </c>
      <c r="W283" s="364">
        <v>233.48</v>
      </c>
      <c r="X283" s="365">
        <v>131</v>
      </c>
      <c r="Y283" s="366">
        <v>0</v>
      </c>
      <c r="Z283" s="366">
        <v>1</v>
      </c>
      <c r="AA283" s="366">
        <v>0</v>
      </c>
      <c r="AB283" s="366">
        <v>43</v>
      </c>
      <c r="AC283" s="366">
        <v>15</v>
      </c>
      <c r="AD283" s="366">
        <v>7691</v>
      </c>
      <c r="AE283" s="366">
        <v>71</v>
      </c>
      <c r="AF283" s="366">
        <v>35</v>
      </c>
      <c r="AG283" s="366">
        <v>106</v>
      </c>
    </row>
    <row r="284" spans="1:33" x14ac:dyDescent="0.2">
      <c r="A284" s="359" t="s">
        <v>622</v>
      </c>
      <c r="B284" s="359" t="s">
        <v>623</v>
      </c>
      <c r="C284" s="366">
        <v>4197</v>
      </c>
      <c r="D284" s="366">
        <v>33</v>
      </c>
      <c r="E284" s="366">
        <v>299</v>
      </c>
      <c r="F284" s="366">
        <v>879</v>
      </c>
      <c r="G284" s="366">
        <v>555</v>
      </c>
      <c r="H284" s="363">
        <v>5963</v>
      </c>
      <c r="I284" s="363">
        <v>5408</v>
      </c>
      <c r="J284" s="366">
        <v>0</v>
      </c>
      <c r="K284" s="364">
        <v>88.77</v>
      </c>
      <c r="L284" s="364">
        <v>87.36</v>
      </c>
      <c r="M284" s="364">
        <v>6.1</v>
      </c>
      <c r="N284" s="364">
        <v>93.98</v>
      </c>
      <c r="O284" s="365">
        <v>3688</v>
      </c>
      <c r="P284" s="364">
        <v>89.11</v>
      </c>
      <c r="Q284" s="364">
        <v>80.94</v>
      </c>
      <c r="R284" s="364">
        <v>40.24</v>
      </c>
      <c r="S284" s="364">
        <v>128.24</v>
      </c>
      <c r="T284" s="365">
        <v>908</v>
      </c>
      <c r="U284" s="364">
        <v>120.4</v>
      </c>
      <c r="V284" s="365">
        <v>468</v>
      </c>
      <c r="W284" s="364">
        <v>104.05</v>
      </c>
      <c r="X284" s="365">
        <v>14</v>
      </c>
      <c r="Y284" s="366">
        <v>0</v>
      </c>
      <c r="Z284" s="366">
        <v>6</v>
      </c>
      <c r="AA284" s="366">
        <v>4</v>
      </c>
      <c r="AB284" s="366">
        <v>13</v>
      </c>
      <c r="AC284" s="366">
        <v>13</v>
      </c>
      <c r="AD284" s="366">
        <v>4172</v>
      </c>
      <c r="AE284" s="366">
        <v>12</v>
      </c>
      <c r="AF284" s="366">
        <v>19</v>
      </c>
      <c r="AG284" s="366">
        <v>31</v>
      </c>
    </row>
    <row r="285" spans="1:33" x14ac:dyDescent="0.2">
      <c r="A285" s="359" t="s">
        <v>624</v>
      </c>
      <c r="B285" s="359" t="s">
        <v>625</v>
      </c>
      <c r="C285" s="366">
        <v>2399</v>
      </c>
      <c r="D285" s="366">
        <v>0</v>
      </c>
      <c r="E285" s="366">
        <v>36</v>
      </c>
      <c r="F285" s="366">
        <v>386</v>
      </c>
      <c r="G285" s="366">
        <v>205</v>
      </c>
      <c r="H285" s="363">
        <v>3026</v>
      </c>
      <c r="I285" s="363">
        <v>2821</v>
      </c>
      <c r="J285" s="366">
        <v>10</v>
      </c>
      <c r="K285" s="364">
        <v>84.18</v>
      </c>
      <c r="L285" s="364">
        <v>81.510000000000005</v>
      </c>
      <c r="M285" s="364">
        <v>3.26</v>
      </c>
      <c r="N285" s="364">
        <v>86.13</v>
      </c>
      <c r="O285" s="365">
        <v>2279</v>
      </c>
      <c r="P285" s="364">
        <v>72.599999999999994</v>
      </c>
      <c r="Q285" s="364">
        <v>68.17</v>
      </c>
      <c r="R285" s="364">
        <v>32.409999999999997</v>
      </c>
      <c r="S285" s="364">
        <v>100.3</v>
      </c>
      <c r="T285" s="365">
        <v>344</v>
      </c>
      <c r="U285" s="364">
        <v>108.32</v>
      </c>
      <c r="V285" s="365">
        <v>120</v>
      </c>
      <c r="W285" s="364">
        <v>194.95</v>
      </c>
      <c r="X285" s="365">
        <v>41</v>
      </c>
      <c r="Y285" s="366">
        <v>0</v>
      </c>
      <c r="Z285" s="366">
        <v>3</v>
      </c>
      <c r="AA285" s="366">
        <v>0</v>
      </c>
      <c r="AB285" s="366">
        <v>0</v>
      </c>
      <c r="AC285" s="366">
        <v>2</v>
      </c>
      <c r="AD285" s="366">
        <v>2387</v>
      </c>
      <c r="AE285" s="366">
        <v>17</v>
      </c>
      <c r="AF285" s="366">
        <v>5</v>
      </c>
      <c r="AG285" s="366">
        <v>22</v>
      </c>
    </row>
    <row r="286" spans="1:33" x14ac:dyDescent="0.2">
      <c r="A286" s="359" t="s">
        <v>626</v>
      </c>
      <c r="B286" s="359" t="s">
        <v>627</v>
      </c>
      <c r="C286" s="366">
        <v>30185</v>
      </c>
      <c r="D286" s="366">
        <v>95</v>
      </c>
      <c r="E286" s="366">
        <v>1429</v>
      </c>
      <c r="F286" s="366">
        <v>847</v>
      </c>
      <c r="G286" s="366">
        <v>3107</v>
      </c>
      <c r="H286" s="363">
        <v>35663</v>
      </c>
      <c r="I286" s="363">
        <v>32556</v>
      </c>
      <c r="J286" s="366">
        <v>283</v>
      </c>
      <c r="K286" s="364">
        <v>126.71</v>
      </c>
      <c r="L286" s="364">
        <v>130.63999999999999</v>
      </c>
      <c r="M286" s="364">
        <v>17.350000000000001</v>
      </c>
      <c r="N286" s="364">
        <v>142.69</v>
      </c>
      <c r="O286" s="365">
        <v>25480</v>
      </c>
      <c r="P286" s="364">
        <v>114.28</v>
      </c>
      <c r="Q286" s="364">
        <v>111.01</v>
      </c>
      <c r="R286" s="364">
        <v>71.67</v>
      </c>
      <c r="S286" s="364">
        <v>185.43</v>
      </c>
      <c r="T286" s="365">
        <v>1789</v>
      </c>
      <c r="U286" s="364">
        <v>216.39</v>
      </c>
      <c r="V286" s="365">
        <v>2991</v>
      </c>
      <c r="W286" s="364">
        <v>229.79</v>
      </c>
      <c r="X286" s="365">
        <v>207</v>
      </c>
      <c r="Y286" s="366">
        <v>0</v>
      </c>
      <c r="Z286" s="366">
        <v>13</v>
      </c>
      <c r="AA286" s="366">
        <v>60</v>
      </c>
      <c r="AB286" s="366">
        <v>107</v>
      </c>
      <c r="AC286" s="366">
        <v>96</v>
      </c>
      <c r="AD286" s="366">
        <v>28963</v>
      </c>
      <c r="AE286" s="366">
        <v>226</v>
      </c>
      <c r="AF286" s="366">
        <v>246</v>
      </c>
      <c r="AG286" s="366">
        <v>472</v>
      </c>
    </row>
    <row r="287" spans="1:33" x14ac:dyDescent="0.2">
      <c r="A287" s="359" t="s">
        <v>628</v>
      </c>
      <c r="B287" s="359" t="s">
        <v>629</v>
      </c>
      <c r="C287" s="366">
        <v>11801</v>
      </c>
      <c r="D287" s="366">
        <v>0</v>
      </c>
      <c r="E287" s="366">
        <v>512</v>
      </c>
      <c r="F287" s="366">
        <v>3251</v>
      </c>
      <c r="G287" s="366">
        <v>408</v>
      </c>
      <c r="H287" s="363">
        <v>15972</v>
      </c>
      <c r="I287" s="363">
        <v>15564</v>
      </c>
      <c r="J287" s="366">
        <v>5</v>
      </c>
      <c r="K287" s="364">
        <v>88.78</v>
      </c>
      <c r="L287" s="364">
        <v>88.58</v>
      </c>
      <c r="M287" s="364">
        <v>5.0199999999999996</v>
      </c>
      <c r="N287" s="364">
        <v>92.54</v>
      </c>
      <c r="O287" s="365">
        <v>9803</v>
      </c>
      <c r="P287" s="364">
        <v>90.8</v>
      </c>
      <c r="Q287" s="364">
        <v>86.54</v>
      </c>
      <c r="R287" s="364">
        <v>26.41</v>
      </c>
      <c r="S287" s="364">
        <v>117.17</v>
      </c>
      <c r="T287" s="365">
        <v>3545</v>
      </c>
      <c r="U287" s="364">
        <v>122.21</v>
      </c>
      <c r="V287" s="365">
        <v>1903</v>
      </c>
      <c r="W287" s="364">
        <v>172.47</v>
      </c>
      <c r="X287" s="365">
        <v>147</v>
      </c>
      <c r="Y287" s="366">
        <v>0</v>
      </c>
      <c r="Z287" s="366">
        <v>31</v>
      </c>
      <c r="AA287" s="366">
        <v>3</v>
      </c>
      <c r="AB287" s="366">
        <v>3</v>
      </c>
      <c r="AC287" s="366">
        <v>16</v>
      </c>
      <c r="AD287" s="366">
        <v>11749</v>
      </c>
      <c r="AE287" s="366">
        <v>46</v>
      </c>
      <c r="AF287" s="366">
        <v>109</v>
      </c>
      <c r="AG287" s="366">
        <v>155</v>
      </c>
    </row>
    <row r="288" spans="1:33" x14ac:dyDescent="0.2">
      <c r="A288" s="359" t="s">
        <v>630</v>
      </c>
      <c r="B288" s="359" t="s">
        <v>631</v>
      </c>
      <c r="C288" s="366">
        <v>6402</v>
      </c>
      <c r="D288" s="366">
        <v>0</v>
      </c>
      <c r="E288" s="366">
        <v>166</v>
      </c>
      <c r="F288" s="366">
        <v>803</v>
      </c>
      <c r="G288" s="366">
        <v>543</v>
      </c>
      <c r="H288" s="363">
        <v>7914</v>
      </c>
      <c r="I288" s="363">
        <v>7371</v>
      </c>
      <c r="J288" s="366">
        <v>1</v>
      </c>
      <c r="K288" s="364">
        <v>111.74</v>
      </c>
      <c r="L288" s="364">
        <v>106.92</v>
      </c>
      <c r="M288" s="364">
        <v>4.91</v>
      </c>
      <c r="N288" s="364">
        <v>115.85</v>
      </c>
      <c r="O288" s="365">
        <v>5470</v>
      </c>
      <c r="P288" s="364">
        <v>103.08</v>
      </c>
      <c r="Q288" s="364">
        <v>86.53</v>
      </c>
      <c r="R288" s="364">
        <v>36.96</v>
      </c>
      <c r="S288" s="364">
        <v>138.47999999999999</v>
      </c>
      <c r="T288" s="365">
        <v>687</v>
      </c>
      <c r="U288" s="364">
        <v>160.05000000000001</v>
      </c>
      <c r="V288" s="365">
        <v>709</v>
      </c>
      <c r="W288" s="364">
        <v>133.37</v>
      </c>
      <c r="X288" s="365">
        <v>128</v>
      </c>
      <c r="Y288" s="366">
        <v>16</v>
      </c>
      <c r="Z288" s="366">
        <v>0</v>
      </c>
      <c r="AA288" s="366">
        <v>19</v>
      </c>
      <c r="AB288" s="366">
        <v>28</v>
      </c>
      <c r="AC288" s="366">
        <v>15</v>
      </c>
      <c r="AD288" s="366">
        <v>6237</v>
      </c>
      <c r="AE288" s="366">
        <v>52</v>
      </c>
      <c r="AF288" s="366">
        <v>73</v>
      </c>
      <c r="AG288" s="366">
        <v>125</v>
      </c>
    </row>
    <row r="289" spans="1:33" x14ac:dyDescent="0.2">
      <c r="A289" s="359" t="s">
        <v>632</v>
      </c>
      <c r="B289" s="359" t="s">
        <v>633</v>
      </c>
      <c r="C289" s="366">
        <v>1893</v>
      </c>
      <c r="D289" s="366">
        <v>0</v>
      </c>
      <c r="E289" s="366">
        <v>75</v>
      </c>
      <c r="F289" s="366">
        <v>260</v>
      </c>
      <c r="G289" s="366">
        <v>579</v>
      </c>
      <c r="H289" s="363">
        <v>2807</v>
      </c>
      <c r="I289" s="363">
        <v>2228</v>
      </c>
      <c r="J289" s="366">
        <v>0</v>
      </c>
      <c r="K289" s="364">
        <v>109.57</v>
      </c>
      <c r="L289" s="364">
        <v>108.54</v>
      </c>
      <c r="M289" s="364">
        <v>6.41</v>
      </c>
      <c r="N289" s="364">
        <v>114.04</v>
      </c>
      <c r="O289" s="365">
        <v>996</v>
      </c>
      <c r="P289" s="364">
        <v>101.95</v>
      </c>
      <c r="Q289" s="364">
        <v>97.25</v>
      </c>
      <c r="R289" s="364">
        <v>60.26</v>
      </c>
      <c r="S289" s="364">
        <v>160.79</v>
      </c>
      <c r="T289" s="365">
        <v>255</v>
      </c>
      <c r="U289" s="364">
        <v>161.36000000000001</v>
      </c>
      <c r="V289" s="365">
        <v>877</v>
      </c>
      <c r="W289" s="364">
        <v>40.229999999999997</v>
      </c>
      <c r="X289" s="365">
        <v>79</v>
      </c>
      <c r="Y289" s="366">
        <v>19</v>
      </c>
      <c r="Z289" s="366">
        <v>0</v>
      </c>
      <c r="AA289" s="366">
        <v>2</v>
      </c>
      <c r="AB289" s="366">
        <v>24</v>
      </c>
      <c r="AC289" s="366">
        <v>6</v>
      </c>
      <c r="AD289" s="366">
        <v>1892</v>
      </c>
      <c r="AE289" s="366">
        <v>10</v>
      </c>
      <c r="AF289" s="366">
        <v>11</v>
      </c>
      <c r="AG289" s="366">
        <v>21</v>
      </c>
    </row>
    <row r="290" spans="1:33" x14ac:dyDescent="0.2">
      <c r="A290" s="359" t="s">
        <v>634</v>
      </c>
      <c r="B290" s="359" t="s">
        <v>635</v>
      </c>
      <c r="C290" s="366">
        <v>7547</v>
      </c>
      <c r="D290" s="366">
        <v>0</v>
      </c>
      <c r="E290" s="366">
        <v>244</v>
      </c>
      <c r="F290" s="366">
        <v>433</v>
      </c>
      <c r="G290" s="366">
        <v>987</v>
      </c>
      <c r="H290" s="363">
        <v>9211</v>
      </c>
      <c r="I290" s="363">
        <v>8224</v>
      </c>
      <c r="J290" s="366">
        <v>2</v>
      </c>
      <c r="K290" s="364">
        <v>108.39</v>
      </c>
      <c r="L290" s="364">
        <v>108.82</v>
      </c>
      <c r="M290" s="364">
        <v>6.42</v>
      </c>
      <c r="N290" s="364">
        <v>109.61</v>
      </c>
      <c r="O290" s="365">
        <v>5495</v>
      </c>
      <c r="P290" s="364">
        <v>100.01</v>
      </c>
      <c r="Q290" s="364">
        <v>95.38</v>
      </c>
      <c r="R290" s="364">
        <v>28.97</v>
      </c>
      <c r="S290" s="364">
        <v>125.34</v>
      </c>
      <c r="T290" s="365">
        <v>604</v>
      </c>
      <c r="U290" s="364">
        <v>172.63</v>
      </c>
      <c r="V290" s="365">
        <v>1985</v>
      </c>
      <c r="W290" s="364">
        <v>187.09</v>
      </c>
      <c r="X290" s="365">
        <v>27</v>
      </c>
      <c r="Y290" s="366">
        <v>0</v>
      </c>
      <c r="Z290" s="366">
        <v>2</v>
      </c>
      <c r="AA290" s="366">
        <v>4</v>
      </c>
      <c r="AB290" s="366">
        <v>91</v>
      </c>
      <c r="AC290" s="366">
        <v>16</v>
      </c>
      <c r="AD290" s="366">
        <v>7459</v>
      </c>
      <c r="AE290" s="366">
        <v>65</v>
      </c>
      <c r="AF290" s="366">
        <v>6</v>
      </c>
      <c r="AG290" s="366">
        <v>71</v>
      </c>
    </row>
    <row r="291" spans="1:33" x14ac:dyDescent="0.2">
      <c r="A291" s="359" t="s">
        <v>636</v>
      </c>
      <c r="B291" s="359" t="s">
        <v>637</v>
      </c>
      <c r="C291" s="366">
        <v>32468</v>
      </c>
      <c r="D291" s="366">
        <v>0</v>
      </c>
      <c r="E291" s="366">
        <v>2143</v>
      </c>
      <c r="F291" s="366">
        <v>655</v>
      </c>
      <c r="G291" s="366">
        <v>1001</v>
      </c>
      <c r="H291" s="363">
        <v>36267</v>
      </c>
      <c r="I291" s="363">
        <v>35266</v>
      </c>
      <c r="J291" s="366">
        <v>11</v>
      </c>
      <c r="K291" s="364">
        <v>83.57</v>
      </c>
      <c r="L291" s="364">
        <v>83.86</v>
      </c>
      <c r="M291" s="364">
        <v>5.58</v>
      </c>
      <c r="N291" s="364">
        <v>84.31</v>
      </c>
      <c r="O291" s="365">
        <v>29818</v>
      </c>
      <c r="P291" s="364">
        <v>83.53</v>
      </c>
      <c r="Q291" s="364">
        <v>78.88</v>
      </c>
      <c r="R291" s="364">
        <v>38.51</v>
      </c>
      <c r="S291" s="364">
        <v>121.45</v>
      </c>
      <c r="T291" s="365">
        <v>2545</v>
      </c>
      <c r="U291" s="364">
        <v>98.86</v>
      </c>
      <c r="V291" s="365">
        <v>2334</v>
      </c>
      <c r="W291" s="364">
        <v>147.96</v>
      </c>
      <c r="X291" s="365">
        <v>31</v>
      </c>
      <c r="Y291" s="366">
        <v>3</v>
      </c>
      <c r="Z291" s="366">
        <v>74</v>
      </c>
      <c r="AA291" s="366">
        <v>8</v>
      </c>
      <c r="AB291" s="366">
        <v>84</v>
      </c>
      <c r="AC291" s="366">
        <v>23</v>
      </c>
      <c r="AD291" s="366">
        <v>32451</v>
      </c>
      <c r="AE291" s="366">
        <v>318</v>
      </c>
      <c r="AF291" s="366">
        <v>149</v>
      </c>
      <c r="AG291" s="366">
        <v>467</v>
      </c>
    </row>
    <row r="292" spans="1:33" x14ac:dyDescent="0.2">
      <c r="A292" s="359" t="s">
        <v>638</v>
      </c>
      <c r="B292" s="359" t="s">
        <v>639</v>
      </c>
      <c r="C292" s="366">
        <v>26505</v>
      </c>
      <c r="D292" s="366">
        <v>9</v>
      </c>
      <c r="E292" s="366">
        <v>507</v>
      </c>
      <c r="F292" s="366">
        <v>792</v>
      </c>
      <c r="G292" s="366">
        <v>484</v>
      </c>
      <c r="H292" s="363">
        <v>28297</v>
      </c>
      <c r="I292" s="363">
        <v>27813</v>
      </c>
      <c r="J292" s="366">
        <v>136</v>
      </c>
      <c r="K292" s="364">
        <v>86.04</v>
      </c>
      <c r="L292" s="364">
        <v>86.05</v>
      </c>
      <c r="M292" s="364">
        <v>10.18</v>
      </c>
      <c r="N292" s="364">
        <v>91.21</v>
      </c>
      <c r="O292" s="365">
        <v>24017</v>
      </c>
      <c r="P292" s="364">
        <v>103.85</v>
      </c>
      <c r="Q292" s="364">
        <v>91.74</v>
      </c>
      <c r="R292" s="364">
        <v>45.44</v>
      </c>
      <c r="S292" s="364">
        <v>147.65</v>
      </c>
      <c r="T292" s="365">
        <v>1047</v>
      </c>
      <c r="U292" s="364">
        <v>111.44</v>
      </c>
      <c r="V292" s="365">
        <v>2259</v>
      </c>
      <c r="W292" s="364">
        <v>145.93</v>
      </c>
      <c r="X292" s="365">
        <v>194</v>
      </c>
      <c r="Y292" s="366">
        <v>0</v>
      </c>
      <c r="Z292" s="366">
        <v>91</v>
      </c>
      <c r="AA292" s="366">
        <v>13</v>
      </c>
      <c r="AB292" s="366">
        <v>8</v>
      </c>
      <c r="AC292" s="366">
        <v>14</v>
      </c>
      <c r="AD292" s="366">
        <v>26448</v>
      </c>
      <c r="AE292" s="366">
        <v>176</v>
      </c>
      <c r="AF292" s="366">
        <v>96</v>
      </c>
      <c r="AG292" s="366">
        <v>272</v>
      </c>
    </row>
    <row r="293" spans="1:33" x14ac:dyDescent="0.2">
      <c r="A293" s="359" t="s">
        <v>640</v>
      </c>
      <c r="B293" s="359" t="s">
        <v>641</v>
      </c>
      <c r="C293" s="366">
        <v>10862</v>
      </c>
      <c r="D293" s="366">
        <v>6</v>
      </c>
      <c r="E293" s="366">
        <v>921</v>
      </c>
      <c r="F293" s="366">
        <v>864</v>
      </c>
      <c r="G293" s="366">
        <v>1537</v>
      </c>
      <c r="H293" s="363">
        <v>14190</v>
      </c>
      <c r="I293" s="363">
        <v>12653</v>
      </c>
      <c r="J293" s="366">
        <v>99</v>
      </c>
      <c r="K293" s="364">
        <v>118.32</v>
      </c>
      <c r="L293" s="364">
        <v>116.81</v>
      </c>
      <c r="M293" s="364">
        <v>12.4</v>
      </c>
      <c r="N293" s="364">
        <v>124.82</v>
      </c>
      <c r="O293" s="365">
        <v>8663</v>
      </c>
      <c r="P293" s="364">
        <v>102.1</v>
      </c>
      <c r="Q293" s="364">
        <v>96.26</v>
      </c>
      <c r="R293" s="364">
        <v>43.55</v>
      </c>
      <c r="S293" s="364">
        <v>144.69999999999999</v>
      </c>
      <c r="T293" s="365">
        <v>1188</v>
      </c>
      <c r="U293" s="364">
        <v>185.72</v>
      </c>
      <c r="V293" s="365">
        <v>1602</v>
      </c>
      <c r="W293" s="364">
        <v>235.82</v>
      </c>
      <c r="X293" s="365">
        <v>67</v>
      </c>
      <c r="Y293" s="366">
        <v>0</v>
      </c>
      <c r="Z293" s="366">
        <v>1</v>
      </c>
      <c r="AA293" s="366">
        <v>7</v>
      </c>
      <c r="AB293" s="366">
        <v>49</v>
      </c>
      <c r="AC293" s="366">
        <v>29</v>
      </c>
      <c r="AD293" s="366">
        <v>10471</v>
      </c>
      <c r="AE293" s="366">
        <v>80</v>
      </c>
      <c r="AF293" s="366">
        <v>43</v>
      </c>
      <c r="AG293" s="366">
        <v>123</v>
      </c>
    </row>
    <row r="294" spans="1:33" x14ac:dyDescent="0.2">
      <c r="A294" s="359" t="s">
        <v>642</v>
      </c>
      <c r="B294" s="359" t="s">
        <v>643</v>
      </c>
      <c r="C294" s="366">
        <v>9028</v>
      </c>
      <c r="D294" s="366">
        <v>6</v>
      </c>
      <c r="E294" s="366">
        <v>1057</v>
      </c>
      <c r="F294" s="366">
        <v>980</v>
      </c>
      <c r="G294" s="366">
        <v>2549</v>
      </c>
      <c r="H294" s="363">
        <v>13620</v>
      </c>
      <c r="I294" s="363">
        <v>11071</v>
      </c>
      <c r="J294" s="366">
        <v>301</v>
      </c>
      <c r="K294" s="364">
        <v>131.04</v>
      </c>
      <c r="L294" s="364">
        <v>140.06</v>
      </c>
      <c r="M294" s="364">
        <v>9.93</v>
      </c>
      <c r="N294" s="364">
        <v>137.44</v>
      </c>
      <c r="O294" s="365">
        <v>6856</v>
      </c>
      <c r="P294" s="364">
        <v>121.42</v>
      </c>
      <c r="Q294" s="364">
        <v>116.69</v>
      </c>
      <c r="R294" s="364">
        <v>45.57</v>
      </c>
      <c r="S294" s="364">
        <v>165.3</v>
      </c>
      <c r="T294" s="365">
        <v>1861</v>
      </c>
      <c r="U294" s="364">
        <v>209.29</v>
      </c>
      <c r="V294" s="365">
        <v>918</v>
      </c>
      <c r="W294" s="364">
        <v>234.28</v>
      </c>
      <c r="X294" s="365">
        <v>37</v>
      </c>
      <c r="Y294" s="366">
        <v>0</v>
      </c>
      <c r="Z294" s="366">
        <v>0</v>
      </c>
      <c r="AA294" s="366">
        <v>12</v>
      </c>
      <c r="AB294" s="366">
        <v>99</v>
      </c>
      <c r="AC294" s="366">
        <v>70</v>
      </c>
      <c r="AD294" s="366">
        <v>8660</v>
      </c>
      <c r="AE294" s="366">
        <v>129</v>
      </c>
      <c r="AF294" s="366">
        <v>56</v>
      </c>
      <c r="AG294" s="366">
        <v>185</v>
      </c>
    </row>
    <row r="295" spans="1:33" x14ac:dyDescent="0.2">
      <c r="A295" s="359" t="s">
        <v>644</v>
      </c>
      <c r="B295" s="359" t="s">
        <v>645</v>
      </c>
      <c r="C295" s="366">
        <v>11832</v>
      </c>
      <c r="D295" s="366">
        <v>0</v>
      </c>
      <c r="E295" s="366">
        <v>565</v>
      </c>
      <c r="F295" s="366">
        <v>2167</v>
      </c>
      <c r="G295" s="366">
        <v>660</v>
      </c>
      <c r="H295" s="363">
        <v>15224</v>
      </c>
      <c r="I295" s="363">
        <v>14564</v>
      </c>
      <c r="J295" s="366">
        <v>9</v>
      </c>
      <c r="K295" s="364">
        <v>85.21</v>
      </c>
      <c r="L295" s="364">
        <v>85.75</v>
      </c>
      <c r="M295" s="364">
        <v>5.41</v>
      </c>
      <c r="N295" s="364">
        <v>86.93</v>
      </c>
      <c r="O295" s="365">
        <v>11030</v>
      </c>
      <c r="P295" s="364">
        <v>88.1</v>
      </c>
      <c r="Q295" s="364">
        <v>79.03</v>
      </c>
      <c r="R295" s="364">
        <v>34.450000000000003</v>
      </c>
      <c r="S295" s="364">
        <v>122.44</v>
      </c>
      <c r="T295" s="365">
        <v>2597</v>
      </c>
      <c r="U295" s="364">
        <v>107.61</v>
      </c>
      <c r="V295" s="365">
        <v>722</v>
      </c>
      <c r="W295" s="364">
        <v>166.34</v>
      </c>
      <c r="X295" s="365">
        <v>48</v>
      </c>
      <c r="Y295" s="366">
        <v>0</v>
      </c>
      <c r="Z295" s="366">
        <v>53</v>
      </c>
      <c r="AA295" s="366">
        <v>0</v>
      </c>
      <c r="AB295" s="366">
        <v>23</v>
      </c>
      <c r="AC295" s="366">
        <v>16</v>
      </c>
      <c r="AD295" s="366">
        <v>11832</v>
      </c>
      <c r="AE295" s="366">
        <v>103</v>
      </c>
      <c r="AF295" s="366">
        <v>57</v>
      </c>
      <c r="AG295" s="366">
        <v>160</v>
      </c>
    </row>
    <row r="296" spans="1:33" x14ac:dyDescent="0.2">
      <c r="A296" s="359" t="s">
        <v>646</v>
      </c>
      <c r="B296" s="359" t="s">
        <v>647</v>
      </c>
      <c r="C296" s="366">
        <v>3249</v>
      </c>
      <c r="D296" s="366">
        <v>0</v>
      </c>
      <c r="E296" s="366">
        <v>162</v>
      </c>
      <c r="F296" s="366">
        <v>629</v>
      </c>
      <c r="G296" s="366">
        <v>957</v>
      </c>
      <c r="H296" s="363">
        <v>4997</v>
      </c>
      <c r="I296" s="363">
        <v>4040</v>
      </c>
      <c r="J296" s="366">
        <v>2</v>
      </c>
      <c r="K296" s="364">
        <v>107.18</v>
      </c>
      <c r="L296" s="364">
        <v>105.04</v>
      </c>
      <c r="M296" s="364">
        <v>6.96</v>
      </c>
      <c r="N296" s="364">
        <v>113.11</v>
      </c>
      <c r="O296" s="365">
        <v>2429</v>
      </c>
      <c r="P296" s="364">
        <v>100.81</v>
      </c>
      <c r="Q296" s="364">
        <v>87.49</v>
      </c>
      <c r="R296" s="364">
        <v>52.42</v>
      </c>
      <c r="S296" s="364">
        <v>153.04</v>
      </c>
      <c r="T296" s="365">
        <v>556</v>
      </c>
      <c r="U296" s="364">
        <v>147.56</v>
      </c>
      <c r="V296" s="365">
        <v>739</v>
      </c>
      <c r="W296" s="364">
        <v>180.75</v>
      </c>
      <c r="X296" s="365">
        <v>126</v>
      </c>
      <c r="Y296" s="366">
        <v>0</v>
      </c>
      <c r="Z296" s="366">
        <v>4</v>
      </c>
      <c r="AA296" s="366">
        <v>16</v>
      </c>
      <c r="AB296" s="366">
        <v>120</v>
      </c>
      <c r="AC296" s="366">
        <v>19</v>
      </c>
      <c r="AD296" s="366">
        <v>3185</v>
      </c>
      <c r="AE296" s="366">
        <v>49</v>
      </c>
      <c r="AF296" s="366">
        <v>41</v>
      </c>
      <c r="AG296" s="366">
        <v>90</v>
      </c>
    </row>
    <row r="297" spans="1:33" x14ac:dyDescent="0.2">
      <c r="A297" s="359" t="s">
        <v>648</v>
      </c>
      <c r="B297" s="359" t="s">
        <v>649</v>
      </c>
      <c r="C297" s="366">
        <v>5566</v>
      </c>
      <c r="D297" s="366">
        <v>128</v>
      </c>
      <c r="E297" s="366">
        <v>378</v>
      </c>
      <c r="F297" s="366">
        <v>589</v>
      </c>
      <c r="G297" s="366">
        <v>405</v>
      </c>
      <c r="H297" s="363">
        <v>7066</v>
      </c>
      <c r="I297" s="363">
        <v>6661</v>
      </c>
      <c r="J297" s="366">
        <v>77</v>
      </c>
      <c r="K297" s="364">
        <v>114.49</v>
      </c>
      <c r="L297" s="364">
        <v>124.36</v>
      </c>
      <c r="M297" s="364">
        <v>9.41</v>
      </c>
      <c r="N297" s="364">
        <v>118.75</v>
      </c>
      <c r="O297" s="365">
        <v>4940</v>
      </c>
      <c r="P297" s="364">
        <v>92.24</v>
      </c>
      <c r="Q297" s="364">
        <v>92.64</v>
      </c>
      <c r="R297" s="364">
        <v>35.29</v>
      </c>
      <c r="S297" s="364">
        <v>126.97</v>
      </c>
      <c r="T297" s="365">
        <v>701</v>
      </c>
      <c r="U297" s="364">
        <v>185.35</v>
      </c>
      <c r="V297" s="365">
        <v>513</v>
      </c>
      <c r="W297" s="364">
        <v>165.02</v>
      </c>
      <c r="X297" s="365">
        <v>2</v>
      </c>
      <c r="Y297" s="366">
        <v>0</v>
      </c>
      <c r="Z297" s="366">
        <v>8</v>
      </c>
      <c r="AA297" s="366">
        <v>1</v>
      </c>
      <c r="AB297" s="366">
        <v>25</v>
      </c>
      <c r="AC297" s="366">
        <v>10</v>
      </c>
      <c r="AD297" s="366">
        <v>5553</v>
      </c>
      <c r="AE297" s="366">
        <v>60</v>
      </c>
      <c r="AF297" s="366">
        <v>41</v>
      </c>
      <c r="AG297" s="366">
        <v>101</v>
      </c>
    </row>
    <row r="298" spans="1:33" x14ac:dyDescent="0.2">
      <c r="A298" s="359" t="s">
        <v>650</v>
      </c>
      <c r="B298" s="359" t="s">
        <v>651</v>
      </c>
      <c r="C298" s="366">
        <v>1371</v>
      </c>
      <c r="D298" s="366">
        <v>0</v>
      </c>
      <c r="E298" s="366">
        <v>152</v>
      </c>
      <c r="F298" s="366">
        <v>164</v>
      </c>
      <c r="G298" s="366">
        <v>588</v>
      </c>
      <c r="H298" s="363">
        <v>2275</v>
      </c>
      <c r="I298" s="363">
        <v>1687</v>
      </c>
      <c r="J298" s="366">
        <v>31</v>
      </c>
      <c r="K298" s="364">
        <v>119.13</v>
      </c>
      <c r="L298" s="364">
        <v>115.16</v>
      </c>
      <c r="M298" s="364">
        <v>4.8899999999999997</v>
      </c>
      <c r="N298" s="364">
        <v>123.7</v>
      </c>
      <c r="O298" s="365">
        <v>911</v>
      </c>
      <c r="P298" s="364">
        <v>109.79</v>
      </c>
      <c r="Q298" s="364">
        <v>95.89</v>
      </c>
      <c r="R298" s="364">
        <v>34.659999999999997</v>
      </c>
      <c r="S298" s="364">
        <v>144.44999999999999</v>
      </c>
      <c r="T298" s="365">
        <v>142</v>
      </c>
      <c r="U298" s="364">
        <v>189.68</v>
      </c>
      <c r="V298" s="365">
        <v>410</v>
      </c>
      <c r="W298" s="364">
        <v>124.33</v>
      </c>
      <c r="X298" s="365">
        <v>3</v>
      </c>
      <c r="Y298" s="366">
        <v>6</v>
      </c>
      <c r="Z298" s="366">
        <v>1</v>
      </c>
      <c r="AA298" s="366">
        <v>0</v>
      </c>
      <c r="AB298" s="366">
        <v>66</v>
      </c>
      <c r="AC298" s="366">
        <v>17</v>
      </c>
      <c r="AD298" s="366">
        <v>1279</v>
      </c>
      <c r="AE298" s="366">
        <v>35</v>
      </c>
      <c r="AF298" s="366">
        <v>2</v>
      </c>
      <c r="AG298" s="366">
        <v>37</v>
      </c>
    </row>
    <row r="299" spans="1:33" x14ac:dyDescent="0.2">
      <c r="A299" s="359" t="s">
        <v>652</v>
      </c>
      <c r="B299" s="359" t="s">
        <v>653</v>
      </c>
      <c r="C299" s="366">
        <v>2500</v>
      </c>
      <c r="D299" s="366">
        <v>0</v>
      </c>
      <c r="E299" s="366">
        <v>96</v>
      </c>
      <c r="F299" s="366">
        <v>323</v>
      </c>
      <c r="G299" s="366">
        <v>663</v>
      </c>
      <c r="H299" s="363">
        <v>3582</v>
      </c>
      <c r="I299" s="363">
        <v>2919</v>
      </c>
      <c r="J299" s="366">
        <v>0</v>
      </c>
      <c r="K299" s="364">
        <v>104.22</v>
      </c>
      <c r="L299" s="364">
        <v>99.77</v>
      </c>
      <c r="M299" s="364">
        <v>6.23</v>
      </c>
      <c r="N299" s="364">
        <v>109.02</v>
      </c>
      <c r="O299" s="365">
        <v>1402</v>
      </c>
      <c r="P299" s="364">
        <v>82.06</v>
      </c>
      <c r="Q299" s="364">
        <v>76.510000000000005</v>
      </c>
      <c r="R299" s="364">
        <v>40.36</v>
      </c>
      <c r="S299" s="364">
        <v>120.64</v>
      </c>
      <c r="T299" s="365">
        <v>226</v>
      </c>
      <c r="U299" s="364">
        <v>152.28</v>
      </c>
      <c r="V299" s="365">
        <v>1072</v>
      </c>
      <c r="W299" s="364">
        <v>196.01</v>
      </c>
      <c r="X299" s="365">
        <v>55</v>
      </c>
      <c r="Y299" s="366">
        <v>0</v>
      </c>
      <c r="Z299" s="366">
        <v>0</v>
      </c>
      <c r="AA299" s="366">
        <v>1</v>
      </c>
      <c r="AB299" s="366">
        <v>64</v>
      </c>
      <c r="AC299" s="366">
        <v>5</v>
      </c>
      <c r="AD299" s="366">
        <v>2498</v>
      </c>
      <c r="AE299" s="366">
        <v>52</v>
      </c>
      <c r="AF299" s="366">
        <v>10</v>
      </c>
      <c r="AG299" s="366">
        <v>62</v>
      </c>
    </row>
    <row r="300" spans="1:33" x14ac:dyDescent="0.2">
      <c r="A300" s="359" t="s">
        <v>654</v>
      </c>
      <c r="B300" s="359" t="s">
        <v>655</v>
      </c>
      <c r="C300" s="366">
        <v>2840</v>
      </c>
      <c r="D300" s="366">
        <v>0</v>
      </c>
      <c r="E300" s="366">
        <v>311</v>
      </c>
      <c r="F300" s="366">
        <v>339</v>
      </c>
      <c r="G300" s="366">
        <v>757</v>
      </c>
      <c r="H300" s="363">
        <v>4247</v>
      </c>
      <c r="I300" s="363">
        <v>3490</v>
      </c>
      <c r="J300" s="366">
        <v>128</v>
      </c>
      <c r="K300" s="364">
        <v>112.21</v>
      </c>
      <c r="L300" s="364">
        <v>110.69</v>
      </c>
      <c r="M300" s="364">
        <v>8.33</v>
      </c>
      <c r="N300" s="364">
        <v>119.26</v>
      </c>
      <c r="O300" s="365">
        <v>2249</v>
      </c>
      <c r="P300" s="364">
        <v>109.46</v>
      </c>
      <c r="Q300" s="364">
        <v>98.41</v>
      </c>
      <c r="R300" s="364">
        <v>48.27</v>
      </c>
      <c r="S300" s="364">
        <v>157.55000000000001</v>
      </c>
      <c r="T300" s="365">
        <v>522</v>
      </c>
      <c r="U300" s="364">
        <v>153.74</v>
      </c>
      <c r="V300" s="365">
        <v>523</v>
      </c>
      <c r="W300" s="364">
        <v>0</v>
      </c>
      <c r="X300" s="365">
        <v>0</v>
      </c>
      <c r="Y300" s="366">
        <v>76</v>
      </c>
      <c r="Z300" s="366">
        <v>1</v>
      </c>
      <c r="AA300" s="366">
        <v>0</v>
      </c>
      <c r="AB300" s="366">
        <v>57</v>
      </c>
      <c r="AC300" s="366">
        <v>7</v>
      </c>
      <c r="AD300" s="366">
        <v>2797</v>
      </c>
      <c r="AE300" s="366">
        <v>13</v>
      </c>
      <c r="AF300" s="366">
        <v>7</v>
      </c>
      <c r="AG300" s="366">
        <v>20</v>
      </c>
    </row>
    <row r="301" spans="1:33" x14ac:dyDescent="0.2">
      <c r="A301" s="359" t="s">
        <v>656</v>
      </c>
      <c r="B301" s="359" t="s">
        <v>657</v>
      </c>
      <c r="C301" s="366">
        <v>7992</v>
      </c>
      <c r="D301" s="366">
        <v>0</v>
      </c>
      <c r="E301" s="366">
        <v>368</v>
      </c>
      <c r="F301" s="366">
        <v>882</v>
      </c>
      <c r="G301" s="366">
        <v>747</v>
      </c>
      <c r="H301" s="363">
        <v>9989</v>
      </c>
      <c r="I301" s="363">
        <v>9242</v>
      </c>
      <c r="J301" s="366">
        <v>18</v>
      </c>
      <c r="K301" s="364">
        <v>119.18</v>
      </c>
      <c r="L301" s="364">
        <v>120.5</v>
      </c>
      <c r="M301" s="364">
        <v>5.32</v>
      </c>
      <c r="N301" s="364">
        <v>121.93</v>
      </c>
      <c r="O301" s="365">
        <v>7564</v>
      </c>
      <c r="P301" s="364">
        <v>107.98</v>
      </c>
      <c r="Q301" s="364">
        <v>103.58</v>
      </c>
      <c r="R301" s="364">
        <v>33.81</v>
      </c>
      <c r="S301" s="364">
        <v>140.55000000000001</v>
      </c>
      <c r="T301" s="365">
        <v>1061</v>
      </c>
      <c r="U301" s="364">
        <v>152.72999999999999</v>
      </c>
      <c r="V301" s="365">
        <v>382</v>
      </c>
      <c r="W301" s="364">
        <v>180.48</v>
      </c>
      <c r="X301" s="365">
        <v>81</v>
      </c>
      <c r="Y301" s="366">
        <v>98</v>
      </c>
      <c r="Z301" s="366">
        <v>0</v>
      </c>
      <c r="AA301" s="366">
        <v>1</v>
      </c>
      <c r="AB301" s="366">
        <v>30</v>
      </c>
      <c r="AC301" s="366">
        <v>17</v>
      </c>
      <c r="AD301" s="366">
        <v>7936</v>
      </c>
      <c r="AE301" s="366">
        <v>44</v>
      </c>
      <c r="AF301" s="366">
        <v>20</v>
      </c>
      <c r="AG301" s="366">
        <v>64</v>
      </c>
    </row>
    <row r="302" spans="1:33" x14ac:dyDescent="0.2">
      <c r="A302" s="359" t="s">
        <v>658</v>
      </c>
      <c r="B302" s="359" t="s">
        <v>659</v>
      </c>
      <c r="C302" s="366">
        <v>2190</v>
      </c>
      <c r="D302" s="366">
        <v>2</v>
      </c>
      <c r="E302" s="366">
        <v>31</v>
      </c>
      <c r="F302" s="366">
        <v>322</v>
      </c>
      <c r="G302" s="366">
        <v>141</v>
      </c>
      <c r="H302" s="363">
        <v>2686</v>
      </c>
      <c r="I302" s="363">
        <v>2545</v>
      </c>
      <c r="J302" s="366">
        <v>0</v>
      </c>
      <c r="K302" s="364">
        <v>87.13</v>
      </c>
      <c r="L302" s="364">
        <v>83.69</v>
      </c>
      <c r="M302" s="364">
        <v>2.76</v>
      </c>
      <c r="N302" s="364">
        <v>89.01</v>
      </c>
      <c r="O302" s="365">
        <v>1930</v>
      </c>
      <c r="P302" s="364">
        <v>83.46</v>
      </c>
      <c r="Q302" s="364">
        <v>75.38</v>
      </c>
      <c r="R302" s="364">
        <v>20.37</v>
      </c>
      <c r="S302" s="364">
        <v>103.53</v>
      </c>
      <c r="T302" s="365">
        <v>277</v>
      </c>
      <c r="U302" s="364">
        <v>119.39</v>
      </c>
      <c r="V302" s="365">
        <v>189</v>
      </c>
      <c r="W302" s="364">
        <v>87.12</v>
      </c>
      <c r="X302" s="365">
        <v>4</v>
      </c>
      <c r="Y302" s="366">
        <v>0</v>
      </c>
      <c r="Z302" s="366">
        <v>0</v>
      </c>
      <c r="AA302" s="366">
        <v>1</v>
      </c>
      <c r="AB302" s="366">
        <v>11</v>
      </c>
      <c r="AC302" s="366">
        <v>4</v>
      </c>
      <c r="AD302" s="366">
        <v>2104</v>
      </c>
      <c r="AE302" s="366">
        <v>24</v>
      </c>
      <c r="AF302" s="366">
        <v>7</v>
      </c>
      <c r="AG302" s="366">
        <v>31</v>
      </c>
    </row>
    <row r="303" spans="1:33" x14ac:dyDescent="0.2">
      <c r="A303" s="359" t="s">
        <v>660</v>
      </c>
      <c r="B303" s="359" t="s">
        <v>661</v>
      </c>
      <c r="C303" s="366">
        <v>965</v>
      </c>
      <c r="D303" s="366">
        <v>0</v>
      </c>
      <c r="E303" s="366">
        <v>198</v>
      </c>
      <c r="F303" s="366">
        <v>371</v>
      </c>
      <c r="G303" s="366">
        <v>405</v>
      </c>
      <c r="H303" s="363">
        <v>1939</v>
      </c>
      <c r="I303" s="363">
        <v>1534</v>
      </c>
      <c r="J303" s="366">
        <v>0</v>
      </c>
      <c r="K303" s="364">
        <v>93.2</v>
      </c>
      <c r="L303" s="364">
        <v>91.57</v>
      </c>
      <c r="M303" s="364">
        <v>5.72</v>
      </c>
      <c r="N303" s="364">
        <v>96.94</v>
      </c>
      <c r="O303" s="365">
        <v>549</v>
      </c>
      <c r="P303" s="364">
        <v>102.74</v>
      </c>
      <c r="Q303" s="364">
        <v>85.44</v>
      </c>
      <c r="R303" s="364">
        <v>41.31</v>
      </c>
      <c r="S303" s="364">
        <v>143.97</v>
      </c>
      <c r="T303" s="365">
        <v>482</v>
      </c>
      <c r="U303" s="364">
        <v>110.77</v>
      </c>
      <c r="V303" s="365">
        <v>349</v>
      </c>
      <c r="W303" s="364">
        <v>0</v>
      </c>
      <c r="X303" s="365">
        <v>0</v>
      </c>
      <c r="Y303" s="366">
        <v>0</v>
      </c>
      <c r="Z303" s="366">
        <v>0</v>
      </c>
      <c r="AA303" s="366">
        <v>0</v>
      </c>
      <c r="AB303" s="366">
        <v>18</v>
      </c>
      <c r="AC303" s="366">
        <v>0</v>
      </c>
      <c r="AD303" s="366">
        <v>955</v>
      </c>
      <c r="AE303" s="366">
        <v>23</v>
      </c>
      <c r="AF303" s="366">
        <v>0</v>
      </c>
      <c r="AG303" s="366">
        <v>23</v>
      </c>
    </row>
    <row r="304" spans="1:33" x14ac:dyDescent="0.2">
      <c r="A304" s="359" t="s">
        <v>662</v>
      </c>
      <c r="B304" s="359" t="s">
        <v>663</v>
      </c>
      <c r="C304" s="366">
        <v>4297</v>
      </c>
      <c r="D304" s="366">
        <v>0</v>
      </c>
      <c r="E304" s="366">
        <v>113</v>
      </c>
      <c r="F304" s="366">
        <v>422</v>
      </c>
      <c r="G304" s="366">
        <v>341</v>
      </c>
      <c r="H304" s="363">
        <v>5173</v>
      </c>
      <c r="I304" s="363">
        <v>4832</v>
      </c>
      <c r="J304" s="366">
        <v>0</v>
      </c>
      <c r="K304" s="364">
        <v>80.150000000000006</v>
      </c>
      <c r="L304" s="364">
        <v>80.02</v>
      </c>
      <c r="M304" s="364">
        <v>4.5599999999999996</v>
      </c>
      <c r="N304" s="364">
        <v>81.489999999999995</v>
      </c>
      <c r="O304" s="365">
        <v>3784</v>
      </c>
      <c r="P304" s="364">
        <v>77.599999999999994</v>
      </c>
      <c r="Q304" s="364">
        <v>73.430000000000007</v>
      </c>
      <c r="R304" s="364">
        <v>38.28</v>
      </c>
      <c r="S304" s="364">
        <v>115.89</v>
      </c>
      <c r="T304" s="365">
        <v>485</v>
      </c>
      <c r="U304" s="364">
        <v>102.1</v>
      </c>
      <c r="V304" s="365">
        <v>488</v>
      </c>
      <c r="W304" s="364">
        <v>117.07</v>
      </c>
      <c r="X304" s="365">
        <v>27</v>
      </c>
      <c r="Y304" s="366">
        <v>0</v>
      </c>
      <c r="Z304" s="366">
        <v>5</v>
      </c>
      <c r="AA304" s="366">
        <v>0</v>
      </c>
      <c r="AB304" s="366">
        <v>11</v>
      </c>
      <c r="AC304" s="366">
        <v>4</v>
      </c>
      <c r="AD304" s="366">
        <v>4244</v>
      </c>
      <c r="AE304" s="366">
        <v>17</v>
      </c>
      <c r="AF304" s="366">
        <v>6</v>
      </c>
      <c r="AG304" s="366">
        <v>23</v>
      </c>
    </row>
    <row r="305" spans="1:33" x14ac:dyDescent="0.2">
      <c r="A305" s="362" t="s">
        <v>800</v>
      </c>
      <c r="B305" s="362" t="s">
        <v>798</v>
      </c>
      <c r="C305" s="345">
        <v>11696</v>
      </c>
      <c r="D305" s="345">
        <v>9</v>
      </c>
      <c r="E305" s="345">
        <v>482</v>
      </c>
      <c r="F305" s="345">
        <v>2281</v>
      </c>
      <c r="G305" s="345">
        <v>2468</v>
      </c>
      <c r="H305" s="345">
        <v>16936</v>
      </c>
      <c r="I305" s="345">
        <v>14468</v>
      </c>
      <c r="J305" s="345">
        <v>63</v>
      </c>
      <c r="K305" s="345">
        <v>98.34</v>
      </c>
      <c r="L305" s="345">
        <v>98.04</v>
      </c>
      <c r="M305" s="345">
        <v>6.37</v>
      </c>
      <c r="N305" s="345">
        <v>102.35</v>
      </c>
      <c r="O305" s="348">
        <v>9341</v>
      </c>
      <c r="P305" s="345">
        <v>96.13</v>
      </c>
      <c r="Q305" s="345">
        <v>89.37</v>
      </c>
      <c r="R305" s="345">
        <v>39.159999999999997</v>
      </c>
      <c r="S305" s="345">
        <v>126.21</v>
      </c>
      <c r="T305" s="348">
        <v>2624</v>
      </c>
      <c r="U305" s="345">
        <v>127.54</v>
      </c>
      <c r="V305" s="348">
        <v>1936</v>
      </c>
      <c r="W305" s="345">
        <v>173.37</v>
      </c>
      <c r="X305" s="348">
        <v>78</v>
      </c>
      <c r="Y305" s="345">
        <v>100</v>
      </c>
      <c r="Z305" s="345">
        <v>24</v>
      </c>
      <c r="AA305" s="345">
        <v>19</v>
      </c>
      <c r="AB305" s="345">
        <v>70</v>
      </c>
      <c r="AC305" s="345">
        <v>32</v>
      </c>
      <c r="AD305" s="345">
        <v>11429</v>
      </c>
      <c r="AE305" s="345">
        <v>77</v>
      </c>
      <c r="AF305" s="345">
        <v>60</v>
      </c>
      <c r="AG305" s="345">
        <v>137</v>
      </c>
    </row>
    <row r="306" spans="1:33" x14ac:dyDescent="0.2">
      <c r="A306" s="359" t="s">
        <v>664</v>
      </c>
      <c r="B306" s="359" t="s">
        <v>665</v>
      </c>
      <c r="C306" s="366">
        <v>6161</v>
      </c>
      <c r="D306" s="366">
        <v>2</v>
      </c>
      <c r="E306" s="366">
        <v>142</v>
      </c>
      <c r="F306" s="366">
        <v>159</v>
      </c>
      <c r="G306" s="366">
        <v>931</v>
      </c>
      <c r="H306" s="363">
        <v>7395</v>
      </c>
      <c r="I306" s="363">
        <v>6464</v>
      </c>
      <c r="J306" s="366">
        <v>25</v>
      </c>
      <c r="K306" s="364">
        <v>111.26</v>
      </c>
      <c r="L306" s="364">
        <v>113.55</v>
      </c>
      <c r="M306" s="364">
        <v>4.74</v>
      </c>
      <c r="N306" s="364">
        <v>113.26</v>
      </c>
      <c r="O306" s="365">
        <v>4906</v>
      </c>
      <c r="P306" s="364">
        <v>98.77</v>
      </c>
      <c r="Q306" s="364">
        <v>92.25</v>
      </c>
      <c r="R306" s="364">
        <v>62.12</v>
      </c>
      <c r="S306" s="364">
        <v>157.30000000000001</v>
      </c>
      <c r="T306" s="365">
        <v>294</v>
      </c>
      <c r="U306" s="364">
        <v>172.73</v>
      </c>
      <c r="V306" s="365">
        <v>1153</v>
      </c>
      <c r="W306" s="364">
        <v>152.44999999999999</v>
      </c>
      <c r="X306" s="365">
        <v>2</v>
      </c>
      <c r="Y306" s="366">
        <v>109</v>
      </c>
      <c r="Z306" s="366">
        <v>2</v>
      </c>
      <c r="AA306" s="366">
        <v>6</v>
      </c>
      <c r="AB306" s="366">
        <v>169</v>
      </c>
      <c r="AC306" s="366">
        <v>4</v>
      </c>
      <c r="AD306" s="366">
        <v>6021</v>
      </c>
      <c r="AE306" s="366">
        <v>51</v>
      </c>
      <c r="AF306" s="366">
        <v>49</v>
      </c>
      <c r="AG306" s="366">
        <v>100</v>
      </c>
    </row>
    <row r="307" spans="1:33" x14ac:dyDescent="0.2">
      <c r="A307" s="359" t="s">
        <v>666</v>
      </c>
      <c r="B307" s="359" t="s">
        <v>667</v>
      </c>
      <c r="C307" s="366">
        <v>11005</v>
      </c>
      <c r="D307" s="366">
        <v>0</v>
      </c>
      <c r="E307" s="366">
        <v>418</v>
      </c>
      <c r="F307" s="366">
        <v>1116</v>
      </c>
      <c r="G307" s="366">
        <v>844</v>
      </c>
      <c r="H307" s="363">
        <v>13383</v>
      </c>
      <c r="I307" s="363">
        <v>12539</v>
      </c>
      <c r="J307" s="366">
        <v>0</v>
      </c>
      <c r="K307" s="364">
        <v>91.77</v>
      </c>
      <c r="L307" s="364">
        <v>91.99</v>
      </c>
      <c r="M307" s="364">
        <v>4.9000000000000004</v>
      </c>
      <c r="N307" s="364">
        <v>93.23</v>
      </c>
      <c r="O307" s="365">
        <v>8923</v>
      </c>
      <c r="P307" s="364">
        <v>87.41</v>
      </c>
      <c r="Q307" s="364">
        <v>84.74</v>
      </c>
      <c r="R307" s="364">
        <v>43.26</v>
      </c>
      <c r="S307" s="364">
        <v>130.27000000000001</v>
      </c>
      <c r="T307" s="365">
        <v>1515</v>
      </c>
      <c r="U307" s="364">
        <v>131.62</v>
      </c>
      <c r="V307" s="365">
        <v>1851</v>
      </c>
      <c r="W307" s="364">
        <v>107.26</v>
      </c>
      <c r="X307" s="365">
        <v>19</v>
      </c>
      <c r="Y307" s="366">
        <v>37</v>
      </c>
      <c r="Z307" s="366">
        <v>8</v>
      </c>
      <c r="AA307" s="366">
        <v>12</v>
      </c>
      <c r="AB307" s="366">
        <v>117</v>
      </c>
      <c r="AC307" s="366">
        <v>8</v>
      </c>
      <c r="AD307" s="366">
        <v>10991</v>
      </c>
      <c r="AE307" s="366">
        <v>123</v>
      </c>
      <c r="AF307" s="366">
        <v>69</v>
      </c>
      <c r="AG307" s="366">
        <v>192</v>
      </c>
    </row>
    <row r="308" spans="1:33" x14ac:dyDescent="0.2">
      <c r="A308" s="359" t="s">
        <v>668</v>
      </c>
      <c r="B308" s="359" t="s">
        <v>669</v>
      </c>
      <c r="C308" s="366">
        <v>12326</v>
      </c>
      <c r="D308" s="366">
        <v>842</v>
      </c>
      <c r="E308" s="366">
        <v>1350</v>
      </c>
      <c r="F308" s="366">
        <v>759</v>
      </c>
      <c r="G308" s="366">
        <v>536</v>
      </c>
      <c r="H308" s="363">
        <v>15813</v>
      </c>
      <c r="I308" s="363">
        <v>15277</v>
      </c>
      <c r="J308" s="366">
        <v>626</v>
      </c>
      <c r="K308" s="364">
        <v>132.97</v>
      </c>
      <c r="L308" s="364">
        <v>147.63999999999999</v>
      </c>
      <c r="M308" s="364">
        <v>12.8</v>
      </c>
      <c r="N308" s="364">
        <v>143.55000000000001</v>
      </c>
      <c r="O308" s="365">
        <v>9587</v>
      </c>
      <c r="P308" s="364">
        <v>113.97</v>
      </c>
      <c r="Q308" s="364">
        <v>114.67</v>
      </c>
      <c r="R308" s="364">
        <v>76.87</v>
      </c>
      <c r="S308" s="364">
        <v>183.12</v>
      </c>
      <c r="T308" s="365">
        <v>1872</v>
      </c>
      <c r="U308" s="364">
        <v>207.72</v>
      </c>
      <c r="V308" s="365">
        <v>757</v>
      </c>
      <c r="W308" s="364">
        <v>174.82</v>
      </c>
      <c r="X308" s="365">
        <v>2</v>
      </c>
      <c r="Y308" s="366">
        <v>5</v>
      </c>
      <c r="Z308" s="366">
        <v>0</v>
      </c>
      <c r="AA308" s="366">
        <v>22</v>
      </c>
      <c r="AB308" s="366">
        <v>0</v>
      </c>
      <c r="AC308" s="366">
        <v>13</v>
      </c>
      <c r="AD308" s="366">
        <v>10604</v>
      </c>
      <c r="AE308" s="366">
        <v>198</v>
      </c>
      <c r="AF308" s="366">
        <v>57</v>
      </c>
      <c r="AG308" s="366">
        <v>255</v>
      </c>
    </row>
    <row r="309" spans="1:33" x14ac:dyDescent="0.2">
      <c r="A309" s="359" t="s">
        <v>670</v>
      </c>
      <c r="B309" s="359" t="s">
        <v>671</v>
      </c>
      <c r="C309" s="366">
        <v>2535</v>
      </c>
      <c r="D309" s="366">
        <v>3</v>
      </c>
      <c r="E309" s="366">
        <v>920</v>
      </c>
      <c r="F309" s="366">
        <v>831</v>
      </c>
      <c r="G309" s="366">
        <v>398</v>
      </c>
      <c r="H309" s="363">
        <v>4687</v>
      </c>
      <c r="I309" s="363">
        <v>4289</v>
      </c>
      <c r="J309" s="366">
        <v>0</v>
      </c>
      <c r="K309" s="364">
        <v>80.180000000000007</v>
      </c>
      <c r="L309" s="364">
        <v>76.680000000000007</v>
      </c>
      <c r="M309" s="364">
        <v>6.57</v>
      </c>
      <c r="N309" s="364">
        <v>83.93</v>
      </c>
      <c r="O309" s="365">
        <v>1719</v>
      </c>
      <c r="P309" s="364">
        <v>92.28</v>
      </c>
      <c r="Q309" s="364">
        <v>71.099999999999994</v>
      </c>
      <c r="R309" s="364">
        <v>87.2</v>
      </c>
      <c r="S309" s="364">
        <v>179.26</v>
      </c>
      <c r="T309" s="365">
        <v>1576</v>
      </c>
      <c r="U309" s="364">
        <v>100.52</v>
      </c>
      <c r="V309" s="365">
        <v>721</v>
      </c>
      <c r="W309" s="364">
        <v>0</v>
      </c>
      <c r="X309" s="365">
        <v>0</v>
      </c>
      <c r="Y309" s="366">
        <v>0</v>
      </c>
      <c r="Z309" s="366">
        <v>0</v>
      </c>
      <c r="AA309" s="366">
        <v>10</v>
      </c>
      <c r="AB309" s="366">
        <v>78</v>
      </c>
      <c r="AC309" s="366">
        <v>3</v>
      </c>
      <c r="AD309" s="366">
        <v>2480</v>
      </c>
      <c r="AE309" s="366">
        <v>44</v>
      </c>
      <c r="AF309" s="366">
        <v>7</v>
      </c>
      <c r="AG309" s="366">
        <v>51</v>
      </c>
    </row>
    <row r="310" spans="1:33" x14ac:dyDescent="0.2">
      <c r="A310" s="359" t="s">
        <v>672</v>
      </c>
      <c r="B310" s="359" t="s">
        <v>673</v>
      </c>
      <c r="C310" s="366">
        <v>22567</v>
      </c>
      <c r="D310" s="366">
        <v>0</v>
      </c>
      <c r="E310" s="366">
        <v>641</v>
      </c>
      <c r="F310" s="366">
        <v>2966</v>
      </c>
      <c r="G310" s="366">
        <v>2104</v>
      </c>
      <c r="H310" s="363">
        <v>28278</v>
      </c>
      <c r="I310" s="363">
        <v>26174</v>
      </c>
      <c r="J310" s="366">
        <v>16</v>
      </c>
      <c r="K310" s="364">
        <v>100.54</v>
      </c>
      <c r="L310" s="364">
        <v>98.64</v>
      </c>
      <c r="M310" s="364">
        <v>4.05</v>
      </c>
      <c r="N310" s="364">
        <v>102.91</v>
      </c>
      <c r="O310" s="365">
        <v>18583</v>
      </c>
      <c r="P310" s="364">
        <v>95.01</v>
      </c>
      <c r="Q310" s="364">
        <v>88.55</v>
      </c>
      <c r="R310" s="364">
        <v>27.46</v>
      </c>
      <c r="S310" s="364">
        <v>121.6</v>
      </c>
      <c r="T310" s="365">
        <v>3180</v>
      </c>
      <c r="U310" s="364">
        <v>134.09</v>
      </c>
      <c r="V310" s="365">
        <v>3283</v>
      </c>
      <c r="W310" s="364">
        <v>170.24</v>
      </c>
      <c r="X310" s="365">
        <v>74</v>
      </c>
      <c r="Y310" s="366">
        <v>75</v>
      </c>
      <c r="Z310" s="366">
        <v>11</v>
      </c>
      <c r="AA310" s="366">
        <v>54</v>
      </c>
      <c r="AB310" s="366">
        <v>207</v>
      </c>
      <c r="AC310" s="366">
        <v>36</v>
      </c>
      <c r="AD310" s="366">
        <v>21860</v>
      </c>
      <c r="AE310" s="366">
        <v>145</v>
      </c>
      <c r="AF310" s="366">
        <v>139</v>
      </c>
      <c r="AG310" s="366">
        <v>284</v>
      </c>
    </row>
    <row r="311" spans="1:33" x14ac:dyDescent="0.2">
      <c r="A311" s="359" t="s">
        <v>674</v>
      </c>
      <c r="B311" s="359" t="s">
        <v>675</v>
      </c>
      <c r="C311" s="366">
        <v>2556</v>
      </c>
      <c r="D311" s="366">
        <v>0</v>
      </c>
      <c r="E311" s="366">
        <v>227</v>
      </c>
      <c r="F311" s="366">
        <v>240</v>
      </c>
      <c r="G311" s="366">
        <v>531</v>
      </c>
      <c r="H311" s="363">
        <v>3554</v>
      </c>
      <c r="I311" s="363">
        <v>3023</v>
      </c>
      <c r="J311" s="366">
        <v>0</v>
      </c>
      <c r="K311" s="364">
        <v>114.87</v>
      </c>
      <c r="L311" s="364">
        <v>111.29</v>
      </c>
      <c r="M311" s="364">
        <v>7.9</v>
      </c>
      <c r="N311" s="364">
        <v>122.16</v>
      </c>
      <c r="O311" s="365">
        <v>1782</v>
      </c>
      <c r="P311" s="364">
        <v>99.72</v>
      </c>
      <c r="Q311" s="364">
        <v>93.48</v>
      </c>
      <c r="R311" s="364">
        <v>43.05</v>
      </c>
      <c r="S311" s="364">
        <v>139.03</v>
      </c>
      <c r="T311" s="365">
        <v>415</v>
      </c>
      <c r="U311" s="364">
        <v>168.81</v>
      </c>
      <c r="V311" s="365">
        <v>616</v>
      </c>
      <c r="W311" s="364">
        <v>0</v>
      </c>
      <c r="X311" s="365">
        <v>0</v>
      </c>
      <c r="Y311" s="366">
        <v>0</v>
      </c>
      <c r="Z311" s="366">
        <v>0</v>
      </c>
      <c r="AA311" s="366">
        <v>6</v>
      </c>
      <c r="AB311" s="366">
        <v>76</v>
      </c>
      <c r="AC311" s="366">
        <v>14</v>
      </c>
      <c r="AD311" s="366">
        <v>2347</v>
      </c>
      <c r="AE311" s="366">
        <v>30</v>
      </c>
      <c r="AF311" s="366">
        <v>7</v>
      </c>
      <c r="AG311" s="366">
        <v>37</v>
      </c>
    </row>
    <row r="312" spans="1:33" x14ac:dyDescent="0.2">
      <c r="A312" s="359" t="s">
        <v>676</v>
      </c>
      <c r="B312" s="359" t="s">
        <v>677</v>
      </c>
      <c r="C312" s="366">
        <v>6783</v>
      </c>
      <c r="D312" s="366">
        <v>16</v>
      </c>
      <c r="E312" s="366">
        <v>188</v>
      </c>
      <c r="F312" s="366">
        <v>860</v>
      </c>
      <c r="G312" s="366">
        <v>363</v>
      </c>
      <c r="H312" s="363">
        <v>8210</v>
      </c>
      <c r="I312" s="363">
        <v>7847</v>
      </c>
      <c r="J312" s="366">
        <v>0</v>
      </c>
      <c r="K312" s="364">
        <v>122.69</v>
      </c>
      <c r="L312" s="364">
        <v>123.86</v>
      </c>
      <c r="M312" s="364">
        <v>5.39</v>
      </c>
      <c r="N312" s="364">
        <v>126.84</v>
      </c>
      <c r="O312" s="365">
        <v>6235</v>
      </c>
      <c r="P312" s="364">
        <v>109.71</v>
      </c>
      <c r="Q312" s="364">
        <v>106.99</v>
      </c>
      <c r="R312" s="364">
        <v>27.31</v>
      </c>
      <c r="S312" s="364">
        <v>136.47999999999999</v>
      </c>
      <c r="T312" s="365">
        <v>1044</v>
      </c>
      <c r="U312" s="364">
        <v>182.44</v>
      </c>
      <c r="V312" s="365">
        <v>331</v>
      </c>
      <c r="W312" s="364">
        <v>146.22</v>
      </c>
      <c r="X312" s="365">
        <v>1</v>
      </c>
      <c r="Y312" s="366">
        <v>0</v>
      </c>
      <c r="Z312" s="366">
        <v>2</v>
      </c>
      <c r="AA312" s="366">
        <v>5</v>
      </c>
      <c r="AB312" s="366">
        <v>19</v>
      </c>
      <c r="AC312" s="366">
        <v>10</v>
      </c>
      <c r="AD312" s="366">
        <v>6780</v>
      </c>
      <c r="AE312" s="366">
        <v>40</v>
      </c>
      <c r="AF312" s="366">
        <v>2</v>
      </c>
      <c r="AG312" s="366">
        <v>42</v>
      </c>
    </row>
    <row r="313" spans="1:33" x14ac:dyDescent="0.2">
      <c r="A313" s="359" t="s">
        <v>678</v>
      </c>
      <c r="B313" s="359" t="s">
        <v>679</v>
      </c>
      <c r="C313" s="366">
        <v>17951</v>
      </c>
      <c r="D313" s="366">
        <v>18</v>
      </c>
      <c r="E313" s="366">
        <v>1350</v>
      </c>
      <c r="F313" s="366">
        <v>3792</v>
      </c>
      <c r="G313" s="366">
        <v>460</v>
      </c>
      <c r="H313" s="363">
        <v>23571</v>
      </c>
      <c r="I313" s="363">
        <v>23111</v>
      </c>
      <c r="J313" s="366">
        <v>1</v>
      </c>
      <c r="K313" s="364">
        <v>86.93</v>
      </c>
      <c r="L313" s="364">
        <v>84.09</v>
      </c>
      <c r="M313" s="364">
        <v>8.51</v>
      </c>
      <c r="N313" s="364">
        <v>89.82</v>
      </c>
      <c r="O313" s="365">
        <v>13803</v>
      </c>
      <c r="P313" s="364">
        <v>87.34</v>
      </c>
      <c r="Q313" s="364">
        <v>75.83</v>
      </c>
      <c r="R313" s="364">
        <v>28.39</v>
      </c>
      <c r="S313" s="364">
        <v>114.25</v>
      </c>
      <c r="T313" s="365">
        <v>3804</v>
      </c>
      <c r="U313" s="364">
        <v>108.68</v>
      </c>
      <c r="V313" s="365">
        <v>2211</v>
      </c>
      <c r="W313" s="364">
        <v>149.55000000000001</v>
      </c>
      <c r="X313" s="365">
        <v>177</v>
      </c>
      <c r="Y313" s="366">
        <v>0</v>
      </c>
      <c r="Z313" s="366">
        <v>44</v>
      </c>
      <c r="AA313" s="366">
        <v>4</v>
      </c>
      <c r="AB313" s="366">
        <v>29</v>
      </c>
      <c r="AC313" s="366">
        <v>1</v>
      </c>
      <c r="AD313" s="366">
        <v>15912</v>
      </c>
      <c r="AE313" s="366">
        <v>137</v>
      </c>
      <c r="AF313" s="366">
        <v>162</v>
      </c>
      <c r="AG313" s="366">
        <v>299</v>
      </c>
    </row>
    <row r="314" spans="1:33" x14ac:dyDescent="0.2">
      <c r="A314" s="359" t="s">
        <v>680</v>
      </c>
      <c r="B314" s="359" t="s">
        <v>681</v>
      </c>
      <c r="C314" s="366">
        <v>1114</v>
      </c>
      <c r="D314" s="366">
        <v>4</v>
      </c>
      <c r="E314" s="366">
        <v>189</v>
      </c>
      <c r="F314" s="366">
        <v>342</v>
      </c>
      <c r="G314" s="366">
        <v>218</v>
      </c>
      <c r="H314" s="363">
        <v>1867</v>
      </c>
      <c r="I314" s="363">
        <v>1649</v>
      </c>
      <c r="J314" s="366">
        <v>1</v>
      </c>
      <c r="K314" s="364">
        <v>132.01</v>
      </c>
      <c r="L314" s="364">
        <v>120.26</v>
      </c>
      <c r="M314" s="364">
        <v>9.06</v>
      </c>
      <c r="N314" s="364">
        <v>140</v>
      </c>
      <c r="O314" s="365">
        <v>953</v>
      </c>
      <c r="P314" s="364">
        <v>103.56</v>
      </c>
      <c r="Q314" s="364">
        <v>98.1</v>
      </c>
      <c r="R314" s="364">
        <v>32.020000000000003</v>
      </c>
      <c r="S314" s="364">
        <v>135.58000000000001</v>
      </c>
      <c r="T314" s="365">
        <v>248</v>
      </c>
      <c r="U314" s="364">
        <v>212.01</v>
      </c>
      <c r="V314" s="365">
        <v>32</v>
      </c>
      <c r="W314" s="364">
        <v>156.47999999999999</v>
      </c>
      <c r="X314" s="365">
        <v>27</v>
      </c>
      <c r="Y314" s="366">
        <v>1</v>
      </c>
      <c r="Z314" s="366">
        <v>0</v>
      </c>
      <c r="AA314" s="366">
        <v>0</v>
      </c>
      <c r="AB314" s="366">
        <v>0</v>
      </c>
      <c r="AC314" s="366">
        <v>9</v>
      </c>
      <c r="AD314" s="366">
        <v>1004</v>
      </c>
      <c r="AE314" s="366">
        <v>1</v>
      </c>
      <c r="AF314" s="366">
        <v>4</v>
      </c>
      <c r="AG314" s="366">
        <v>5</v>
      </c>
    </row>
    <row r="315" spans="1:33" x14ac:dyDescent="0.2">
      <c r="A315" s="359" t="s">
        <v>682</v>
      </c>
      <c r="B315" s="359" t="s">
        <v>683</v>
      </c>
      <c r="C315" s="366">
        <v>2072</v>
      </c>
      <c r="D315" s="366">
        <v>4</v>
      </c>
      <c r="E315" s="366">
        <v>169</v>
      </c>
      <c r="F315" s="366">
        <v>253</v>
      </c>
      <c r="G315" s="366">
        <v>1339</v>
      </c>
      <c r="H315" s="363">
        <v>3837</v>
      </c>
      <c r="I315" s="363">
        <v>2498</v>
      </c>
      <c r="J315" s="366">
        <v>0</v>
      </c>
      <c r="K315" s="364">
        <v>132.69999999999999</v>
      </c>
      <c r="L315" s="364">
        <v>131.13</v>
      </c>
      <c r="M315" s="364">
        <v>7.64</v>
      </c>
      <c r="N315" s="364">
        <v>139.63</v>
      </c>
      <c r="O315" s="365">
        <v>1851</v>
      </c>
      <c r="P315" s="364">
        <v>112.58</v>
      </c>
      <c r="Q315" s="364">
        <v>112.71</v>
      </c>
      <c r="R315" s="364">
        <v>44.59</v>
      </c>
      <c r="S315" s="364">
        <v>155.54</v>
      </c>
      <c r="T315" s="365">
        <v>299</v>
      </c>
      <c r="U315" s="364">
        <v>170.96</v>
      </c>
      <c r="V315" s="365">
        <v>172</v>
      </c>
      <c r="W315" s="364">
        <v>152.59</v>
      </c>
      <c r="X315" s="365">
        <v>55</v>
      </c>
      <c r="Y315" s="366">
        <v>0</v>
      </c>
      <c r="Z315" s="366">
        <v>1</v>
      </c>
      <c r="AA315" s="366">
        <v>2</v>
      </c>
      <c r="AB315" s="366">
        <v>121</v>
      </c>
      <c r="AC315" s="366">
        <v>21</v>
      </c>
      <c r="AD315" s="366">
        <v>2043</v>
      </c>
      <c r="AE315" s="366">
        <v>18</v>
      </c>
      <c r="AF315" s="366">
        <v>7</v>
      </c>
      <c r="AG315" s="366">
        <v>25</v>
      </c>
    </row>
    <row r="316" spans="1:33" x14ac:dyDescent="0.2">
      <c r="A316" s="359" t="s">
        <v>684</v>
      </c>
      <c r="B316" s="359" t="s">
        <v>685</v>
      </c>
      <c r="C316" s="366">
        <v>4917</v>
      </c>
      <c r="D316" s="366">
        <v>7</v>
      </c>
      <c r="E316" s="366">
        <v>561</v>
      </c>
      <c r="F316" s="366">
        <v>1280</v>
      </c>
      <c r="G316" s="366">
        <v>291</v>
      </c>
      <c r="H316" s="363">
        <v>7056</v>
      </c>
      <c r="I316" s="363">
        <v>6765</v>
      </c>
      <c r="J316" s="366">
        <v>72</v>
      </c>
      <c r="K316" s="364">
        <v>89.17</v>
      </c>
      <c r="L316" s="364">
        <v>85.2</v>
      </c>
      <c r="M316" s="364">
        <v>7.55</v>
      </c>
      <c r="N316" s="364">
        <v>95.8</v>
      </c>
      <c r="O316" s="365">
        <v>4076</v>
      </c>
      <c r="P316" s="364">
        <v>99.61</v>
      </c>
      <c r="Q316" s="364">
        <v>84.86</v>
      </c>
      <c r="R316" s="364">
        <v>63.9</v>
      </c>
      <c r="S316" s="364">
        <v>162.09</v>
      </c>
      <c r="T316" s="365">
        <v>1574</v>
      </c>
      <c r="U316" s="364">
        <v>111.98</v>
      </c>
      <c r="V316" s="365">
        <v>691</v>
      </c>
      <c r="W316" s="364">
        <v>178.68</v>
      </c>
      <c r="X316" s="365">
        <v>36</v>
      </c>
      <c r="Y316" s="366">
        <v>15</v>
      </c>
      <c r="Z316" s="366">
        <v>2</v>
      </c>
      <c r="AA316" s="366">
        <v>2</v>
      </c>
      <c r="AB316" s="366">
        <v>33</v>
      </c>
      <c r="AC316" s="366">
        <v>4</v>
      </c>
      <c r="AD316" s="366">
        <v>4904</v>
      </c>
      <c r="AE316" s="366">
        <v>63</v>
      </c>
      <c r="AF316" s="366">
        <v>6</v>
      </c>
      <c r="AG316" s="366">
        <v>69</v>
      </c>
    </row>
    <row r="317" spans="1:33" x14ac:dyDescent="0.2">
      <c r="A317" s="359" t="s">
        <v>686</v>
      </c>
      <c r="B317" s="359" t="s">
        <v>687</v>
      </c>
      <c r="C317" s="366">
        <v>6201</v>
      </c>
      <c r="D317" s="366">
        <v>46</v>
      </c>
      <c r="E317" s="366">
        <v>482</v>
      </c>
      <c r="F317" s="366">
        <v>946</v>
      </c>
      <c r="G317" s="366">
        <v>482</v>
      </c>
      <c r="H317" s="363">
        <v>8157</v>
      </c>
      <c r="I317" s="363">
        <v>7675</v>
      </c>
      <c r="J317" s="366">
        <v>14</v>
      </c>
      <c r="K317" s="364">
        <v>87.74</v>
      </c>
      <c r="L317" s="364">
        <v>89.09</v>
      </c>
      <c r="M317" s="364">
        <v>5.74</v>
      </c>
      <c r="N317" s="364">
        <v>93.06</v>
      </c>
      <c r="O317" s="365">
        <v>5287</v>
      </c>
      <c r="P317" s="364">
        <v>85.44</v>
      </c>
      <c r="Q317" s="364">
        <v>79.569999999999993</v>
      </c>
      <c r="R317" s="364">
        <v>47.9</v>
      </c>
      <c r="S317" s="364">
        <v>132.61000000000001</v>
      </c>
      <c r="T317" s="365">
        <v>1113</v>
      </c>
      <c r="U317" s="364">
        <v>112.39</v>
      </c>
      <c r="V317" s="365">
        <v>861</v>
      </c>
      <c r="W317" s="364">
        <v>196.1</v>
      </c>
      <c r="X317" s="365">
        <v>162</v>
      </c>
      <c r="Y317" s="366">
        <v>0</v>
      </c>
      <c r="Z317" s="366">
        <v>13</v>
      </c>
      <c r="AA317" s="366">
        <v>3</v>
      </c>
      <c r="AB317" s="366">
        <v>56</v>
      </c>
      <c r="AC317" s="366">
        <v>4</v>
      </c>
      <c r="AD317" s="366">
        <v>6152</v>
      </c>
      <c r="AE317" s="366">
        <v>35</v>
      </c>
      <c r="AF317" s="366">
        <v>9</v>
      </c>
      <c r="AG317" s="366">
        <v>44</v>
      </c>
    </row>
    <row r="318" spans="1:33" x14ac:dyDescent="0.2">
      <c r="A318" s="359" t="s">
        <v>688</v>
      </c>
      <c r="B318" s="359" t="s">
        <v>689</v>
      </c>
      <c r="C318" s="366">
        <v>4087</v>
      </c>
      <c r="D318" s="366">
        <v>2</v>
      </c>
      <c r="E318" s="366">
        <v>227</v>
      </c>
      <c r="F318" s="366">
        <v>557</v>
      </c>
      <c r="G318" s="366">
        <v>168</v>
      </c>
      <c r="H318" s="363">
        <v>5041</v>
      </c>
      <c r="I318" s="363">
        <v>4873</v>
      </c>
      <c r="J318" s="366">
        <v>56</v>
      </c>
      <c r="K318" s="364">
        <v>102.55</v>
      </c>
      <c r="L318" s="364">
        <v>100.98</v>
      </c>
      <c r="M318" s="364">
        <v>6.95</v>
      </c>
      <c r="N318" s="364">
        <v>106.88</v>
      </c>
      <c r="O318" s="365">
        <v>3713</v>
      </c>
      <c r="P318" s="364">
        <v>89.91</v>
      </c>
      <c r="Q318" s="364">
        <v>84.79</v>
      </c>
      <c r="R318" s="364">
        <v>40.57</v>
      </c>
      <c r="S318" s="364">
        <v>130.1</v>
      </c>
      <c r="T318" s="365">
        <v>543</v>
      </c>
      <c r="U318" s="364">
        <v>150.41</v>
      </c>
      <c r="V318" s="365">
        <v>229</v>
      </c>
      <c r="W318" s="364">
        <v>158.77000000000001</v>
      </c>
      <c r="X318" s="365">
        <v>35</v>
      </c>
      <c r="Y318" s="366">
        <v>0</v>
      </c>
      <c r="Z318" s="366">
        <v>3</v>
      </c>
      <c r="AA318" s="366">
        <v>10</v>
      </c>
      <c r="AB318" s="366">
        <v>11</v>
      </c>
      <c r="AC318" s="366">
        <v>2</v>
      </c>
      <c r="AD318" s="366">
        <v>4071</v>
      </c>
      <c r="AE318" s="366">
        <v>9</v>
      </c>
      <c r="AF318" s="366">
        <v>10</v>
      </c>
      <c r="AG318" s="366">
        <v>19</v>
      </c>
    </row>
    <row r="319" spans="1:33" x14ac:dyDescent="0.2">
      <c r="A319" s="359" t="s">
        <v>690</v>
      </c>
      <c r="B319" s="359" t="s">
        <v>691</v>
      </c>
      <c r="C319" s="366">
        <v>8120</v>
      </c>
      <c r="D319" s="366">
        <v>7</v>
      </c>
      <c r="E319" s="366">
        <v>105</v>
      </c>
      <c r="F319" s="366">
        <v>899</v>
      </c>
      <c r="G319" s="366">
        <v>664</v>
      </c>
      <c r="H319" s="363">
        <v>9795</v>
      </c>
      <c r="I319" s="363">
        <v>9131</v>
      </c>
      <c r="J319" s="366">
        <v>3</v>
      </c>
      <c r="K319" s="364">
        <v>95.41</v>
      </c>
      <c r="L319" s="364">
        <v>93.68</v>
      </c>
      <c r="M319" s="364">
        <v>4.3</v>
      </c>
      <c r="N319" s="364">
        <v>97.74</v>
      </c>
      <c r="O319" s="365">
        <v>6947</v>
      </c>
      <c r="P319" s="364">
        <v>86.59</v>
      </c>
      <c r="Q319" s="364">
        <v>83.98</v>
      </c>
      <c r="R319" s="364">
        <v>36.090000000000003</v>
      </c>
      <c r="S319" s="364">
        <v>121.25</v>
      </c>
      <c r="T319" s="365">
        <v>860</v>
      </c>
      <c r="U319" s="364">
        <v>118.89</v>
      </c>
      <c r="V319" s="365">
        <v>1172</v>
      </c>
      <c r="W319" s="364">
        <v>224.36</v>
      </c>
      <c r="X319" s="365">
        <v>84</v>
      </c>
      <c r="Y319" s="366">
        <v>0</v>
      </c>
      <c r="Z319" s="366">
        <v>7</v>
      </c>
      <c r="AA319" s="366">
        <v>0</v>
      </c>
      <c r="AB319" s="366">
        <v>24</v>
      </c>
      <c r="AC319" s="366">
        <v>10</v>
      </c>
      <c r="AD319" s="366">
        <v>8120</v>
      </c>
      <c r="AE319" s="366">
        <v>58</v>
      </c>
      <c r="AF319" s="366">
        <v>15</v>
      </c>
      <c r="AG319" s="366">
        <v>73</v>
      </c>
    </row>
    <row r="320" spans="1:33" x14ac:dyDescent="0.2">
      <c r="A320" s="359" t="s">
        <v>692</v>
      </c>
      <c r="B320" s="359" t="s">
        <v>693</v>
      </c>
      <c r="C320" s="366">
        <v>3263</v>
      </c>
      <c r="D320" s="366">
        <v>0</v>
      </c>
      <c r="E320" s="366">
        <v>344</v>
      </c>
      <c r="F320" s="366">
        <v>387</v>
      </c>
      <c r="G320" s="366">
        <v>275</v>
      </c>
      <c r="H320" s="363">
        <v>4269</v>
      </c>
      <c r="I320" s="363">
        <v>3994</v>
      </c>
      <c r="J320" s="366">
        <v>60</v>
      </c>
      <c r="K320" s="364">
        <v>87.25</v>
      </c>
      <c r="L320" s="364">
        <v>86.72</v>
      </c>
      <c r="M320" s="364">
        <v>4.38</v>
      </c>
      <c r="N320" s="364">
        <v>89.84</v>
      </c>
      <c r="O320" s="365">
        <v>2820</v>
      </c>
      <c r="P320" s="364">
        <v>100.5</v>
      </c>
      <c r="Q320" s="364">
        <v>86.92</v>
      </c>
      <c r="R320" s="364">
        <v>39.299999999999997</v>
      </c>
      <c r="S320" s="364">
        <v>138.72</v>
      </c>
      <c r="T320" s="365">
        <v>580</v>
      </c>
      <c r="U320" s="364">
        <v>110.33</v>
      </c>
      <c r="V320" s="365">
        <v>388</v>
      </c>
      <c r="W320" s="364">
        <v>178.15</v>
      </c>
      <c r="X320" s="365">
        <v>72</v>
      </c>
      <c r="Y320" s="366">
        <v>0</v>
      </c>
      <c r="Z320" s="366">
        <v>3</v>
      </c>
      <c r="AA320" s="366">
        <v>0</v>
      </c>
      <c r="AB320" s="366">
        <v>47</v>
      </c>
      <c r="AC320" s="366">
        <v>7</v>
      </c>
      <c r="AD320" s="366">
        <v>3221</v>
      </c>
      <c r="AE320" s="366">
        <v>10</v>
      </c>
      <c r="AF320" s="366">
        <v>20</v>
      </c>
      <c r="AG320" s="366">
        <v>30</v>
      </c>
    </row>
    <row r="321" spans="1:33" x14ac:dyDescent="0.2">
      <c r="A321" s="359" t="s">
        <v>694</v>
      </c>
      <c r="B321" s="359" t="s">
        <v>695</v>
      </c>
      <c r="C321" s="366">
        <v>4425</v>
      </c>
      <c r="D321" s="366">
        <v>0</v>
      </c>
      <c r="E321" s="366">
        <v>2166</v>
      </c>
      <c r="F321" s="366">
        <v>69</v>
      </c>
      <c r="G321" s="366">
        <v>463</v>
      </c>
      <c r="H321" s="363">
        <v>7123</v>
      </c>
      <c r="I321" s="363">
        <v>6660</v>
      </c>
      <c r="J321" s="366">
        <v>0</v>
      </c>
      <c r="K321" s="364">
        <v>88.89</v>
      </c>
      <c r="L321" s="364">
        <v>86.14</v>
      </c>
      <c r="M321" s="364">
        <v>4.67</v>
      </c>
      <c r="N321" s="364">
        <v>93.37</v>
      </c>
      <c r="O321" s="365">
        <v>4021</v>
      </c>
      <c r="P321" s="364">
        <v>85.84</v>
      </c>
      <c r="Q321" s="364">
        <v>79.53</v>
      </c>
      <c r="R321" s="364">
        <v>17.34</v>
      </c>
      <c r="S321" s="364">
        <v>103.18</v>
      </c>
      <c r="T321" s="365">
        <v>2102</v>
      </c>
      <c r="U321" s="364">
        <v>103.84</v>
      </c>
      <c r="V321" s="365">
        <v>375</v>
      </c>
      <c r="W321" s="364">
        <v>205.85</v>
      </c>
      <c r="X321" s="365">
        <v>126</v>
      </c>
      <c r="Y321" s="366">
        <v>0</v>
      </c>
      <c r="Z321" s="366">
        <v>15</v>
      </c>
      <c r="AA321" s="366">
        <v>38</v>
      </c>
      <c r="AB321" s="366">
        <v>19</v>
      </c>
      <c r="AC321" s="366">
        <v>15</v>
      </c>
      <c r="AD321" s="366">
        <v>4425</v>
      </c>
      <c r="AE321" s="366">
        <v>31</v>
      </c>
      <c r="AF321" s="366">
        <v>79</v>
      </c>
      <c r="AG321" s="366">
        <v>110</v>
      </c>
    </row>
    <row r="322" spans="1:33" x14ac:dyDescent="0.2">
      <c r="A322" s="359" t="s">
        <v>696</v>
      </c>
      <c r="B322" s="359" t="s">
        <v>697</v>
      </c>
      <c r="C322" s="366">
        <v>4002</v>
      </c>
      <c r="D322" s="366">
        <v>6</v>
      </c>
      <c r="E322" s="366">
        <v>297</v>
      </c>
      <c r="F322" s="366">
        <v>721</v>
      </c>
      <c r="G322" s="366">
        <v>410</v>
      </c>
      <c r="H322" s="363">
        <v>5436</v>
      </c>
      <c r="I322" s="363">
        <v>5026</v>
      </c>
      <c r="J322" s="366">
        <v>69</v>
      </c>
      <c r="K322" s="364">
        <v>94.33</v>
      </c>
      <c r="L322" s="364">
        <v>92.57</v>
      </c>
      <c r="M322" s="364">
        <v>7.71</v>
      </c>
      <c r="N322" s="364">
        <v>98.1</v>
      </c>
      <c r="O322" s="365">
        <v>3087</v>
      </c>
      <c r="P322" s="364">
        <v>85.84</v>
      </c>
      <c r="Q322" s="364">
        <v>75.040000000000006</v>
      </c>
      <c r="R322" s="364">
        <v>30.36</v>
      </c>
      <c r="S322" s="364">
        <v>115.68</v>
      </c>
      <c r="T322" s="365">
        <v>701</v>
      </c>
      <c r="U322" s="364">
        <v>108.79</v>
      </c>
      <c r="V322" s="365">
        <v>506</v>
      </c>
      <c r="W322" s="364">
        <v>0</v>
      </c>
      <c r="X322" s="365">
        <v>0</v>
      </c>
      <c r="Y322" s="366">
        <v>0</v>
      </c>
      <c r="Z322" s="366">
        <v>0</v>
      </c>
      <c r="AA322" s="366">
        <v>2</v>
      </c>
      <c r="AB322" s="366">
        <v>0</v>
      </c>
      <c r="AC322" s="366">
        <v>12</v>
      </c>
      <c r="AD322" s="366">
        <v>3661</v>
      </c>
      <c r="AE322" s="366">
        <v>44</v>
      </c>
      <c r="AF322" s="366">
        <v>7</v>
      </c>
      <c r="AG322" s="366">
        <v>51</v>
      </c>
    </row>
  </sheetData>
  <pageMargins left="0.7" right="0.7" top="0.75" bottom="0.75" header="0.3" footer="0.3"/>
  <pageSetup paperSize="9" orientation="portrait" r:id="rId1"/>
  <headerFooter>
    <oddFooter>&amp;C&amp;1#&amp;"Calibri"&amp;12&amp;K0078D7OFFICIAL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D28CE-0B00-43D8-B420-60F52B3ECD0E}">
  <sheetPr codeName="Sheet14">
    <tabColor rgb="FFFFFF00"/>
  </sheetPr>
  <dimension ref="A1:AG322"/>
  <sheetViews>
    <sheetView zoomScale="80" zoomScaleNormal="80" workbookViewId="0">
      <selection sqref="A1:XFD1048576"/>
    </sheetView>
  </sheetViews>
  <sheetFormatPr defaultColWidth="8.7109375" defaultRowHeight="12.75" x14ac:dyDescent="0.2"/>
  <cols>
    <col min="1" max="2" width="8.7109375" style="361"/>
    <col min="3" max="14" width="8.85546875" style="361" bestFit="1" customWidth="1"/>
    <col min="15" max="15" width="10.42578125" style="361" bestFit="1" customWidth="1"/>
    <col min="16" max="19" width="8.85546875" style="361" bestFit="1" customWidth="1"/>
    <col min="20" max="20" width="9.85546875" style="361" bestFit="1" customWidth="1"/>
    <col min="21" max="21" width="8.85546875" style="361" bestFit="1" customWidth="1"/>
    <col min="22" max="22" width="9.85546875" style="361" bestFit="1" customWidth="1"/>
    <col min="23" max="33" width="8.85546875" style="361" bestFit="1" customWidth="1"/>
    <col min="34" max="16384" width="8.7109375" style="361"/>
  </cols>
  <sheetData>
    <row r="1" spans="1:33" x14ac:dyDescent="0.2">
      <c r="A1" s="134"/>
      <c r="B1" s="134"/>
      <c r="C1" s="135" t="s">
        <v>38</v>
      </c>
      <c r="D1" s="135" t="s">
        <v>38</v>
      </c>
      <c r="E1" s="135" t="s">
        <v>38</v>
      </c>
      <c r="F1" s="135" t="s">
        <v>38</v>
      </c>
      <c r="G1" s="135" t="s">
        <v>38</v>
      </c>
      <c r="H1" s="135" t="s">
        <v>38</v>
      </c>
      <c r="I1" s="136" t="s">
        <v>39</v>
      </c>
      <c r="J1" s="136" t="s">
        <v>39</v>
      </c>
      <c r="K1" s="137" t="s">
        <v>40</v>
      </c>
      <c r="L1" s="137" t="s">
        <v>40</v>
      </c>
      <c r="M1" s="137" t="s">
        <v>40</v>
      </c>
      <c r="N1" s="138" t="s">
        <v>40</v>
      </c>
      <c r="O1" s="137" t="s">
        <v>40</v>
      </c>
      <c r="P1" s="139" t="s">
        <v>41</v>
      </c>
      <c r="Q1" s="139" t="s">
        <v>41</v>
      </c>
      <c r="R1" s="139" t="s">
        <v>41</v>
      </c>
      <c r="S1" s="139" t="s">
        <v>41</v>
      </c>
      <c r="T1" s="139" t="s">
        <v>41</v>
      </c>
      <c r="U1" s="140" t="s">
        <v>42</v>
      </c>
      <c r="V1" s="140" t="s">
        <v>42</v>
      </c>
      <c r="W1" s="141" t="s">
        <v>43</v>
      </c>
      <c r="X1" s="141" t="s">
        <v>43</v>
      </c>
      <c r="Y1" s="142" t="s">
        <v>44</v>
      </c>
      <c r="Z1" s="142" t="s">
        <v>44</v>
      </c>
      <c r="AA1" s="142" t="s">
        <v>44</v>
      </c>
      <c r="AB1" s="142" t="s">
        <v>44</v>
      </c>
      <c r="AC1" s="142" t="s">
        <v>44</v>
      </c>
      <c r="AD1" s="143" t="s">
        <v>45</v>
      </c>
      <c r="AE1" s="143" t="s">
        <v>45</v>
      </c>
      <c r="AF1" s="143" t="s">
        <v>45</v>
      </c>
      <c r="AG1" s="143" t="s">
        <v>45</v>
      </c>
    </row>
    <row r="2" spans="1:33" x14ac:dyDescent="0.2">
      <c r="A2" s="145"/>
      <c r="B2" s="146">
        <v>1</v>
      </c>
      <c r="C2" s="146">
        <v>2</v>
      </c>
      <c r="D2" s="146">
        <v>3</v>
      </c>
      <c r="E2" s="146">
        <v>4</v>
      </c>
      <c r="F2" s="146">
        <v>5</v>
      </c>
      <c r="G2" s="146">
        <v>6</v>
      </c>
      <c r="H2" s="146">
        <v>7</v>
      </c>
      <c r="I2" s="146">
        <v>8</v>
      </c>
      <c r="J2" s="146">
        <v>9</v>
      </c>
      <c r="K2" s="146">
        <v>10</v>
      </c>
      <c r="L2" s="146">
        <v>11</v>
      </c>
      <c r="M2" s="146">
        <v>12</v>
      </c>
      <c r="N2" s="146">
        <v>13</v>
      </c>
      <c r="O2" s="146">
        <v>14</v>
      </c>
      <c r="P2" s="146">
        <v>15</v>
      </c>
      <c r="Q2" s="146">
        <v>16</v>
      </c>
      <c r="R2" s="146">
        <v>17</v>
      </c>
      <c r="S2" s="146">
        <v>18</v>
      </c>
      <c r="T2" s="146">
        <v>19</v>
      </c>
      <c r="U2" s="146">
        <v>20</v>
      </c>
      <c r="V2" s="146">
        <v>21</v>
      </c>
      <c r="W2" s="146">
        <v>22</v>
      </c>
      <c r="X2" s="146">
        <v>23</v>
      </c>
      <c r="Y2" s="146">
        <v>24</v>
      </c>
      <c r="Z2" s="146">
        <v>25</v>
      </c>
      <c r="AA2" s="146">
        <v>26</v>
      </c>
      <c r="AB2" s="146">
        <v>27</v>
      </c>
      <c r="AC2" s="146">
        <v>28</v>
      </c>
      <c r="AD2" s="146">
        <v>29</v>
      </c>
      <c r="AE2" s="146">
        <v>30</v>
      </c>
      <c r="AF2" s="146">
        <v>31</v>
      </c>
      <c r="AG2" s="146">
        <v>32</v>
      </c>
    </row>
    <row r="3" spans="1:33" ht="76.5" x14ac:dyDescent="0.2">
      <c r="A3" s="145" t="s">
        <v>46</v>
      </c>
      <c r="B3" s="145" t="s">
        <v>47</v>
      </c>
      <c r="C3" s="147" t="s">
        <v>48</v>
      </c>
      <c r="D3" s="147" t="s">
        <v>49</v>
      </c>
      <c r="E3" s="147" t="s">
        <v>50</v>
      </c>
      <c r="F3" s="147" t="s">
        <v>51</v>
      </c>
      <c r="G3" s="147" t="s">
        <v>52</v>
      </c>
      <c r="H3" s="147" t="s">
        <v>53</v>
      </c>
      <c r="I3" s="148" t="s">
        <v>54</v>
      </c>
      <c r="J3" s="148" t="s">
        <v>55</v>
      </c>
      <c r="K3" s="149" t="s">
        <v>56</v>
      </c>
      <c r="L3" s="149" t="s">
        <v>57</v>
      </c>
      <c r="M3" s="149" t="s">
        <v>58</v>
      </c>
      <c r="N3" s="150" t="s">
        <v>59</v>
      </c>
      <c r="O3" s="149" t="s">
        <v>60</v>
      </c>
      <c r="P3" s="151" t="s">
        <v>61</v>
      </c>
      <c r="Q3" s="151" t="s">
        <v>62</v>
      </c>
      <c r="R3" s="151" t="s">
        <v>58</v>
      </c>
      <c r="S3" s="151" t="s">
        <v>63</v>
      </c>
      <c r="T3" s="151" t="s">
        <v>64</v>
      </c>
      <c r="U3" s="152" t="s">
        <v>65</v>
      </c>
      <c r="V3" s="152" t="s">
        <v>66</v>
      </c>
      <c r="W3" s="153" t="s">
        <v>67</v>
      </c>
      <c r="X3" s="153" t="s">
        <v>68</v>
      </c>
      <c r="Y3" s="154" t="s">
        <v>69</v>
      </c>
      <c r="Z3" s="154" t="s">
        <v>70</v>
      </c>
      <c r="AA3" s="154" t="s">
        <v>71</v>
      </c>
      <c r="AB3" s="154" t="s">
        <v>72</v>
      </c>
      <c r="AC3" s="154" t="s">
        <v>73</v>
      </c>
      <c r="AD3" s="155" t="s">
        <v>74</v>
      </c>
      <c r="AE3" s="155" t="s">
        <v>75</v>
      </c>
      <c r="AF3" s="155" t="s">
        <v>76</v>
      </c>
      <c r="AG3" s="155" t="s">
        <v>77</v>
      </c>
    </row>
    <row r="4" spans="1:33" x14ac:dyDescent="0.2">
      <c r="A4" s="359" t="s">
        <v>13</v>
      </c>
      <c r="B4" s="359" t="s">
        <v>13</v>
      </c>
      <c r="C4" s="363">
        <v>2206601</v>
      </c>
      <c r="D4" s="363">
        <v>10058</v>
      </c>
      <c r="E4" s="363">
        <v>140323</v>
      </c>
      <c r="F4" s="363">
        <v>262072</v>
      </c>
      <c r="G4" s="363">
        <v>223546</v>
      </c>
      <c r="H4" s="363">
        <v>2842600</v>
      </c>
      <c r="I4" s="363">
        <v>2619054</v>
      </c>
      <c r="J4" s="363">
        <v>6692</v>
      </c>
      <c r="K4" s="364">
        <v>98.05</v>
      </c>
      <c r="L4" s="364">
        <v>97.56</v>
      </c>
      <c r="M4" s="364">
        <v>7.25</v>
      </c>
      <c r="N4" s="364">
        <v>102.48</v>
      </c>
      <c r="O4" s="365">
        <v>1826339</v>
      </c>
      <c r="P4" s="364">
        <v>95.6</v>
      </c>
      <c r="Q4" s="364">
        <v>86.71</v>
      </c>
      <c r="R4" s="364">
        <v>46</v>
      </c>
      <c r="S4" s="364">
        <v>139.35</v>
      </c>
      <c r="T4" s="365">
        <v>333961</v>
      </c>
      <c r="U4" s="364">
        <v>136.72</v>
      </c>
      <c r="V4" s="365">
        <v>294526</v>
      </c>
      <c r="W4" s="364">
        <v>181.29</v>
      </c>
      <c r="X4" s="365">
        <v>14731</v>
      </c>
      <c r="Y4" s="363">
        <v>8745</v>
      </c>
      <c r="Z4" s="363">
        <v>4812</v>
      </c>
      <c r="AA4" s="363">
        <v>2816</v>
      </c>
      <c r="AB4" s="363">
        <v>16861</v>
      </c>
      <c r="AC4" s="363">
        <v>5982</v>
      </c>
      <c r="AD4" s="363">
        <v>2150753</v>
      </c>
      <c r="AE4" s="363">
        <v>17696</v>
      </c>
      <c r="AF4" s="363">
        <v>14009</v>
      </c>
      <c r="AG4" s="363">
        <v>31705</v>
      </c>
    </row>
    <row r="5" spans="1:33" x14ac:dyDescent="0.2">
      <c r="A5" s="360" t="s">
        <v>78</v>
      </c>
      <c r="B5" s="360" t="s">
        <v>78</v>
      </c>
      <c r="C5" s="366">
        <v>118801</v>
      </c>
      <c r="D5" s="366">
        <v>567</v>
      </c>
      <c r="E5" s="366">
        <v>9179</v>
      </c>
      <c r="F5" s="366">
        <v>22205</v>
      </c>
      <c r="G5" s="366">
        <v>16161</v>
      </c>
      <c r="H5" s="363">
        <v>166913</v>
      </c>
      <c r="I5" s="363">
        <v>150752</v>
      </c>
      <c r="J5" s="366">
        <v>156</v>
      </c>
      <c r="K5" s="364">
        <v>90.53</v>
      </c>
      <c r="L5" s="364">
        <v>89.08</v>
      </c>
      <c r="M5" s="364">
        <v>5.31</v>
      </c>
      <c r="N5" s="364">
        <v>93.99</v>
      </c>
      <c r="O5" s="365">
        <v>95158</v>
      </c>
      <c r="P5" s="364">
        <v>92.2</v>
      </c>
      <c r="Q5" s="364">
        <v>81.430000000000007</v>
      </c>
      <c r="R5" s="364">
        <v>43.27</v>
      </c>
      <c r="S5" s="364">
        <v>133.36000000000001</v>
      </c>
      <c r="T5" s="365">
        <v>27911</v>
      </c>
      <c r="U5" s="364">
        <v>113</v>
      </c>
      <c r="V5" s="365">
        <v>19062</v>
      </c>
      <c r="W5" s="364">
        <v>165.01</v>
      </c>
      <c r="X5" s="365">
        <v>745</v>
      </c>
      <c r="Y5" s="366">
        <v>763</v>
      </c>
      <c r="Z5" s="366">
        <v>223</v>
      </c>
      <c r="AA5" s="366">
        <v>165</v>
      </c>
      <c r="AB5" s="366">
        <v>1288</v>
      </c>
      <c r="AC5" s="366">
        <v>397</v>
      </c>
      <c r="AD5" s="366">
        <v>116324</v>
      </c>
      <c r="AE5" s="366">
        <v>938</v>
      </c>
      <c r="AF5" s="366">
        <v>651</v>
      </c>
      <c r="AG5" s="366">
        <v>1589</v>
      </c>
    </row>
    <row r="6" spans="1:33" x14ac:dyDescent="0.2">
      <c r="A6" s="360" t="s">
        <v>79</v>
      </c>
      <c r="B6" s="360" t="s">
        <v>79</v>
      </c>
      <c r="C6" s="366">
        <v>226684</v>
      </c>
      <c r="D6" s="366">
        <v>1760</v>
      </c>
      <c r="E6" s="366">
        <v>12055</v>
      </c>
      <c r="F6" s="366">
        <v>27781</v>
      </c>
      <c r="G6" s="366">
        <v>25159</v>
      </c>
      <c r="H6" s="363">
        <v>293439</v>
      </c>
      <c r="I6" s="363">
        <v>268280</v>
      </c>
      <c r="J6" s="366">
        <v>733</v>
      </c>
      <c r="K6" s="364">
        <v>102.05</v>
      </c>
      <c r="L6" s="364">
        <v>101.47</v>
      </c>
      <c r="M6" s="364">
        <v>6.3</v>
      </c>
      <c r="N6" s="364">
        <v>105.44</v>
      </c>
      <c r="O6" s="365">
        <v>184148</v>
      </c>
      <c r="P6" s="364">
        <v>96.99</v>
      </c>
      <c r="Q6" s="364">
        <v>88.68</v>
      </c>
      <c r="R6" s="364">
        <v>41.48</v>
      </c>
      <c r="S6" s="364">
        <v>137.13999999999999</v>
      </c>
      <c r="T6" s="365">
        <v>34295</v>
      </c>
      <c r="U6" s="364">
        <v>144.43</v>
      </c>
      <c r="V6" s="365">
        <v>36610</v>
      </c>
      <c r="W6" s="364">
        <v>198.12</v>
      </c>
      <c r="X6" s="365">
        <v>749</v>
      </c>
      <c r="Y6" s="366">
        <v>861</v>
      </c>
      <c r="Z6" s="366">
        <v>261</v>
      </c>
      <c r="AA6" s="366">
        <v>284</v>
      </c>
      <c r="AB6" s="366">
        <v>2193</v>
      </c>
      <c r="AC6" s="366">
        <v>610</v>
      </c>
      <c r="AD6" s="366">
        <v>224846</v>
      </c>
      <c r="AE6" s="366">
        <v>1887</v>
      </c>
      <c r="AF6" s="366">
        <v>1394</v>
      </c>
      <c r="AG6" s="366">
        <v>3281</v>
      </c>
    </row>
    <row r="7" spans="1:33" x14ac:dyDescent="0.2">
      <c r="A7" s="360" t="s">
        <v>80</v>
      </c>
      <c r="B7" s="360" t="s">
        <v>80</v>
      </c>
      <c r="C7" s="366">
        <v>359727</v>
      </c>
      <c r="D7" s="366">
        <v>5633</v>
      </c>
      <c r="E7" s="366">
        <v>27656</v>
      </c>
      <c r="F7" s="366">
        <v>28060</v>
      </c>
      <c r="G7" s="366">
        <v>53251</v>
      </c>
      <c r="H7" s="363">
        <v>474327</v>
      </c>
      <c r="I7" s="363">
        <v>421076</v>
      </c>
      <c r="J7" s="366">
        <v>2554</v>
      </c>
      <c r="K7" s="364">
        <v>124.82</v>
      </c>
      <c r="L7" s="364">
        <v>128.21</v>
      </c>
      <c r="M7" s="364">
        <v>13.53</v>
      </c>
      <c r="N7" s="364">
        <v>134.79</v>
      </c>
      <c r="O7" s="365">
        <v>288830</v>
      </c>
      <c r="P7" s="364">
        <v>113.9</v>
      </c>
      <c r="Q7" s="364">
        <v>108.7</v>
      </c>
      <c r="R7" s="364">
        <v>61.43</v>
      </c>
      <c r="S7" s="364">
        <v>170.66</v>
      </c>
      <c r="T7" s="365">
        <v>43107</v>
      </c>
      <c r="U7" s="364">
        <v>200.6</v>
      </c>
      <c r="V7" s="365">
        <v>38441</v>
      </c>
      <c r="W7" s="364">
        <v>227.64</v>
      </c>
      <c r="X7" s="365">
        <v>1545</v>
      </c>
      <c r="Y7" s="366">
        <v>1554</v>
      </c>
      <c r="Z7" s="366">
        <v>265</v>
      </c>
      <c r="AA7" s="366">
        <v>410</v>
      </c>
      <c r="AB7" s="366">
        <v>2862</v>
      </c>
      <c r="AC7" s="366">
        <v>1999</v>
      </c>
      <c r="AD7" s="366">
        <v>338609</v>
      </c>
      <c r="AE7" s="366">
        <v>3863</v>
      </c>
      <c r="AF7" s="366">
        <v>2576</v>
      </c>
      <c r="AG7" s="366">
        <v>6439</v>
      </c>
    </row>
    <row r="8" spans="1:33" x14ac:dyDescent="0.2">
      <c r="A8" s="360" t="s">
        <v>81</v>
      </c>
      <c r="B8" s="360" t="s">
        <v>81</v>
      </c>
      <c r="C8" s="366">
        <v>159209</v>
      </c>
      <c r="D8" s="366">
        <v>157</v>
      </c>
      <c r="E8" s="366">
        <v>7115</v>
      </c>
      <c r="F8" s="366">
        <v>16944</v>
      </c>
      <c r="G8" s="366">
        <v>4224</v>
      </c>
      <c r="H8" s="363">
        <v>187649</v>
      </c>
      <c r="I8" s="363">
        <v>183425</v>
      </c>
      <c r="J8" s="366">
        <v>161</v>
      </c>
      <c r="K8" s="364">
        <v>80.52</v>
      </c>
      <c r="L8" s="364">
        <v>80.28</v>
      </c>
      <c r="M8" s="364">
        <v>6.17</v>
      </c>
      <c r="N8" s="364">
        <v>82.52</v>
      </c>
      <c r="O8" s="365">
        <v>139069</v>
      </c>
      <c r="P8" s="364">
        <v>90.55</v>
      </c>
      <c r="Q8" s="364">
        <v>78.010000000000005</v>
      </c>
      <c r="R8" s="364">
        <v>53.53</v>
      </c>
      <c r="S8" s="364">
        <v>139.18</v>
      </c>
      <c r="T8" s="365">
        <v>20292</v>
      </c>
      <c r="U8" s="364">
        <v>100.08</v>
      </c>
      <c r="V8" s="365">
        <v>17599</v>
      </c>
      <c r="W8" s="364">
        <v>163.99</v>
      </c>
      <c r="X8" s="365">
        <v>1957</v>
      </c>
      <c r="Y8" s="366">
        <v>658</v>
      </c>
      <c r="Z8" s="366">
        <v>590</v>
      </c>
      <c r="AA8" s="366">
        <v>84</v>
      </c>
      <c r="AB8" s="366">
        <v>194</v>
      </c>
      <c r="AC8" s="366">
        <v>89</v>
      </c>
      <c r="AD8" s="366">
        <v>157100</v>
      </c>
      <c r="AE8" s="366">
        <v>1275</v>
      </c>
      <c r="AF8" s="366">
        <v>1426</v>
      </c>
      <c r="AG8" s="366">
        <v>2701</v>
      </c>
    </row>
    <row r="9" spans="1:33" x14ac:dyDescent="0.2">
      <c r="A9" s="360" t="s">
        <v>82</v>
      </c>
      <c r="B9" s="360" t="s">
        <v>82</v>
      </c>
      <c r="C9" s="366">
        <v>433492</v>
      </c>
      <c r="D9" s="366">
        <v>138</v>
      </c>
      <c r="E9" s="366">
        <v>24149</v>
      </c>
      <c r="F9" s="366">
        <v>51691</v>
      </c>
      <c r="G9" s="366">
        <v>18996</v>
      </c>
      <c r="H9" s="363">
        <v>528466</v>
      </c>
      <c r="I9" s="363">
        <v>509470</v>
      </c>
      <c r="J9" s="366">
        <v>786</v>
      </c>
      <c r="K9" s="364">
        <v>84.84</v>
      </c>
      <c r="L9" s="364">
        <v>83.93</v>
      </c>
      <c r="M9" s="364">
        <v>5.14</v>
      </c>
      <c r="N9" s="364">
        <v>87.75</v>
      </c>
      <c r="O9" s="365">
        <v>367778</v>
      </c>
      <c r="P9" s="364">
        <v>87.83</v>
      </c>
      <c r="Q9" s="364">
        <v>78.209999999999994</v>
      </c>
      <c r="R9" s="364">
        <v>41.84</v>
      </c>
      <c r="S9" s="364">
        <v>127.17</v>
      </c>
      <c r="T9" s="365">
        <v>66221</v>
      </c>
      <c r="U9" s="364">
        <v>107.86</v>
      </c>
      <c r="V9" s="365">
        <v>54513</v>
      </c>
      <c r="W9" s="364">
        <v>167.18</v>
      </c>
      <c r="X9" s="365">
        <v>2757</v>
      </c>
      <c r="Y9" s="366">
        <v>700</v>
      </c>
      <c r="Z9" s="366">
        <v>1928</v>
      </c>
      <c r="AA9" s="366">
        <v>274</v>
      </c>
      <c r="AB9" s="366">
        <v>1451</v>
      </c>
      <c r="AC9" s="366">
        <v>447</v>
      </c>
      <c r="AD9" s="366">
        <v>423998</v>
      </c>
      <c r="AE9" s="366">
        <v>2673</v>
      </c>
      <c r="AF9" s="366">
        <v>2819</v>
      </c>
      <c r="AG9" s="366">
        <v>5492</v>
      </c>
    </row>
    <row r="10" spans="1:33" x14ac:dyDescent="0.2">
      <c r="A10" s="360" t="s">
        <v>83</v>
      </c>
      <c r="B10" s="360" t="s">
        <v>83</v>
      </c>
      <c r="C10" s="366">
        <v>308243</v>
      </c>
      <c r="D10" s="366">
        <v>1143</v>
      </c>
      <c r="E10" s="366">
        <v>15721</v>
      </c>
      <c r="F10" s="366">
        <v>39365</v>
      </c>
      <c r="G10" s="366">
        <v>51691</v>
      </c>
      <c r="H10" s="363">
        <v>416163</v>
      </c>
      <c r="I10" s="363">
        <v>364472</v>
      </c>
      <c r="J10" s="366">
        <v>1278</v>
      </c>
      <c r="K10" s="364">
        <v>111.3</v>
      </c>
      <c r="L10" s="364">
        <v>109.3</v>
      </c>
      <c r="M10" s="364">
        <v>6.67</v>
      </c>
      <c r="N10" s="364">
        <v>115.53</v>
      </c>
      <c r="O10" s="365">
        <v>246308</v>
      </c>
      <c r="P10" s="364">
        <v>101.9</v>
      </c>
      <c r="Q10" s="364">
        <v>92.58</v>
      </c>
      <c r="R10" s="364">
        <v>40.29</v>
      </c>
      <c r="S10" s="364">
        <v>140.44</v>
      </c>
      <c r="T10" s="365">
        <v>43751</v>
      </c>
      <c r="U10" s="364">
        <v>164.11</v>
      </c>
      <c r="V10" s="365">
        <v>50949</v>
      </c>
      <c r="W10" s="364">
        <v>188.49</v>
      </c>
      <c r="X10" s="365">
        <v>2023</v>
      </c>
      <c r="Y10" s="366">
        <v>2001</v>
      </c>
      <c r="Z10" s="366">
        <v>239</v>
      </c>
      <c r="AA10" s="366">
        <v>374</v>
      </c>
      <c r="AB10" s="366">
        <v>4245</v>
      </c>
      <c r="AC10" s="366">
        <v>1252</v>
      </c>
      <c r="AD10" s="366">
        <v>301173</v>
      </c>
      <c r="AE10" s="366">
        <v>2463</v>
      </c>
      <c r="AF10" s="366">
        <v>1526</v>
      </c>
      <c r="AG10" s="366">
        <v>3989</v>
      </c>
    </row>
    <row r="11" spans="1:33" x14ac:dyDescent="0.2">
      <c r="A11" s="360" t="s">
        <v>84</v>
      </c>
      <c r="B11" s="360" t="s">
        <v>84</v>
      </c>
      <c r="C11" s="366">
        <v>203240</v>
      </c>
      <c r="D11" s="366">
        <v>217</v>
      </c>
      <c r="E11" s="366">
        <v>14528</v>
      </c>
      <c r="F11" s="366">
        <v>30014</v>
      </c>
      <c r="G11" s="366">
        <v>24712</v>
      </c>
      <c r="H11" s="363">
        <v>272711</v>
      </c>
      <c r="I11" s="363">
        <v>247999</v>
      </c>
      <c r="J11" s="366">
        <v>341</v>
      </c>
      <c r="K11" s="364">
        <v>95.43</v>
      </c>
      <c r="L11" s="364">
        <v>93.54</v>
      </c>
      <c r="M11" s="364">
        <v>5.12</v>
      </c>
      <c r="N11" s="364">
        <v>98.97</v>
      </c>
      <c r="O11" s="365">
        <v>165411</v>
      </c>
      <c r="P11" s="364">
        <v>90.48</v>
      </c>
      <c r="Q11" s="364">
        <v>83.83</v>
      </c>
      <c r="R11" s="364">
        <v>36.42</v>
      </c>
      <c r="S11" s="364">
        <v>125.8</v>
      </c>
      <c r="T11" s="365">
        <v>37394</v>
      </c>
      <c r="U11" s="364">
        <v>128.41999999999999</v>
      </c>
      <c r="V11" s="365">
        <v>29809</v>
      </c>
      <c r="W11" s="364">
        <v>147.66999999999999</v>
      </c>
      <c r="X11" s="365">
        <v>1816</v>
      </c>
      <c r="Y11" s="366">
        <v>220</v>
      </c>
      <c r="Z11" s="366">
        <v>337</v>
      </c>
      <c r="AA11" s="366">
        <v>503</v>
      </c>
      <c r="AB11" s="366">
        <v>2017</v>
      </c>
      <c r="AC11" s="366">
        <v>595</v>
      </c>
      <c r="AD11" s="366">
        <v>197287</v>
      </c>
      <c r="AE11" s="366">
        <v>1117</v>
      </c>
      <c r="AF11" s="366">
        <v>1229</v>
      </c>
      <c r="AG11" s="366">
        <v>2346</v>
      </c>
    </row>
    <row r="12" spans="1:33" x14ac:dyDescent="0.2">
      <c r="A12" s="360" t="s">
        <v>85</v>
      </c>
      <c r="B12" s="360" t="s">
        <v>85</v>
      </c>
      <c r="C12" s="366">
        <v>227342</v>
      </c>
      <c r="D12" s="366">
        <v>401</v>
      </c>
      <c r="E12" s="366">
        <v>17290</v>
      </c>
      <c r="F12" s="366">
        <v>27737</v>
      </c>
      <c r="G12" s="366">
        <v>19142</v>
      </c>
      <c r="H12" s="363">
        <v>291912</v>
      </c>
      <c r="I12" s="363">
        <v>272770</v>
      </c>
      <c r="J12" s="366">
        <v>470</v>
      </c>
      <c r="K12" s="364">
        <v>91.42</v>
      </c>
      <c r="L12" s="364">
        <v>90.05</v>
      </c>
      <c r="M12" s="364">
        <v>6.36</v>
      </c>
      <c r="N12" s="364">
        <v>95.72</v>
      </c>
      <c r="O12" s="365">
        <v>195401</v>
      </c>
      <c r="P12" s="364">
        <v>92.01</v>
      </c>
      <c r="Q12" s="364">
        <v>83.53</v>
      </c>
      <c r="R12" s="364">
        <v>54.38</v>
      </c>
      <c r="S12" s="364">
        <v>145.04</v>
      </c>
      <c r="T12" s="365">
        <v>35309</v>
      </c>
      <c r="U12" s="364">
        <v>116.6</v>
      </c>
      <c r="V12" s="365">
        <v>25682</v>
      </c>
      <c r="W12" s="364">
        <v>199.38</v>
      </c>
      <c r="X12" s="365">
        <v>2328</v>
      </c>
      <c r="Y12" s="366">
        <v>1214</v>
      </c>
      <c r="Z12" s="366">
        <v>475</v>
      </c>
      <c r="AA12" s="366">
        <v>563</v>
      </c>
      <c r="AB12" s="366">
        <v>1635</v>
      </c>
      <c r="AC12" s="366">
        <v>410</v>
      </c>
      <c r="AD12" s="366">
        <v>223565</v>
      </c>
      <c r="AE12" s="366">
        <v>2071</v>
      </c>
      <c r="AF12" s="366">
        <v>1281</v>
      </c>
      <c r="AG12" s="366">
        <v>3352</v>
      </c>
    </row>
    <row r="13" spans="1:33" x14ac:dyDescent="0.2">
      <c r="A13" s="360" t="s">
        <v>788</v>
      </c>
      <c r="B13" s="360" t="s">
        <v>788</v>
      </c>
      <c r="C13" s="366">
        <v>169863</v>
      </c>
      <c r="D13" s="366">
        <v>42</v>
      </c>
      <c r="E13" s="366">
        <v>12630</v>
      </c>
      <c r="F13" s="366">
        <v>18275</v>
      </c>
      <c r="G13" s="366">
        <v>10210</v>
      </c>
      <c r="H13" s="363">
        <v>211020</v>
      </c>
      <c r="I13" s="363">
        <v>200810</v>
      </c>
      <c r="J13" s="366">
        <v>213</v>
      </c>
      <c r="K13" s="364">
        <v>84.26</v>
      </c>
      <c r="L13" s="364">
        <v>83.27</v>
      </c>
      <c r="M13" s="364">
        <v>5.14</v>
      </c>
      <c r="N13" s="364">
        <v>87.29</v>
      </c>
      <c r="O13" s="365">
        <v>144236</v>
      </c>
      <c r="P13" s="364">
        <v>92.35</v>
      </c>
      <c r="Q13" s="364">
        <v>78.11</v>
      </c>
      <c r="R13" s="364">
        <v>47.08</v>
      </c>
      <c r="S13" s="364">
        <v>137.84</v>
      </c>
      <c r="T13" s="365">
        <v>25681</v>
      </c>
      <c r="U13" s="364">
        <v>104.74</v>
      </c>
      <c r="V13" s="365">
        <v>21861</v>
      </c>
      <c r="W13" s="364">
        <v>187.53</v>
      </c>
      <c r="X13" s="365">
        <v>811</v>
      </c>
      <c r="Y13" s="366">
        <v>774</v>
      </c>
      <c r="Z13" s="366">
        <v>494</v>
      </c>
      <c r="AA13" s="366">
        <v>159</v>
      </c>
      <c r="AB13" s="366">
        <v>976</v>
      </c>
      <c r="AC13" s="366">
        <v>183</v>
      </c>
      <c r="AD13" s="366">
        <v>167851</v>
      </c>
      <c r="AE13" s="366">
        <v>1409</v>
      </c>
      <c r="AF13" s="366">
        <v>1107</v>
      </c>
      <c r="AG13" s="366">
        <v>2516</v>
      </c>
    </row>
    <row r="14" spans="1:33" x14ac:dyDescent="0.2">
      <c r="A14" s="359" t="s">
        <v>86</v>
      </c>
      <c r="B14" s="359" t="s">
        <v>87</v>
      </c>
      <c r="C14" s="366">
        <v>886</v>
      </c>
      <c r="D14" s="366">
        <v>0</v>
      </c>
      <c r="E14" s="366">
        <v>64</v>
      </c>
      <c r="F14" s="366">
        <v>138</v>
      </c>
      <c r="G14" s="366">
        <v>203</v>
      </c>
      <c r="H14" s="363">
        <v>1291</v>
      </c>
      <c r="I14" s="363">
        <v>1088</v>
      </c>
      <c r="J14" s="366">
        <v>3</v>
      </c>
      <c r="K14" s="364">
        <v>115.15</v>
      </c>
      <c r="L14" s="364">
        <v>112.25</v>
      </c>
      <c r="M14" s="364">
        <v>6.03</v>
      </c>
      <c r="N14" s="364">
        <v>119.51</v>
      </c>
      <c r="O14" s="365">
        <v>721</v>
      </c>
      <c r="P14" s="364">
        <v>87.92</v>
      </c>
      <c r="Q14" s="364">
        <v>83.72</v>
      </c>
      <c r="R14" s="364">
        <v>45.29</v>
      </c>
      <c r="S14" s="364">
        <v>132.97999999999999</v>
      </c>
      <c r="T14" s="365">
        <v>190</v>
      </c>
      <c r="U14" s="364">
        <v>163.86</v>
      </c>
      <c r="V14" s="365">
        <v>132</v>
      </c>
      <c r="W14" s="364">
        <v>0</v>
      </c>
      <c r="X14" s="365">
        <v>0</v>
      </c>
      <c r="Y14" s="366">
        <v>3</v>
      </c>
      <c r="Z14" s="366">
        <v>1</v>
      </c>
      <c r="AA14" s="366">
        <v>0</v>
      </c>
      <c r="AB14" s="366">
        <v>9</v>
      </c>
      <c r="AC14" s="366">
        <v>9</v>
      </c>
      <c r="AD14" s="366">
        <v>865</v>
      </c>
      <c r="AE14" s="366">
        <v>5</v>
      </c>
      <c r="AF14" s="366">
        <v>4</v>
      </c>
      <c r="AG14" s="366">
        <v>9</v>
      </c>
    </row>
    <row r="15" spans="1:33" x14ac:dyDescent="0.2">
      <c r="A15" s="344" t="s">
        <v>88</v>
      </c>
      <c r="B15" s="344" t="s">
        <v>89</v>
      </c>
      <c r="C15" s="345">
        <v>8303</v>
      </c>
      <c r="D15" s="345">
        <v>0</v>
      </c>
      <c r="E15" s="345">
        <v>172</v>
      </c>
      <c r="F15" s="345">
        <v>404</v>
      </c>
      <c r="G15" s="345">
        <v>127</v>
      </c>
      <c r="H15" s="345">
        <v>9006</v>
      </c>
      <c r="I15" s="345">
        <v>8879</v>
      </c>
      <c r="J15" s="345">
        <v>6</v>
      </c>
      <c r="K15" s="345">
        <v>88.09</v>
      </c>
      <c r="L15" s="345">
        <v>85.1</v>
      </c>
      <c r="M15" s="345">
        <v>2.37</v>
      </c>
      <c r="N15" s="345">
        <v>90.07</v>
      </c>
      <c r="O15" s="348">
        <v>7264</v>
      </c>
      <c r="P15" s="345">
        <v>85.81</v>
      </c>
      <c r="Q15" s="345">
        <v>75.83</v>
      </c>
      <c r="R15" s="345">
        <v>44.19</v>
      </c>
      <c r="S15" s="345">
        <v>129.27000000000001</v>
      </c>
      <c r="T15" s="348">
        <v>487</v>
      </c>
      <c r="U15" s="345">
        <v>107.41</v>
      </c>
      <c r="V15" s="348">
        <v>476</v>
      </c>
      <c r="W15" s="345">
        <v>136.57</v>
      </c>
      <c r="X15" s="348">
        <v>51</v>
      </c>
      <c r="Y15" s="345">
        <v>0</v>
      </c>
      <c r="Z15" s="345">
        <v>22</v>
      </c>
      <c r="AA15" s="345">
        <v>5</v>
      </c>
      <c r="AB15" s="345">
        <v>13</v>
      </c>
      <c r="AC15" s="345">
        <v>3</v>
      </c>
      <c r="AD15" s="345">
        <v>7607</v>
      </c>
      <c r="AE15" s="345">
        <v>105</v>
      </c>
      <c r="AF15" s="345">
        <v>38</v>
      </c>
      <c r="AG15" s="345">
        <v>143</v>
      </c>
    </row>
    <row r="16" spans="1:33" x14ac:dyDescent="0.2">
      <c r="A16" s="344" t="s">
        <v>90</v>
      </c>
      <c r="B16" s="344" t="s">
        <v>91</v>
      </c>
      <c r="C16" s="345">
        <v>4785</v>
      </c>
      <c r="D16" s="345">
        <v>0</v>
      </c>
      <c r="E16" s="345">
        <v>156</v>
      </c>
      <c r="F16" s="345">
        <v>2433</v>
      </c>
      <c r="G16" s="345">
        <v>218</v>
      </c>
      <c r="H16" s="345">
        <v>7592</v>
      </c>
      <c r="I16" s="345">
        <v>7374</v>
      </c>
      <c r="J16" s="345">
        <v>3</v>
      </c>
      <c r="K16" s="345">
        <v>91.68</v>
      </c>
      <c r="L16" s="345">
        <v>89.88</v>
      </c>
      <c r="M16" s="345">
        <v>2.42</v>
      </c>
      <c r="N16" s="345">
        <v>93.91</v>
      </c>
      <c r="O16" s="348">
        <v>4264</v>
      </c>
      <c r="P16" s="345">
        <v>86.62</v>
      </c>
      <c r="Q16" s="345">
        <v>80.97</v>
      </c>
      <c r="R16" s="345">
        <v>8.91</v>
      </c>
      <c r="S16" s="345">
        <v>95.47</v>
      </c>
      <c r="T16" s="348">
        <v>2548</v>
      </c>
      <c r="U16" s="345">
        <v>106.81</v>
      </c>
      <c r="V16" s="348">
        <v>473</v>
      </c>
      <c r="W16" s="345">
        <v>0</v>
      </c>
      <c r="X16" s="348">
        <v>0</v>
      </c>
      <c r="Y16" s="345">
        <v>0</v>
      </c>
      <c r="Z16" s="345">
        <v>21</v>
      </c>
      <c r="AA16" s="345">
        <v>0</v>
      </c>
      <c r="AB16" s="345">
        <v>11</v>
      </c>
      <c r="AC16" s="345">
        <v>5</v>
      </c>
      <c r="AD16" s="345">
        <v>4758</v>
      </c>
      <c r="AE16" s="345">
        <v>31</v>
      </c>
      <c r="AF16" s="345">
        <v>6</v>
      </c>
      <c r="AG16" s="345">
        <v>37</v>
      </c>
    </row>
    <row r="17" spans="1:33" x14ac:dyDescent="0.2">
      <c r="A17" s="344" t="s">
        <v>92</v>
      </c>
      <c r="B17" s="344" t="s">
        <v>93</v>
      </c>
      <c r="C17" s="345">
        <v>3091</v>
      </c>
      <c r="D17" s="345">
        <v>1</v>
      </c>
      <c r="E17" s="345">
        <v>220</v>
      </c>
      <c r="F17" s="345">
        <v>378</v>
      </c>
      <c r="G17" s="345">
        <v>797</v>
      </c>
      <c r="H17" s="345">
        <v>4487</v>
      </c>
      <c r="I17" s="345">
        <v>3690</v>
      </c>
      <c r="J17" s="345">
        <v>11</v>
      </c>
      <c r="K17" s="345">
        <v>112.13</v>
      </c>
      <c r="L17" s="345">
        <v>109.79</v>
      </c>
      <c r="M17" s="345">
        <v>5.31</v>
      </c>
      <c r="N17" s="345">
        <v>116.6</v>
      </c>
      <c r="O17" s="348">
        <v>2269</v>
      </c>
      <c r="P17" s="345">
        <v>98.64</v>
      </c>
      <c r="Q17" s="345">
        <v>89.95</v>
      </c>
      <c r="R17" s="345">
        <v>57.66</v>
      </c>
      <c r="S17" s="345">
        <v>155.9</v>
      </c>
      <c r="T17" s="348">
        <v>424</v>
      </c>
      <c r="U17" s="345">
        <v>158.09</v>
      </c>
      <c r="V17" s="348">
        <v>754</v>
      </c>
      <c r="W17" s="345">
        <v>0</v>
      </c>
      <c r="X17" s="348">
        <v>0</v>
      </c>
      <c r="Y17" s="345">
        <v>0</v>
      </c>
      <c r="Z17" s="345">
        <v>1</v>
      </c>
      <c r="AA17" s="345">
        <v>2</v>
      </c>
      <c r="AB17" s="345">
        <v>103</v>
      </c>
      <c r="AC17" s="345">
        <v>18</v>
      </c>
      <c r="AD17" s="345">
        <v>3089</v>
      </c>
      <c r="AE17" s="345">
        <v>9</v>
      </c>
      <c r="AF17" s="345">
        <v>2</v>
      </c>
      <c r="AG17" s="345">
        <v>11</v>
      </c>
    </row>
    <row r="18" spans="1:33" x14ac:dyDescent="0.2">
      <c r="A18" s="344" t="s">
        <v>94</v>
      </c>
      <c r="B18" s="344" t="s">
        <v>95</v>
      </c>
      <c r="C18" s="345">
        <v>1669</v>
      </c>
      <c r="D18" s="345">
        <v>0</v>
      </c>
      <c r="E18" s="345">
        <v>191</v>
      </c>
      <c r="F18" s="345">
        <v>284</v>
      </c>
      <c r="G18" s="345">
        <v>223</v>
      </c>
      <c r="H18" s="345">
        <v>2367</v>
      </c>
      <c r="I18" s="345">
        <v>2144</v>
      </c>
      <c r="J18" s="345">
        <v>2</v>
      </c>
      <c r="K18" s="345">
        <v>88.7</v>
      </c>
      <c r="L18" s="345">
        <v>87.06</v>
      </c>
      <c r="M18" s="345">
        <v>5.5</v>
      </c>
      <c r="N18" s="345">
        <v>91.44</v>
      </c>
      <c r="O18" s="348">
        <v>1329</v>
      </c>
      <c r="P18" s="345">
        <v>103.59</v>
      </c>
      <c r="Q18" s="345">
        <v>87.52</v>
      </c>
      <c r="R18" s="345">
        <v>54.3</v>
      </c>
      <c r="S18" s="345">
        <v>154</v>
      </c>
      <c r="T18" s="348">
        <v>474</v>
      </c>
      <c r="U18" s="345">
        <v>108.47</v>
      </c>
      <c r="V18" s="348">
        <v>268</v>
      </c>
      <c r="W18" s="345">
        <v>0</v>
      </c>
      <c r="X18" s="348">
        <v>0</v>
      </c>
      <c r="Y18" s="345">
        <v>0</v>
      </c>
      <c r="Z18" s="345">
        <v>2</v>
      </c>
      <c r="AA18" s="345">
        <v>10</v>
      </c>
      <c r="AB18" s="345">
        <v>9</v>
      </c>
      <c r="AC18" s="345">
        <v>3</v>
      </c>
      <c r="AD18" s="345">
        <v>1669</v>
      </c>
      <c r="AE18" s="345">
        <v>6</v>
      </c>
      <c r="AF18" s="345">
        <v>35</v>
      </c>
      <c r="AG18" s="345">
        <v>41</v>
      </c>
    </row>
    <row r="19" spans="1:33" x14ac:dyDescent="0.2">
      <c r="A19" s="344" t="s">
        <v>96</v>
      </c>
      <c r="B19" s="344" t="s">
        <v>97</v>
      </c>
      <c r="C19" s="345">
        <v>2411</v>
      </c>
      <c r="D19" s="345">
        <v>0</v>
      </c>
      <c r="E19" s="345">
        <v>109</v>
      </c>
      <c r="F19" s="345">
        <v>276</v>
      </c>
      <c r="G19" s="345">
        <v>920</v>
      </c>
      <c r="H19" s="345">
        <v>3716</v>
      </c>
      <c r="I19" s="345">
        <v>2796</v>
      </c>
      <c r="J19" s="345">
        <v>8</v>
      </c>
      <c r="K19" s="345">
        <v>103.1</v>
      </c>
      <c r="L19" s="345">
        <v>100.8</v>
      </c>
      <c r="M19" s="345">
        <v>6.84</v>
      </c>
      <c r="N19" s="345">
        <v>108.66</v>
      </c>
      <c r="O19" s="348">
        <v>1785</v>
      </c>
      <c r="P19" s="345">
        <v>124.16</v>
      </c>
      <c r="Q19" s="345">
        <v>90.62</v>
      </c>
      <c r="R19" s="345">
        <v>51.81</v>
      </c>
      <c r="S19" s="345">
        <v>171.22</v>
      </c>
      <c r="T19" s="348">
        <v>294</v>
      </c>
      <c r="U19" s="345">
        <v>146.79</v>
      </c>
      <c r="V19" s="348">
        <v>562</v>
      </c>
      <c r="W19" s="345">
        <v>169.13</v>
      </c>
      <c r="X19" s="348">
        <v>91</v>
      </c>
      <c r="Y19" s="345">
        <v>16</v>
      </c>
      <c r="Z19" s="345">
        <v>0</v>
      </c>
      <c r="AA19" s="345">
        <v>0</v>
      </c>
      <c r="AB19" s="345">
        <v>52</v>
      </c>
      <c r="AC19" s="345">
        <v>12</v>
      </c>
      <c r="AD19" s="345">
        <v>2371</v>
      </c>
      <c r="AE19" s="345">
        <v>25</v>
      </c>
      <c r="AF19" s="345">
        <v>0</v>
      </c>
      <c r="AG19" s="345">
        <v>25</v>
      </c>
    </row>
    <row r="20" spans="1:33" x14ac:dyDescent="0.2">
      <c r="A20" s="344" t="s">
        <v>98</v>
      </c>
      <c r="B20" s="344" t="s">
        <v>99</v>
      </c>
      <c r="C20" s="345">
        <v>1933</v>
      </c>
      <c r="D20" s="345">
        <v>0</v>
      </c>
      <c r="E20" s="345">
        <v>132</v>
      </c>
      <c r="F20" s="345">
        <v>90</v>
      </c>
      <c r="G20" s="345">
        <v>199</v>
      </c>
      <c r="H20" s="345">
        <v>2354</v>
      </c>
      <c r="I20" s="345">
        <v>2155</v>
      </c>
      <c r="J20" s="345">
        <v>4</v>
      </c>
      <c r="K20" s="345">
        <v>95.87</v>
      </c>
      <c r="L20" s="345">
        <v>94.16</v>
      </c>
      <c r="M20" s="345">
        <v>4.57</v>
      </c>
      <c r="N20" s="345">
        <v>98.5</v>
      </c>
      <c r="O20" s="348">
        <v>1284</v>
      </c>
      <c r="P20" s="345">
        <v>119.23</v>
      </c>
      <c r="Q20" s="345">
        <v>88.86</v>
      </c>
      <c r="R20" s="345">
        <v>73.959999999999994</v>
      </c>
      <c r="S20" s="345">
        <v>190.36</v>
      </c>
      <c r="T20" s="348">
        <v>209</v>
      </c>
      <c r="U20" s="345">
        <v>126.24</v>
      </c>
      <c r="V20" s="348">
        <v>600</v>
      </c>
      <c r="W20" s="345">
        <v>111.59</v>
      </c>
      <c r="X20" s="348">
        <v>2</v>
      </c>
      <c r="Y20" s="345">
        <v>0</v>
      </c>
      <c r="Z20" s="345">
        <v>0</v>
      </c>
      <c r="AA20" s="345">
        <v>0</v>
      </c>
      <c r="AB20" s="345">
        <v>24</v>
      </c>
      <c r="AC20" s="345">
        <v>1</v>
      </c>
      <c r="AD20" s="345">
        <v>1902</v>
      </c>
      <c r="AE20" s="345">
        <v>10</v>
      </c>
      <c r="AF20" s="345">
        <v>4</v>
      </c>
      <c r="AG20" s="345">
        <v>14</v>
      </c>
    </row>
    <row r="21" spans="1:33" x14ac:dyDescent="0.2">
      <c r="A21" s="344" t="s">
        <v>100</v>
      </c>
      <c r="B21" s="344" t="s">
        <v>101</v>
      </c>
      <c r="C21" s="345">
        <v>4551</v>
      </c>
      <c r="D21" s="345">
        <v>0</v>
      </c>
      <c r="E21" s="345">
        <v>384</v>
      </c>
      <c r="F21" s="345">
        <v>439</v>
      </c>
      <c r="G21" s="345">
        <v>1292</v>
      </c>
      <c r="H21" s="345">
        <v>6666</v>
      </c>
      <c r="I21" s="345">
        <v>5374</v>
      </c>
      <c r="J21" s="345">
        <v>20</v>
      </c>
      <c r="K21" s="345">
        <v>119.77</v>
      </c>
      <c r="L21" s="345">
        <v>117.74</v>
      </c>
      <c r="M21" s="345">
        <v>9.19</v>
      </c>
      <c r="N21" s="345">
        <v>124.78</v>
      </c>
      <c r="O21" s="348">
        <v>2769</v>
      </c>
      <c r="P21" s="345">
        <v>107.5</v>
      </c>
      <c r="Q21" s="345">
        <v>102.92</v>
      </c>
      <c r="R21" s="345">
        <v>64.91</v>
      </c>
      <c r="S21" s="345">
        <v>169.34</v>
      </c>
      <c r="T21" s="348">
        <v>656</v>
      </c>
      <c r="U21" s="345">
        <v>178.31</v>
      </c>
      <c r="V21" s="348">
        <v>934</v>
      </c>
      <c r="W21" s="345">
        <v>185.48</v>
      </c>
      <c r="X21" s="348">
        <v>8</v>
      </c>
      <c r="Y21" s="345">
        <v>0</v>
      </c>
      <c r="Z21" s="345">
        <v>3</v>
      </c>
      <c r="AA21" s="345">
        <v>10</v>
      </c>
      <c r="AB21" s="345">
        <v>110</v>
      </c>
      <c r="AC21" s="345">
        <v>48</v>
      </c>
      <c r="AD21" s="345">
        <v>4466</v>
      </c>
      <c r="AE21" s="345">
        <v>84</v>
      </c>
      <c r="AF21" s="345">
        <v>12</v>
      </c>
      <c r="AG21" s="345">
        <v>96</v>
      </c>
    </row>
    <row r="22" spans="1:33" x14ac:dyDescent="0.2">
      <c r="A22" s="344" t="s">
        <v>102</v>
      </c>
      <c r="B22" s="344" t="s">
        <v>103</v>
      </c>
      <c r="C22" s="345">
        <v>7689</v>
      </c>
      <c r="D22" s="345">
        <v>20</v>
      </c>
      <c r="E22" s="345">
        <v>674</v>
      </c>
      <c r="F22" s="345">
        <v>1151</v>
      </c>
      <c r="G22" s="345">
        <v>1506</v>
      </c>
      <c r="H22" s="345">
        <v>11040</v>
      </c>
      <c r="I22" s="345">
        <v>9534</v>
      </c>
      <c r="J22" s="345">
        <v>22</v>
      </c>
      <c r="K22" s="345">
        <v>130.58000000000001</v>
      </c>
      <c r="L22" s="345">
        <v>129.6</v>
      </c>
      <c r="M22" s="345">
        <v>14.43</v>
      </c>
      <c r="N22" s="345">
        <v>142.83000000000001</v>
      </c>
      <c r="O22" s="348">
        <v>5760</v>
      </c>
      <c r="P22" s="345">
        <v>118.1</v>
      </c>
      <c r="Q22" s="345">
        <v>109.46</v>
      </c>
      <c r="R22" s="345">
        <v>55.85</v>
      </c>
      <c r="S22" s="345">
        <v>168.42</v>
      </c>
      <c r="T22" s="348">
        <v>908</v>
      </c>
      <c r="U22" s="345">
        <v>222.5</v>
      </c>
      <c r="V22" s="348">
        <v>1539</v>
      </c>
      <c r="W22" s="345">
        <v>228.39</v>
      </c>
      <c r="X22" s="348">
        <v>43</v>
      </c>
      <c r="Y22" s="345">
        <v>2</v>
      </c>
      <c r="Z22" s="345">
        <v>3</v>
      </c>
      <c r="AA22" s="345">
        <v>4</v>
      </c>
      <c r="AB22" s="345">
        <v>107</v>
      </c>
      <c r="AC22" s="345">
        <v>53</v>
      </c>
      <c r="AD22" s="345">
        <v>7064</v>
      </c>
      <c r="AE22" s="345">
        <v>38</v>
      </c>
      <c r="AF22" s="345">
        <v>81</v>
      </c>
      <c r="AG22" s="345">
        <v>119</v>
      </c>
    </row>
    <row r="23" spans="1:33" x14ac:dyDescent="0.2">
      <c r="A23" s="344" t="s">
        <v>104</v>
      </c>
      <c r="B23" s="344" t="s">
        <v>105</v>
      </c>
      <c r="C23" s="345">
        <v>3127</v>
      </c>
      <c r="D23" s="345">
        <v>0</v>
      </c>
      <c r="E23" s="345">
        <v>343</v>
      </c>
      <c r="F23" s="345">
        <v>672</v>
      </c>
      <c r="G23" s="345">
        <v>413</v>
      </c>
      <c r="H23" s="345">
        <v>4555</v>
      </c>
      <c r="I23" s="345">
        <v>4142</v>
      </c>
      <c r="J23" s="345">
        <v>0</v>
      </c>
      <c r="K23" s="345">
        <v>87.87</v>
      </c>
      <c r="L23" s="345">
        <v>84.53</v>
      </c>
      <c r="M23" s="345">
        <v>4.99</v>
      </c>
      <c r="N23" s="345">
        <v>90.15</v>
      </c>
      <c r="O23" s="348">
        <v>1868</v>
      </c>
      <c r="P23" s="345">
        <v>91.34</v>
      </c>
      <c r="Q23" s="345">
        <v>82.77</v>
      </c>
      <c r="R23" s="345">
        <v>40.659999999999997</v>
      </c>
      <c r="S23" s="345">
        <v>127.74</v>
      </c>
      <c r="T23" s="348">
        <v>975</v>
      </c>
      <c r="U23" s="345">
        <v>97.43</v>
      </c>
      <c r="V23" s="348">
        <v>1166</v>
      </c>
      <c r="W23" s="345">
        <v>202.38</v>
      </c>
      <c r="X23" s="348">
        <v>10</v>
      </c>
      <c r="Y23" s="345">
        <v>0</v>
      </c>
      <c r="Z23" s="345">
        <v>6</v>
      </c>
      <c r="AA23" s="345">
        <v>12</v>
      </c>
      <c r="AB23" s="345">
        <v>30</v>
      </c>
      <c r="AC23" s="345">
        <v>8</v>
      </c>
      <c r="AD23" s="345">
        <v>3122</v>
      </c>
      <c r="AE23" s="345">
        <v>33</v>
      </c>
      <c r="AF23" s="345">
        <v>22</v>
      </c>
      <c r="AG23" s="345">
        <v>55</v>
      </c>
    </row>
    <row r="24" spans="1:33" x14ac:dyDescent="0.2">
      <c r="A24" s="344" t="s">
        <v>106</v>
      </c>
      <c r="B24" s="344" t="s">
        <v>107</v>
      </c>
      <c r="C24" s="345">
        <v>526</v>
      </c>
      <c r="D24" s="345">
        <v>0</v>
      </c>
      <c r="E24" s="345">
        <v>267</v>
      </c>
      <c r="F24" s="345">
        <v>196</v>
      </c>
      <c r="G24" s="345">
        <v>25</v>
      </c>
      <c r="H24" s="345">
        <v>1014</v>
      </c>
      <c r="I24" s="345">
        <v>989</v>
      </c>
      <c r="J24" s="345">
        <v>3</v>
      </c>
      <c r="K24" s="345">
        <v>82.03</v>
      </c>
      <c r="L24" s="345">
        <v>78.56</v>
      </c>
      <c r="M24" s="345">
        <v>7.36</v>
      </c>
      <c r="N24" s="345">
        <v>86.69</v>
      </c>
      <c r="O24" s="348">
        <v>474</v>
      </c>
      <c r="P24" s="345">
        <v>104.67</v>
      </c>
      <c r="Q24" s="345">
        <v>81.02</v>
      </c>
      <c r="R24" s="345">
        <v>94.33</v>
      </c>
      <c r="S24" s="345">
        <v>199</v>
      </c>
      <c r="T24" s="348">
        <v>422</v>
      </c>
      <c r="U24" s="345">
        <v>109.92</v>
      </c>
      <c r="V24" s="348">
        <v>33</v>
      </c>
      <c r="W24" s="345">
        <v>151.36000000000001</v>
      </c>
      <c r="X24" s="348">
        <v>8</v>
      </c>
      <c r="Y24" s="345">
        <v>0</v>
      </c>
      <c r="Z24" s="345">
        <v>0</v>
      </c>
      <c r="AA24" s="345">
        <v>0</v>
      </c>
      <c r="AB24" s="345">
        <v>14</v>
      </c>
      <c r="AC24" s="345">
        <v>0</v>
      </c>
      <c r="AD24" s="345">
        <v>524</v>
      </c>
      <c r="AE24" s="345">
        <v>2</v>
      </c>
      <c r="AF24" s="345">
        <v>0</v>
      </c>
      <c r="AG24" s="345">
        <v>2</v>
      </c>
    </row>
    <row r="25" spans="1:33" x14ac:dyDescent="0.2">
      <c r="A25" s="344" t="s">
        <v>108</v>
      </c>
      <c r="B25" s="344" t="s">
        <v>109</v>
      </c>
      <c r="C25" s="345">
        <v>5336</v>
      </c>
      <c r="D25" s="345">
        <v>0</v>
      </c>
      <c r="E25" s="345">
        <v>285</v>
      </c>
      <c r="F25" s="345">
        <v>331</v>
      </c>
      <c r="G25" s="345">
        <v>715</v>
      </c>
      <c r="H25" s="345">
        <v>6667</v>
      </c>
      <c r="I25" s="345">
        <v>5952</v>
      </c>
      <c r="J25" s="345">
        <v>42</v>
      </c>
      <c r="K25" s="345">
        <v>112.7</v>
      </c>
      <c r="L25" s="345">
        <v>112.2</v>
      </c>
      <c r="M25" s="345">
        <v>6.01</v>
      </c>
      <c r="N25" s="345">
        <v>115.9</v>
      </c>
      <c r="O25" s="348">
        <v>5013</v>
      </c>
      <c r="P25" s="345">
        <v>99.36</v>
      </c>
      <c r="Q25" s="345">
        <v>92.19</v>
      </c>
      <c r="R25" s="345">
        <v>49.75</v>
      </c>
      <c r="S25" s="345">
        <v>147.65</v>
      </c>
      <c r="T25" s="348">
        <v>511</v>
      </c>
      <c r="U25" s="345">
        <v>136.88999999999999</v>
      </c>
      <c r="V25" s="348">
        <v>187</v>
      </c>
      <c r="W25" s="345">
        <v>0</v>
      </c>
      <c r="X25" s="348">
        <v>0</v>
      </c>
      <c r="Y25" s="345">
        <v>0</v>
      </c>
      <c r="Z25" s="345">
        <v>1</v>
      </c>
      <c r="AA25" s="345">
        <v>0</v>
      </c>
      <c r="AB25" s="345">
        <v>4</v>
      </c>
      <c r="AC25" s="345">
        <v>21</v>
      </c>
      <c r="AD25" s="345">
        <v>5336</v>
      </c>
      <c r="AE25" s="345">
        <v>14</v>
      </c>
      <c r="AF25" s="345">
        <v>23</v>
      </c>
      <c r="AG25" s="345">
        <v>37</v>
      </c>
    </row>
    <row r="26" spans="1:33" x14ac:dyDescent="0.2">
      <c r="A26" s="344" t="s">
        <v>110</v>
      </c>
      <c r="B26" s="344" t="s">
        <v>111</v>
      </c>
      <c r="C26" s="345">
        <v>13187</v>
      </c>
      <c r="D26" s="345">
        <v>312</v>
      </c>
      <c r="E26" s="345">
        <v>408</v>
      </c>
      <c r="F26" s="345">
        <v>862</v>
      </c>
      <c r="G26" s="345">
        <v>1545</v>
      </c>
      <c r="H26" s="345">
        <v>16314</v>
      </c>
      <c r="I26" s="345">
        <v>14769</v>
      </c>
      <c r="J26" s="345">
        <v>2</v>
      </c>
      <c r="K26" s="345">
        <v>115.48</v>
      </c>
      <c r="L26" s="345">
        <v>110.91</v>
      </c>
      <c r="M26" s="345">
        <v>5.42</v>
      </c>
      <c r="N26" s="345">
        <v>117.72</v>
      </c>
      <c r="O26" s="348">
        <v>11395</v>
      </c>
      <c r="P26" s="345">
        <v>104.79</v>
      </c>
      <c r="Q26" s="345">
        <v>91.68</v>
      </c>
      <c r="R26" s="345">
        <v>39.950000000000003</v>
      </c>
      <c r="S26" s="345">
        <v>143.28</v>
      </c>
      <c r="T26" s="348">
        <v>1121</v>
      </c>
      <c r="U26" s="345">
        <v>160.11000000000001</v>
      </c>
      <c r="V26" s="348">
        <v>1521</v>
      </c>
      <c r="W26" s="345">
        <v>153.41999999999999</v>
      </c>
      <c r="X26" s="348">
        <v>2</v>
      </c>
      <c r="Y26" s="345">
        <v>41</v>
      </c>
      <c r="Z26" s="345">
        <v>8</v>
      </c>
      <c r="AA26" s="345">
        <v>7</v>
      </c>
      <c r="AB26" s="345">
        <v>189</v>
      </c>
      <c r="AC26" s="345">
        <v>41</v>
      </c>
      <c r="AD26" s="345">
        <v>13148</v>
      </c>
      <c r="AE26" s="345">
        <v>102</v>
      </c>
      <c r="AF26" s="345">
        <v>37</v>
      </c>
      <c r="AG26" s="345">
        <v>139</v>
      </c>
    </row>
    <row r="27" spans="1:33" x14ac:dyDescent="0.2">
      <c r="A27" s="344" t="s">
        <v>112</v>
      </c>
      <c r="B27" s="344" t="s">
        <v>113</v>
      </c>
      <c r="C27" s="345">
        <v>1217</v>
      </c>
      <c r="D27" s="345">
        <v>0</v>
      </c>
      <c r="E27" s="345">
        <v>258</v>
      </c>
      <c r="F27" s="345">
        <v>117</v>
      </c>
      <c r="G27" s="345">
        <v>167</v>
      </c>
      <c r="H27" s="345">
        <v>1759</v>
      </c>
      <c r="I27" s="345">
        <v>1592</v>
      </c>
      <c r="J27" s="345">
        <v>3</v>
      </c>
      <c r="K27" s="345">
        <v>89.51</v>
      </c>
      <c r="L27" s="345">
        <v>87.09</v>
      </c>
      <c r="M27" s="345">
        <v>3.38</v>
      </c>
      <c r="N27" s="345">
        <v>91.69</v>
      </c>
      <c r="O27" s="348">
        <v>907</v>
      </c>
      <c r="P27" s="345">
        <v>127.15</v>
      </c>
      <c r="Q27" s="345">
        <v>73.56</v>
      </c>
      <c r="R27" s="345">
        <v>72.39</v>
      </c>
      <c r="S27" s="345">
        <v>196.88</v>
      </c>
      <c r="T27" s="348">
        <v>353</v>
      </c>
      <c r="U27" s="345">
        <v>105.98</v>
      </c>
      <c r="V27" s="348">
        <v>275</v>
      </c>
      <c r="W27" s="345">
        <v>149.31</v>
      </c>
      <c r="X27" s="348">
        <v>21</v>
      </c>
      <c r="Y27" s="345">
        <v>0</v>
      </c>
      <c r="Z27" s="345">
        <v>0</v>
      </c>
      <c r="AA27" s="345">
        <v>14</v>
      </c>
      <c r="AB27" s="345">
        <v>47</v>
      </c>
      <c r="AC27" s="345">
        <v>5</v>
      </c>
      <c r="AD27" s="345">
        <v>1217</v>
      </c>
      <c r="AE27" s="345">
        <v>5</v>
      </c>
      <c r="AF27" s="345">
        <v>12</v>
      </c>
      <c r="AG27" s="345">
        <v>17</v>
      </c>
    </row>
    <row r="28" spans="1:33" x14ac:dyDescent="0.2">
      <c r="A28" s="344" t="s">
        <v>114</v>
      </c>
      <c r="B28" s="344" t="s">
        <v>115</v>
      </c>
      <c r="C28" s="345">
        <v>9280</v>
      </c>
      <c r="D28" s="345">
        <v>0</v>
      </c>
      <c r="E28" s="345">
        <v>406</v>
      </c>
      <c r="F28" s="345">
        <v>2110</v>
      </c>
      <c r="G28" s="345">
        <v>700</v>
      </c>
      <c r="H28" s="345">
        <v>12496</v>
      </c>
      <c r="I28" s="345">
        <v>11796</v>
      </c>
      <c r="J28" s="345">
        <v>12</v>
      </c>
      <c r="K28" s="345">
        <v>103.18</v>
      </c>
      <c r="L28" s="345">
        <v>100.58</v>
      </c>
      <c r="M28" s="345">
        <v>4.34</v>
      </c>
      <c r="N28" s="345">
        <v>106.97</v>
      </c>
      <c r="O28" s="348">
        <v>8466</v>
      </c>
      <c r="P28" s="345">
        <v>96.54</v>
      </c>
      <c r="Q28" s="345">
        <v>88.82</v>
      </c>
      <c r="R28" s="345">
        <v>18.61</v>
      </c>
      <c r="S28" s="345">
        <v>114.73</v>
      </c>
      <c r="T28" s="348">
        <v>2215</v>
      </c>
      <c r="U28" s="345">
        <v>141.75</v>
      </c>
      <c r="V28" s="348">
        <v>724</v>
      </c>
      <c r="W28" s="345">
        <v>123.81</v>
      </c>
      <c r="X28" s="348">
        <v>79</v>
      </c>
      <c r="Y28" s="345">
        <v>0</v>
      </c>
      <c r="Z28" s="345">
        <v>18</v>
      </c>
      <c r="AA28" s="345">
        <v>13</v>
      </c>
      <c r="AB28" s="345">
        <v>30</v>
      </c>
      <c r="AC28" s="345">
        <v>17</v>
      </c>
      <c r="AD28" s="345">
        <v>9214</v>
      </c>
      <c r="AE28" s="345">
        <v>55</v>
      </c>
      <c r="AF28" s="345">
        <v>55</v>
      </c>
      <c r="AG28" s="345">
        <v>110</v>
      </c>
    </row>
    <row r="29" spans="1:33" x14ac:dyDescent="0.2">
      <c r="A29" s="344" t="s">
        <v>116</v>
      </c>
      <c r="B29" s="344" t="s">
        <v>117</v>
      </c>
      <c r="C29" s="345">
        <v>11106</v>
      </c>
      <c r="D29" s="345">
        <v>66</v>
      </c>
      <c r="E29" s="345">
        <v>466</v>
      </c>
      <c r="F29" s="345">
        <v>1099</v>
      </c>
      <c r="G29" s="345">
        <v>1473</v>
      </c>
      <c r="H29" s="345">
        <v>14210</v>
      </c>
      <c r="I29" s="345">
        <v>12737</v>
      </c>
      <c r="J29" s="345">
        <v>3</v>
      </c>
      <c r="K29" s="345">
        <v>101.02</v>
      </c>
      <c r="L29" s="345">
        <v>100.21</v>
      </c>
      <c r="M29" s="345">
        <v>8.3699999999999992</v>
      </c>
      <c r="N29" s="345">
        <v>106.97</v>
      </c>
      <c r="O29" s="348">
        <v>9242</v>
      </c>
      <c r="P29" s="345">
        <v>105.1</v>
      </c>
      <c r="Q29" s="345">
        <v>95.18</v>
      </c>
      <c r="R29" s="345">
        <v>46.33</v>
      </c>
      <c r="S29" s="345">
        <v>149.9</v>
      </c>
      <c r="T29" s="348">
        <v>1266</v>
      </c>
      <c r="U29" s="345">
        <v>141.62</v>
      </c>
      <c r="V29" s="348">
        <v>1549</v>
      </c>
      <c r="W29" s="345">
        <v>138.21</v>
      </c>
      <c r="X29" s="348">
        <v>23</v>
      </c>
      <c r="Y29" s="345">
        <v>20</v>
      </c>
      <c r="Z29" s="345">
        <v>6</v>
      </c>
      <c r="AA29" s="345">
        <v>18</v>
      </c>
      <c r="AB29" s="345">
        <v>95</v>
      </c>
      <c r="AC29" s="345">
        <v>33</v>
      </c>
      <c r="AD29" s="345">
        <v>10943</v>
      </c>
      <c r="AE29" s="345">
        <v>57</v>
      </c>
      <c r="AF29" s="345">
        <v>30</v>
      </c>
      <c r="AG29" s="345">
        <v>87</v>
      </c>
    </row>
    <row r="30" spans="1:33" x14ac:dyDescent="0.2">
      <c r="A30" s="344" t="s">
        <v>118</v>
      </c>
      <c r="B30" s="344" t="s">
        <v>119</v>
      </c>
      <c r="C30" s="345">
        <v>12237</v>
      </c>
      <c r="D30" s="345">
        <v>69</v>
      </c>
      <c r="E30" s="345">
        <v>157</v>
      </c>
      <c r="F30" s="345">
        <v>1332</v>
      </c>
      <c r="G30" s="345">
        <v>1371</v>
      </c>
      <c r="H30" s="345">
        <v>15166</v>
      </c>
      <c r="I30" s="345">
        <v>13795</v>
      </c>
      <c r="J30" s="345">
        <v>41</v>
      </c>
      <c r="K30" s="345">
        <v>113.32</v>
      </c>
      <c r="L30" s="345">
        <v>110.01</v>
      </c>
      <c r="M30" s="345">
        <v>12.61</v>
      </c>
      <c r="N30" s="345">
        <v>125.03</v>
      </c>
      <c r="O30" s="348">
        <v>9555</v>
      </c>
      <c r="P30" s="345">
        <v>100.33</v>
      </c>
      <c r="Q30" s="345">
        <v>94.36</v>
      </c>
      <c r="R30" s="345">
        <v>38.090000000000003</v>
      </c>
      <c r="S30" s="345">
        <v>137.44</v>
      </c>
      <c r="T30" s="348">
        <v>1320</v>
      </c>
      <c r="U30" s="345">
        <v>170.45</v>
      </c>
      <c r="V30" s="348">
        <v>1695</v>
      </c>
      <c r="W30" s="345">
        <v>0</v>
      </c>
      <c r="X30" s="348">
        <v>0</v>
      </c>
      <c r="Y30" s="345">
        <v>0</v>
      </c>
      <c r="Z30" s="345">
        <v>18</v>
      </c>
      <c r="AA30" s="345">
        <v>6</v>
      </c>
      <c r="AB30" s="345">
        <v>46</v>
      </c>
      <c r="AC30" s="345">
        <v>63</v>
      </c>
      <c r="AD30" s="345">
        <v>11412</v>
      </c>
      <c r="AE30" s="345">
        <v>154</v>
      </c>
      <c r="AF30" s="345">
        <v>40</v>
      </c>
      <c r="AG30" s="345">
        <v>194</v>
      </c>
    </row>
    <row r="31" spans="1:33" x14ac:dyDescent="0.2">
      <c r="A31" s="344" t="s">
        <v>120</v>
      </c>
      <c r="B31" s="344" t="s">
        <v>121</v>
      </c>
      <c r="C31" s="345">
        <v>33495</v>
      </c>
      <c r="D31" s="345">
        <v>252</v>
      </c>
      <c r="E31" s="345">
        <v>7265</v>
      </c>
      <c r="F31" s="345">
        <v>4878</v>
      </c>
      <c r="G31" s="345">
        <v>3176</v>
      </c>
      <c r="H31" s="345">
        <v>49066</v>
      </c>
      <c r="I31" s="345">
        <v>45890</v>
      </c>
      <c r="J31" s="345">
        <v>69</v>
      </c>
      <c r="K31" s="345">
        <v>95.24</v>
      </c>
      <c r="L31" s="345">
        <v>93.96</v>
      </c>
      <c r="M31" s="345">
        <v>8.26</v>
      </c>
      <c r="N31" s="345">
        <v>101.6</v>
      </c>
      <c r="O31" s="348">
        <v>29863</v>
      </c>
      <c r="P31" s="345">
        <v>84.8</v>
      </c>
      <c r="Q31" s="345">
        <v>76.66</v>
      </c>
      <c r="R31" s="345">
        <v>84.9</v>
      </c>
      <c r="S31" s="345">
        <v>168.61</v>
      </c>
      <c r="T31" s="348">
        <v>7899</v>
      </c>
      <c r="U31" s="345">
        <v>121.89</v>
      </c>
      <c r="V31" s="348">
        <v>1732</v>
      </c>
      <c r="W31" s="345">
        <v>0</v>
      </c>
      <c r="X31" s="348">
        <v>0</v>
      </c>
      <c r="Y31" s="345">
        <v>42</v>
      </c>
      <c r="Z31" s="345">
        <v>38</v>
      </c>
      <c r="AA31" s="345">
        <v>329</v>
      </c>
      <c r="AB31" s="345">
        <v>105</v>
      </c>
      <c r="AC31" s="345">
        <v>87</v>
      </c>
      <c r="AD31" s="345">
        <v>32091</v>
      </c>
      <c r="AE31" s="345">
        <v>195</v>
      </c>
      <c r="AF31" s="345">
        <v>83</v>
      </c>
      <c r="AG31" s="345">
        <v>278</v>
      </c>
    </row>
    <row r="32" spans="1:33" x14ac:dyDescent="0.2">
      <c r="A32" s="344" t="s">
        <v>122</v>
      </c>
      <c r="B32" s="344" t="s">
        <v>123</v>
      </c>
      <c r="C32" s="345">
        <v>2265</v>
      </c>
      <c r="D32" s="345">
        <v>0</v>
      </c>
      <c r="E32" s="345">
        <v>118</v>
      </c>
      <c r="F32" s="345">
        <v>1364</v>
      </c>
      <c r="G32" s="345">
        <v>395</v>
      </c>
      <c r="H32" s="345">
        <v>4142</v>
      </c>
      <c r="I32" s="345">
        <v>3747</v>
      </c>
      <c r="J32" s="345">
        <v>0</v>
      </c>
      <c r="K32" s="345">
        <v>90.27</v>
      </c>
      <c r="L32" s="345">
        <v>89.54</v>
      </c>
      <c r="M32" s="345">
        <v>5.04</v>
      </c>
      <c r="N32" s="345">
        <v>93.21</v>
      </c>
      <c r="O32" s="348">
        <v>1646</v>
      </c>
      <c r="P32" s="345">
        <v>77.62</v>
      </c>
      <c r="Q32" s="345">
        <v>76.349999999999994</v>
      </c>
      <c r="R32" s="345">
        <v>15.95</v>
      </c>
      <c r="S32" s="345">
        <v>93.42</v>
      </c>
      <c r="T32" s="348">
        <v>1362</v>
      </c>
      <c r="U32" s="345">
        <v>116.62</v>
      </c>
      <c r="V32" s="348">
        <v>531</v>
      </c>
      <c r="W32" s="345">
        <v>111.74</v>
      </c>
      <c r="X32" s="348">
        <v>115</v>
      </c>
      <c r="Y32" s="345">
        <v>0</v>
      </c>
      <c r="Z32" s="345">
        <v>10</v>
      </c>
      <c r="AA32" s="345">
        <v>4</v>
      </c>
      <c r="AB32" s="345">
        <v>32</v>
      </c>
      <c r="AC32" s="345">
        <v>16</v>
      </c>
      <c r="AD32" s="345">
        <v>2265</v>
      </c>
      <c r="AE32" s="345">
        <v>13</v>
      </c>
      <c r="AF32" s="345">
        <v>3</v>
      </c>
      <c r="AG32" s="345">
        <v>16</v>
      </c>
    </row>
    <row r="33" spans="1:33" x14ac:dyDescent="0.2">
      <c r="A33" s="344" t="s">
        <v>124</v>
      </c>
      <c r="B33" s="344" t="s">
        <v>125</v>
      </c>
      <c r="C33" s="345">
        <v>10006</v>
      </c>
      <c r="D33" s="345">
        <v>0</v>
      </c>
      <c r="E33" s="345">
        <v>585</v>
      </c>
      <c r="F33" s="345">
        <v>1084</v>
      </c>
      <c r="G33" s="345">
        <v>214</v>
      </c>
      <c r="H33" s="345">
        <v>11889</v>
      </c>
      <c r="I33" s="345">
        <v>11675</v>
      </c>
      <c r="J33" s="345">
        <v>0</v>
      </c>
      <c r="K33" s="345">
        <v>80.290000000000006</v>
      </c>
      <c r="L33" s="345">
        <v>76.86</v>
      </c>
      <c r="M33" s="345">
        <v>1.88</v>
      </c>
      <c r="N33" s="345">
        <v>81.95</v>
      </c>
      <c r="O33" s="348">
        <v>8354</v>
      </c>
      <c r="P33" s="345">
        <v>94.93</v>
      </c>
      <c r="Q33" s="345">
        <v>74.34</v>
      </c>
      <c r="R33" s="345">
        <v>61.62</v>
      </c>
      <c r="S33" s="345">
        <v>154.78</v>
      </c>
      <c r="T33" s="348">
        <v>1462</v>
      </c>
      <c r="U33" s="345">
        <v>99.44</v>
      </c>
      <c r="V33" s="348">
        <v>1587</v>
      </c>
      <c r="W33" s="345">
        <v>156.91</v>
      </c>
      <c r="X33" s="348">
        <v>135</v>
      </c>
      <c r="Y33" s="345">
        <v>15</v>
      </c>
      <c r="Z33" s="345">
        <v>62</v>
      </c>
      <c r="AA33" s="345">
        <v>17</v>
      </c>
      <c r="AB33" s="345">
        <v>16</v>
      </c>
      <c r="AC33" s="345">
        <v>10</v>
      </c>
      <c r="AD33" s="345">
        <v>9997</v>
      </c>
      <c r="AE33" s="345">
        <v>88</v>
      </c>
      <c r="AF33" s="345">
        <v>65</v>
      </c>
      <c r="AG33" s="345">
        <v>153</v>
      </c>
    </row>
    <row r="34" spans="1:33" x14ac:dyDescent="0.2">
      <c r="A34" s="344" t="s">
        <v>126</v>
      </c>
      <c r="B34" s="344" t="s">
        <v>127</v>
      </c>
      <c r="C34" s="345">
        <v>1779</v>
      </c>
      <c r="D34" s="345">
        <v>0</v>
      </c>
      <c r="E34" s="345">
        <v>486</v>
      </c>
      <c r="F34" s="345">
        <v>201</v>
      </c>
      <c r="G34" s="345">
        <v>149</v>
      </c>
      <c r="H34" s="345">
        <v>2615</v>
      </c>
      <c r="I34" s="345">
        <v>2466</v>
      </c>
      <c r="J34" s="345">
        <v>0</v>
      </c>
      <c r="K34" s="345">
        <v>88.19</v>
      </c>
      <c r="L34" s="345">
        <v>85.64</v>
      </c>
      <c r="M34" s="345">
        <v>4.96</v>
      </c>
      <c r="N34" s="345">
        <v>92.12</v>
      </c>
      <c r="O34" s="348">
        <v>1197</v>
      </c>
      <c r="P34" s="345">
        <v>115.39</v>
      </c>
      <c r="Q34" s="345">
        <v>86.11</v>
      </c>
      <c r="R34" s="345">
        <v>74.63</v>
      </c>
      <c r="S34" s="345">
        <v>183.21</v>
      </c>
      <c r="T34" s="348">
        <v>602</v>
      </c>
      <c r="U34" s="345">
        <v>107.53</v>
      </c>
      <c r="V34" s="348">
        <v>467</v>
      </c>
      <c r="W34" s="345">
        <v>0</v>
      </c>
      <c r="X34" s="348">
        <v>0</v>
      </c>
      <c r="Y34" s="345">
        <v>1</v>
      </c>
      <c r="Z34" s="345">
        <v>1</v>
      </c>
      <c r="AA34" s="345">
        <v>3</v>
      </c>
      <c r="AB34" s="345">
        <v>2</v>
      </c>
      <c r="AC34" s="345">
        <v>5</v>
      </c>
      <c r="AD34" s="345">
        <v>1682</v>
      </c>
      <c r="AE34" s="345">
        <v>13</v>
      </c>
      <c r="AF34" s="345">
        <v>15</v>
      </c>
      <c r="AG34" s="345">
        <v>28</v>
      </c>
    </row>
    <row r="35" spans="1:33" x14ac:dyDescent="0.2">
      <c r="A35" s="344" t="s">
        <v>128</v>
      </c>
      <c r="B35" s="344" t="s">
        <v>129</v>
      </c>
      <c r="C35" s="345">
        <v>802</v>
      </c>
      <c r="D35" s="345">
        <v>0</v>
      </c>
      <c r="E35" s="345">
        <v>108</v>
      </c>
      <c r="F35" s="345">
        <v>261</v>
      </c>
      <c r="G35" s="345">
        <v>77</v>
      </c>
      <c r="H35" s="345">
        <v>1248</v>
      </c>
      <c r="I35" s="345">
        <v>1171</v>
      </c>
      <c r="J35" s="345">
        <v>0</v>
      </c>
      <c r="K35" s="345">
        <v>91.76</v>
      </c>
      <c r="L35" s="345">
        <v>89.54</v>
      </c>
      <c r="M35" s="345">
        <v>2.98</v>
      </c>
      <c r="N35" s="345">
        <v>93.56</v>
      </c>
      <c r="O35" s="348">
        <v>649</v>
      </c>
      <c r="P35" s="345">
        <v>104.63</v>
      </c>
      <c r="Q35" s="345">
        <v>86.86</v>
      </c>
      <c r="R35" s="345">
        <v>37.96</v>
      </c>
      <c r="S35" s="345">
        <v>139.9</v>
      </c>
      <c r="T35" s="348">
        <v>353</v>
      </c>
      <c r="U35" s="345">
        <v>96.52</v>
      </c>
      <c r="V35" s="348">
        <v>129</v>
      </c>
      <c r="W35" s="345">
        <v>0</v>
      </c>
      <c r="X35" s="348">
        <v>0</v>
      </c>
      <c r="Y35" s="345">
        <v>0</v>
      </c>
      <c r="Z35" s="345">
        <v>1</v>
      </c>
      <c r="AA35" s="345">
        <v>2</v>
      </c>
      <c r="AB35" s="345">
        <v>0</v>
      </c>
      <c r="AC35" s="345">
        <v>0</v>
      </c>
      <c r="AD35" s="345">
        <v>757</v>
      </c>
      <c r="AE35" s="345">
        <v>5</v>
      </c>
      <c r="AF35" s="345">
        <v>6</v>
      </c>
      <c r="AG35" s="345">
        <v>11</v>
      </c>
    </row>
    <row r="36" spans="1:33" x14ac:dyDescent="0.2">
      <c r="A36" s="344" t="s">
        <v>130</v>
      </c>
      <c r="B36" s="344" t="s">
        <v>131</v>
      </c>
      <c r="C36" s="345">
        <v>20987</v>
      </c>
      <c r="D36" s="345">
        <v>13</v>
      </c>
      <c r="E36" s="345">
        <v>851</v>
      </c>
      <c r="F36" s="345">
        <v>3635</v>
      </c>
      <c r="G36" s="345">
        <v>395</v>
      </c>
      <c r="H36" s="345">
        <v>25881</v>
      </c>
      <c r="I36" s="345">
        <v>25486</v>
      </c>
      <c r="J36" s="345">
        <v>2</v>
      </c>
      <c r="K36" s="345">
        <v>79.39</v>
      </c>
      <c r="L36" s="345">
        <v>80.81</v>
      </c>
      <c r="M36" s="345">
        <v>3.55</v>
      </c>
      <c r="N36" s="345">
        <v>82.6</v>
      </c>
      <c r="O36" s="348">
        <v>17238</v>
      </c>
      <c r="P36" s="345">
        <v>80.099999999999994</v>
      </c>
      <c r="Q36" s="345">
        <v>74.47</v>
      </c>
      <c r="R36" s="345">
        <v>42.64</v>
      </c>
      <c r="S36" s="345">
        <v>122.25</v>
      </c>
      <c r="T36" s="348">
        <v>4405</v>
      </c>
      <c r="U36" s="345">
        <v>98.93</v>
      </c>
      <c r="V36" s="348">
        <v>3447</v>
      </c>
      <c r="W36" s="345">
        <v>0</v>
      </c>
      <c r="X36" s="348">
        <v>0</v>
      </c>
      <c r="Y36" s="345">
        <v>9</v>
      </c>
      <c r="Z36" s="345">
        <v>117</v>
      </c>
      <c r="AA36" s="345">
        <v>18</v>
      </c>
      <c r="AB36" s="345">
        <v>17</v>
      </c>
      <c r="AC36" s="345">
        <v>10</v>
      </c>
      <c r="AD36" s="345">
        <v>20912</v>
      </c>
      <c r="AE36" s="345">
        <v>111</v>
      </c>
      <c r="AF36" s="345">
        <v>309</v>
      </c>
      <c r="AG36" s="345">
        <v>420</v>
      </c>
    </row>
    <row r="37" spans="1:33" x14ac:dyDescent="0.2">
      <c r="A37" s="344" t="s">
        <v>132</v>
      </c>
      <c r="B37" s="344" t="s">
        <v>133</v>
      </c>
      <c r="C37" s="345">
        <v>4835</v>
      </c>
      <c r="D37" s="345">
        <v>0</v>
      </c>
      <c r="E37" s="345">
        <v>180</v>
      </c>
      <c r="F37" s="345">
        <v>905</v>
      </c>
      <c r="G37" s="345">
        <v>402</v>
      </c>
      <c r="H37" s="345">
        <v>6322</v>
      </c>
      <c r="I37" s="345">
        <v>5920</v>
      </c>
      <c r="J37" s="345">
        <v>1</v>
      </c>
      <c r="K37" s="345">
        <v>82.15</v>
      </c>
      <c r="L37" s="345">
        <v>79.040000000000006</v>
      </c>
      <c r="M37" s="345">
        <v>2.0099999999999998</v>
      </c>
      <c r="N37" s="345">
        <v>84.12</v>
      </c>
      <c r="O37" s="348">
        <v>4117</v>
      </c>
      <c r="P37" s="345">
        <v>82.04</v>
      </c>
      <c r="Q37" s="345">
        <v>72.59</v>
      </c>
      <c r="R37" s="345">
        <v>23.6</v>
      </c>
      <c r="S37" s="345">
        <v>105.62</v>
      </c>
      <c r="T37" s="348">
        <v>1037</v>
      </c>
      <c r="U37" s="345">
        <v>109.69</v>
      </c>
      <c r="V37" s="348">
        <v>566</v>
      </c>
      <c r="W37" s="345">
        <v>340.69</v>
      </c>
      <c r="X37" s="348">
        <v>6</v>
      </c>
      <c r="Y37" s="345">
        <v>0</v>
      </c>
      <c r="Z37" s="345">
        <v>8</v>
      </c>
      <c r="AA37" s="345">
        <v>4</v>
      </c>
      <c r="AB37" s="345">
        <v>49</v>
      </c>
      <c r="AC37" s="345">
        <v>2</v>
      </c>
      <c r="AD37" s="345">
        <v>4798</v>
      </c>
      <c r="AE37" s="345">
        <v>36</v>
      </c>
      <c r="AF37" s="345">
        <v>14</v>
      </c>
      <c r="AG37" s="345">
        <v>50</v>
      </c>
    </row>
    <row r="38" spans="1:33" x14ac:dyDescent="0.2">
      <c r="A38" s="344" t="s">
        <v>134</v>
      </c>
      <c r="B38" s="344" t="s">
        <v>135</v>
      </c>
      <c r="C38" s="345">
        <v>6860</v>
      </c>
      <c r="D38" s="345">
        <v>13</v>
      </c>
      <c r="E38" s="345">
        <v>1236</v>
      </c>
      <c r="F38" s="345">
        <v>980</v>
      </c>
      <c r="G38" s="345">
        <v>959</v>
      </c>
      <c r="H38" s="345">
        <v>10048</v>
      </c>
      <c r="I38" s="345">
        <v>9089</v>
      </c>
      <c r="J38" s="345">
        <v>14</v>
      </c>
      <c r="K38" s="345">
        <v>106.45</v>
      </c>
      <c r="L38" s="345">
        <v>102.07</v>
      </c>
      <c r="M38" s="345">
        <v>5.88</v>
      </c>
      <c r="N38" s="345">
        <v>110.63</v>
      </c>
      <c r="O38" s="348">
        <v>5793</v>
      </c>
      <c r="P38" s="345">
        <v>98.02</v>
      </c>
      <c r="Q38" s="345">
        <v>83.8</v>
      </c>
      <c r="R38" s="345">
        <v>47.18</v>
      </c>
      <c r="S38" s="345">
        <v>143.83000000000001</v>
      </c>
      <c r="T38" s="348">
        <v>1726</v>
      </c>
      <c r="U38" s="345">
        <v>150.5</v>
      </c>
      <c r="V38" s="348">
        <v>618</v>
      </c>
      <c r="W38" s="345">
        <v>335.41</v>
      </c>
      <c r="X38" s="348">
        <v>52</v>
      </c>
      <c r="Y38" s="345">
        <v>27</v>
      </c>
      <c r="Z38" s="345">
        <v>2</v>
      </c>
      <c r="AA38" s="345">
        <v>37</v>
      </c>
      <c r="AB38" s="345">
        <v>6</v>
      </c>
      <c r="AC38" s="345">
        <v>21</v>
      </c>
      <c r="AD38" s="345">
        <v>6428</v>
      </c>
      <c r="AE38" s="345">
        <v>30</v>
      </c>
      <c r="AF38" s="345">
        <v>14</v>
      </c>
      <c r="AG38" s="345">
        <v>44</v>
      </c>
    </row>
    <row r="39" spans="1:33" x14ac:dyDescent="0.2">
      <c r="A39" s="344" t="s">
        <v>136</v>
      </c>
      <c r="B39" s="344" t="s">
        <v>137</v>
      </c>
      <c r="C39" s="345">
        <v>7468</v>
      </c>
      <c r="D39" s="345">
        <v>0</v>
      </c>
      <c r="E39" s="345">
        <v>248</v>
      </c>
      <c r="F39" s="345">
        <v>499</v>
      </c>
      <c r="G39" s="345">
        <v>813</v>
      </c>
      <c r="H39" s="345">
        <v>9028</v>
      </c>
      <c r="I39" s="345">
        <v>8215</v>
      </c>
      <c r="J39" s="345">
        <v>115</v>
      </c>
      <c r="K39" s="345">
        <v>111.97</v>
      </c>
      <c r="L39" s="345">
        <v>111.59</v>
      </c>
      <c r="M39" s="345">
        <v>8.48</v>
      </c>
      <c r="N39" s="345">
        <v>115.12</v>
      </c>
      <c r="O39" s="348">
        <v>6701</v>
      </c>
      <c r="P39" s="345">
        <v>101.6</v>
      </c>
      <c r="Q39" s="345">
        <v>97.69</v>
      </c>
      <c r="R39" s="345">
        <v>41.96</v>
      </c>
      <c r="S39" s="345">
        <v>141.27000000000001</v>
      </c>
      <c r="T39" s="348">
        <v>716</v>
      </c>
      <c r="U39" s="345">
        <v>173.26</v>
      </c>
      <c r="V39" s="348">
        <v>712</v>
      </c>
      <c r="W39" s="345">
        <v>0</v>
      </c>
      <c r="X39" s="348">
        <v>0</v>
      </c>
      <c r="Y39" s="345">
        <v>9</v>
      </c>
      <c r="Z39" s="345">
        <v>12</v>
      </c>
      <c r="AA39" s="345">
        <v>47</v>
      </c>
      <c r="AB39" s="345">
        <v>39</v>
      </c>
      <c r="AC39" s="345">
        <v>19</v>
      </c>
      <c r="AD39" s="345">
        <v>7456</v>
      </c>
      <c r="AE39" s="345">
        <v>74</v>
      </c>
      <c r="AF39" s="345">
        <v>165</v>
      </c>
      <c r="AG39" s="345">
        <v>239</v>
      </c>
    </row>
    <row r="40" spans="1:33" x14ac:dyDescent="0.2">
      <c r="A40" s="344" t="s">
        <v>138</v>
      </c>
      <c r="B40" s="344" t="s">
        <v>139</v>
      </c>
      <c r="C40" s="345">
        <v>27128</v>
      </c>
      <c r="D40" s="345">
        <v>1</v>
      </c>
      <c r="E40" s="345">
        <v>1561</v>
      </c>
      <c r="F40" s="345">
        <v>2851</v>
      </c>
      <c r="G40" s="345">
        <v>795</v>
      </c>
      <c r="H40" s="345">
        <v>32336</v>
      </c>
      <c r="I40" s="345">
        <v>31541</v>
      </c>
      <c r="J40" s="345">
        <v>3</v>
      </c>
      <c r="K40" s="345">
        <v>80.77</v>
      </c>
      <c r="L40" s="345">
        <v>80.34</v>
      </c>
      <c r="M40" s="345">
        <v>5.03</v>
      </c>
      <c r="N40" s="345">
        <v>85.55</v>
      </c>
      <c r="O40" s="348">
        <v>23465</v>
      </c>
      <c r="P40" s="345">
        <v>87.94</v>
      </c>
      <c r="Q40" s="345">
        <v>76.239999999999995</v>
      </c>
      <c r="R40" s="345">
        <v>42.28</v>
      </c>
      <c r="S40" s="345">
        <v>129.71</v>
      </c>
      <c r="T40" s="348">
        <v>3453</v>
      </c>
      <c r="U40" s="345">
        <v>101.98</v>
      </c>
      <c r="V40" s="348">
        <v>3504</v>
      </c>
      <c r="W40" s="345">
        <v>144.02000000000001</v>
      </c>
      <c r="X40" s="348">
        <v>79</v>
      </c>
      <c r="Y40" s="345">
        <v>29</v>
      </c>
      <c r="Z40" s="345">
        <v>124</v>
      </c>
      <c r="AA40" s="345">
        <v>38</v>
      </c>
      <c r="AB40" s="345">
        <v>53</v>
      </c>
      <c r="AC40" s="345">
        <v>15</v>
      </c>
      <c r="AD40" s="345">
        <v>27112</v>
      </c>
      <c r="AE40" s="345">
        <v>345</v>
      </c>
      <c r="AF40" s="345">
        <v>216</v>
      </c>
      <c r="AG40" s="345">
        <v>561</v>
      </c>
    </row>
    <row r="41" spans="1:33" x14ac:dyDescent="0.2">
      <c r="A41" s="344" t="s">
        <v>140</v>
      </c>
      <c r="B41" s="344" t="s">
        <v>141</v>
      </c>
      <c r="C41" s="345">
        <v>10085</v>
      </c>
      <c r="D41" s="345">
        <v>0</v>
      </c>
      <c r="E41" s="345">
        <v>305</v>
      </c>
      <c r="F41" s="345">
        <v>739</v>
      </c>
      <c r="G41" s="345">
        <v>517</v>
      </c>
      <c r="H41" s="345">
        <v>11646</v>
      </c>
      <c r="I41" s="345">
        <v>11129</v>
      </c>
      <c r="J41" s="345">
        <v>0</v>
      </c>
      <c r="K41" s="345">
        <v>98.86</v>
      </c>
      <c r="L41" s="345">
        <v>98.85</v>
      </c>
      <c r="M41" s="345">
        <v>4.05</v>
      </c>
      <c r="N41" s="345">
        <v>100.01</v>
      </c>
      <c r="O41" s="348">
        <v>8738</v>
      </c>
      <c r="P41" s="345">
        <v>88.48</v>
      </c>
      <c r="Q41" s="345">
        <v>86.3</v>
      </c>
      <c r="R41" s="345">
        <v>46.16</v>
      </c>
      <c r="S41" s="345">
        <v>132.94</v>
      </c>
      <c r="T41" s="348">
        <v>842</v>
      </c>
      <c r="U41" s="345">
        <v>150.22</v>
      </c>
      <c r="V41" s="348">
        <v>1257</v>
      </c>
      <c r="W41" s="345">
        <v>153.72</v>
      </c>
      <c r="X41" s="348">
        <v>24</v>
      </c>
      <c r="Y41" s="345">
        <v>27</v>
      </c>
      <c r="Z41" s="345">
        <v>21</v>
      </c>
      <c r="AA41" s="345">
        <v>0</v>
      </c>
      <c r="AB41" s="345">
        <v>113</v>
      </c>
      <c r="AC41" s="345">
        <v>6</v>
      </c>
      <c r="AD41" s="345">
        <v>10073</v>
      </c>
      <c r="AE41" s="345">
        <v>50</v>
      </c>
      <c r="AF41" s="345">
        <v>59</v>
      </c>
      <c r="AG41" s="345">
        <v>109</v>
      </c>
    </row>
    <row r="42" spans="1:33" x14ac:dyDescent="0.2">
      <c r="A42" s="344" t="s">
        <v>142</v>
      </c>
      <c r="B42" s="344" t="s">
        <v>143</v>
      </c>
      <c r="C42" s="345">
        <v>7542</v>
      </c>
      <c r="D42" s="345">
        <v>0</v>
      </c>
      <c r="E42" s="345">
        <v>194</v>
      </c>
      <c r="F42" s="345">
        <v>971</v>
      </c>
      <c r="G42" s="345">
        <v>361</v>
      </c>
      <c r="H42" s="345">
        <v>9068</v>
      </c>
      <c r="I42" s="345">
        <v>8707</v>
      </c>
      <c r="J42" s="345">
        <v>4</v>
      </c>
      <c r="K42" s="345">
        <v>90.89</v>
      </c>
      <c r="L42" s="345">
        <v>87.52</v>
      </c>
      <c r="M42" s="345">
        <v>3.08</v>
      </c>
      <c r="N42" s="345">
        <v>91.82</v>
      </c>
      <c r="O42" s="348">
        <v>6726</v>
      </c>
      <c r="P42" s="345">
        <v>83.17</v>
      </c>
      <c r="Q42" s="345">
        <v>76.33</v>
      </c>
      <c r="R42" s="345">
        <v>21.7</v>
      </c>
      <c r="S42" s="345">
        <v>104.18</v>
      </c>
      <c r="T42" s="348">
        <v>1127</v>
      </c>
      <c r="U42" s="345">
        <v>117.76</v>
      </c>
      <c r="V42" s="348">
        <v>787</v>
      </c>
      <c r="W42" s="345">
        <v>0</v>
      </c>
      <c r="X42" s="348">
        <v>0</v>
      </c>
      <c r="Y42" s="345">
        <v>9</v>
      </c>
      <c r="Z42" s="345">
        <v>4</v>
      </c>
      <c r="AA42" s="345">
        <v>12</v>
      </c>
      <c r="AB42" s="345">
        <v>45</v>
      </c>
      <c r="AC42" s="345">
        <v>10</v>
      </c>
      <c r="AD42" s="345">
        <v>7540</v>
      </c>
      <c r="AE42" s="345">
        <v>20</v>
      </c>
      <c r="AF42" s="345">
        <v>66</v>
      </c>
      <c r="AG42" s="345">
        <v>86</v>
      </c>
    </row>
    <row r="43" spans="1:33" x14ac:dyDescent="0.2">
      <c r="A43" s="344" t="s">
        <v>144</v>
      </c>
      <c r="B43" s="344" t="s">
        <v>145</v>
      </c>
      <c r="C43" s="345">
        <v>16875</v>
      </c>
      <c r="D43" s="345">
        <v>157</v>
      </c>
      <c r="E43" s="345">
        <v>1167</v>
      </c>
      <c r="F43" s="345">
        <v>1073</v>
      </c>
      <c r="G43" s="345">
        <v>2270</v>
      </c>
      <c r="H43" s="345">
        <v>21542</v>
      </c>
      <c r="I43" s="345">
        <v>19272</v>
      </c>
      <c r="J43" s="345">
        <v>90</v>
      </c>
      <c r="K43" s="345">
        <v>129.49</v>
      </c>
      <c r="L43" s="345">
        <v>130.9</v>
      </c>
      <c r="M43" s="345">
        <v>12.09</v>
      </c>
      <c r="N43" s="345">
        <v>138.01</v>
      </c>
      <c r="O43" s="348">
        <v>11751</v>
      </c>
      <c r="P43" s="345">
        <v>119.57</v>
      </c>
      <c r="Q43" s="345">
        <v>99.3</v>
      </c>
      <c r="R43" s="345">
        <v>59.49</v>
      </c>
      <c r="S43" s="345">
        <v>168.69</v>
      </c>
      <c r="T43" s="348">
        <v>1757</v>
      </c>
      <c r="U43" s="345">
        <v>226.98</v>
      </c>
      <c r="V43" s="348">
        <v>2085</v>
      </c>
      <c r="W43" s="345">
        <v>219.83</v>
      </c>
      <c r="X43" s="348">
        <v>139</v>
      </c>
      <c r="Y43" s="345">
        <v>62</v>
      </c>
      <c r="Z43" s="345">
        <v>6</v>
      </c>
      <c r="AA43" s="345">
        <v>5</v>
      </c>
      <c r="AB43" s="345">
        <v>336</v>
      </c>
      <c r="AC43" s="345">
        <v>195</v>
      </c>
      <c r="AD43" s="345">
        <v>15129</v>
      </c>
      <c r="AE43" s="345">
        <v>230</v>
      </c>
      <c r="AF43" s="345">
        <v>46</v>
      </c>
      <c r="AG43" s="345">
        <v>276</v>
      </c>
    </row>
    <row r="44" spans="1:33" x14ac:dyDescent="0.2">
      <c r="A44" s="344" t="s">
        <v>146</v>
      </c>
      <c r="B44" s="344" t="s">
        <v>147</v>
      </c>
      <c r="C44" s="345">
        <v>780</v>
      </c>
      <c r="D44" s="345">
        <v>7</v>
      </c>
      <c r="E44" s="345">
        <v>78</v>
      </c>
      <c r="F44" s="345">
        <v>162</v>
      </c>
      <c r="G44" s="345">
        <v>203</v>
      </c>
      <c r="H44" s="345">
        <v>1230</v>
      </c>
      <c r="I44" s="345">
        <v>1027</v>
      </c>
      <c r="J44" s="345">
        <v>0</v>
      </c>
      <c r="K44" s="345">
        <v>120.54</v>
      </c>
      <c r="L44" s="345">
        <v>118.5</v>
      </c>
      <c r="M44" s="345">
        <v>9.06</v>
      </c>
      <c r="N44" s="345">
        <v>129.07</v>
      </c>
      <c r="O44" s="348">
        <v>512</v>
      </c>
      <c r="P44" s="345">
        <v>100.37</v>
      </c>
      <c r="Q44" s="345">
        <v>96.68</v>
      </c>
      <c r="R44" s="345">
        <v>54.46</v>
      </c>
      <c r="S44" s="345">
        <v>154.83000000000001</v>
      </c>
      <c r="T44" s="348">
        <v>235</v>
      </c>
      <c r="U44" s="345">
        <v>158.72</v>
      </c>
      <c r="V44" s="348">
        <v>124</v>
      </c>
      <c r="W44" s="345">
        <v>0</v>
      </c>
      <c r="X44" s="348">
        <v>0</v>
      </c>
      <c r="Y44" s="345">
        <v>0</v>
      </c>
      <c r="Z44" s="345">
        <v>0</v>
      </c>
      <c r="AA44" s="345">
        <v>0</v>
      </c>
      <c r="AB44" s="345">
        <v>0</v>
      </c>
      <c r="AC44" s="345">
        <v>4</v>
      </c>
      <c r="AD44" s="345">
        <v>639</v>
      </c>
      <c r="AE44" s="345">
        <v>3</v>
      </c>
      <c r="AF44" s="345">
        <v>0</v>
      </c>
      <c r="AG44" s="345">
        <v>3</v>
      </c>
    </row>
    <row r="45" spans="1:33" x14ac:dyDescent="0.2">
      <c r="A45" s="344" t="s">
        <v>148</v>
      </c>
      <c r="B45" s="344" t="s">
        <v>149</v>
      </c>
      <c r="C45" s="345">
        <v>4730</v>
      </c>
      <c r="D45" s="345">
        <v>71</v>
      </c>
      <c r="E45" s="345">
        <v>985</v>
      </c>
      <c r="F45" s="345">
        <v>1045</v>
      </c>
      <c r="G45" s="345">
        <v>954</v>
      </c>
      <c r="H45" s="345">
        <v>7785</v>
      </c>
      <c r="I45" s="345">
        <v>6831</v>
      </c>
      <c r="J45" s="345">
        <v>68</v>
      </c>
      <c r="K45" s="345">
        <v>98.1</v>
      </c>
      <c r="L45" s="345">
        <v>95.74</v>
      </c>
      <c r="M45" s="345">
        <v>10.74</v>
      </c>
      <c r="N45" s="345">
        <v>106.85</v>
      </c>
      <c r="O45" s="348">
        <v>3775</v>
      </c>
      <c r="P45" s="345">
        <v>95.56</v>
      </c>
      <c r="Q45" s="345">
        <v>83.13</v>
      </c>
      <c r="R45" s="345">
        <v>67.64</v>
      </c>
      <c r="S45" s="345">
        <v>160.99</v>
      </c>
      <c r="T45" s="348">
        <v>1160</v>
      </c>
      <c r="U45" s="345">
        <v>172.27</v>
      </c>
      <c r="V45" s="348">
        <v>494</v>
      </c>
      <c r="W45" s="345">
        <v>0</v>
      </c>
      <c r="X45" s="348">
        <v>0</v>
      </c>
      <c r="Y45" s="345">
        <v>12</v>
      </c>
      <c r="Z45" s="345">
        <v>0</v>
      </c>
      <c r="AA45" s="345">
        <v>3</v>
      </c>
      <c r="AB45" s="345">
        <v>140</v>
      </c>
      <c r="AC45" s="345">
        <v>29</v>
      </c>
      <c r="AD45" s="345">
        <v>4406</v>
      </c>
      <c r="AE45" s="345">
        <v>38</v>
      </c>
      <c r="AF45" s="345">
        <v>16</v>
      </c>
      <c r="AG45" s="345">
        <v>54</v>
      </c>
    </row>
    <row r="46" spans="1:33" x14ac:dyDescent="0.2">
      <c r="A46" s="344" t="s">
        <v>150</v>
      </c>
      <c r="B46" s="344" t="s">
        <v>151</v>
      </c>
      <c r="C46" s="345">
        <v>9012</v>
      </c>
      <c r="D46" s="345">
        <v>31</v>
      </c>
      <c r="E46" s="345">
        <v>2752</v>
      </c>
      <c r="F46" s="345">
        <v>1065</v>
      </c>
      <c r="G46" s="345">
        <v>1563</v>
      </c>
      <c r="H46" s="345">
        <v>14423</v>
      </c>
      <c r="I46" s="345">
        <v>12860</v>
      </c>
      <c r="J46" s="345">
        <v>41</v>
      </c>
      <c r="K46" s="345">
        <v>99.75</v>
      </c>
      <c r="L46" s="345">
        <v>98.26</v>
      </c>
      <c r="M46" s="345">
        <v>9.9600000000000009</v>
      </c>
      <c r="N46" s="345">
        <v>106.82</v>
      </c>
      <c r="O46" s="348">
        <v>7122</v>
      </c>
      <c r="P46" s="345">
        <v>91.92</v>
      </c>
      <c r="Q46" s="345">
        <v>89.9</v>
      </c>
      <c r="R46" s="345">
        <v>42.54</v>
      </c>
      <c r="S46" s="345">
        <v>131.62</v>
      </c>
      <c r="T46" s="348">
        <v>3134</v>
      </c>
      <c r="U46" s="345">
        <v>142.38999999999999</v>
      </c>
      <c r="V46" s="348">
        <v>1295</v>
      </c>
      <c r="W46" s="345">
        <v>143.02000000000001</v>
      </c>
      <c r="X46" s="348">
        <v>90</v>
      </c>
      <c r="Y46" s="345">
        <v>0</v>
      </c>
      <c r="Z46" s="345">
        <v>3</v>
      </c>
      <c r="AA46" s="345">
        <v>5</v>
      </c>
      <c r="AB46" s="345">
        <v>127</v>
      </c>
      <c r="AC46" s="345">
        <v>32</v>
      </c>
      <c r="AD46" s="345">
        <v>8627</v>
      </c>
      <c r="AE46" s="345">
        <v>54</v>
      </c>
      <c r="AF46" s="345">
        <v>46</v>
      </c>
      <c r="AG46" s="345">
        <v>100</v>
      </c>
    </row>
    <row r="47" spans="1:33" x14ac:dyDescent="0.2">
      <c r="A47" s="344" t="s">
        <v>152</v>
      </c>
      <c r="B47" s="344" t="s">
        <v>153</v>
      </c>
      <c r="C47" s="345">
        <v>5070</v>
      </c>
      <c r="D47" s="345">
        <v>0</v>
      </c>
      <c r="E47" s="345">
        <v>149</v>
      </c>
      <c r="F47" s="345">
        <v>559</v>
      </c>
      <c r="G47" s="345">
        <v>485</v>
      </c>
      <c r="H47" s="345">
        <v>6263</v>
      </c>
      <c r="I47" s="345">
        <v>5778</v>
      </c>
      <c r="J47" s="345">
        <v>0</v>
      </c>
      <c r="K47" s="345">
        <v>94.4</v>
      </c>
      <c r="L47" s="345">
        <v>91.03</v>
      </c>
      <c r="M47" s="345">
        <v>2.17</v>
      </c>
      <c r="N47" s="345">
        <v>95.88</v>
      </c>
      <c r="O47" s="348">
        <v>3695</v>
      </c>
      <c r="P47" s="345">
        <v>91.75</v>
      </c>
      <c r="Q47" s="345">
        <v>80.790000000000006</v>
      </c>
      <c r="R47" s="345">
        <v>32.31</v>
      </c>
      <c r="S47" s="345">
        <v>124.01</v>
      </c>
      <c r="T47" s="348">
        <v>706</v>
      </c>
      <c r="U47" s="345">
        <v>116.62</v>
      </c>
      <c r="V47" s="348">
        <v>1221</v>
      </c>
      <c r="W47" s="345">
        <v>0</v>
      </c>
      <c r="X47" s="348">
        <v>0</v>
      </c>
      <c r="Y47" s="345">
        <v>19</v>
      </c>
      <c r="Z47" s="345">
        <v>3</v>
      </c>
      <c r="AA47" s="345">
        <v>0</v>
      </c>
      <c r="AB47" s="345">
        <v>67</v>
      </c>
      <c r="AC47" s="345">
        <v>11</v>
      </c>
      <c r="AD47" s="345">
        <v>5067</v>
      </c>
      <c r="AE47" s="345">
        <v>32</v>
      </c>
      <c r="AF47" s="345">
        <v>19</v>
      </c>
      <c r="AG47" s="345">
        <v>51</v>
      </c>
    </row>
    <row r="48" spans="1:33" x14ac:dyDescent="0.2">
      <c r="A48" s="344" t="s">
        <v>154</v>
      </c>
      <c r="B48" s="344" t="s">
        <v>155</v>
      </c>
      <c r="C48" s="345">
        <v>16279</v>
      </c>
      <c r="D48" s="345">
        <v>108</v>
      </c>
      <c r="E48" s="345">
        <v>597</v>
      </c>
      <c r="F48" s="345">
        <v>2023</v>
      </c>
      <c r="G48" s="345">
        <v>1192</v>
      </c>
      <c r="H48" s="345">
        <v>20199</v>
      </c>
      <c r="I48" s="345">
        <v>19007</v>
      </c>
      <c r="J48" s="345">
        <v>43</v>
      </c>
      <c r="K48" s="345">
        <v>117.82</v>
      </c>
      <c r="L48" s="345">
        <v>113.88</v>
      </c>
      <c r="M48" s="345">
        <v>11.67</v>
      </c>
      <c r="N48" s="345">
        <v>124.46</v>
      </c>
      <c r="O48" s="348">
        <v>13340</v>
      </c>
      <c r="P48" s="345">
        <v>111.8</v>
      </c>
      <c r="Q48" s="345">
        <v>101.98</v>
      </c>
      <c r="R48" s="345">
        <v>45.9</v>
      </c>
      <c r="S48" s="345">
        <v>155.34</v>
      </c>
      <c r="T48" s="348">
        <v>2080</v>
      </c>
      <c r="U48" s="345">
        <v>181.37</v>
      </c>
      <c r="V48" s="348">
        <v>1854</v>
      </c>
      <c r="W48" s="345">
        <v>0</v>
      </c>
      <c r="X48" s="348">
        <v>0</v>
      </c>
      <c r="Y48" s="345">
        <v>7</v>
      </c>
      <c r="Z48" s="345">
        <v>5</v>
      </c>
      <c r="AA48" s="345">
        <v>24</v>
      </c>
      <c r="AB48" s="345">
        <v>28</v>
      </c>
      <c r="AC48" s="345">
        <v>46</v>
      </c>
      <c r="AD48" s="345">
        <v>15386</v>
      </c>
      <c r="AE48" s="345">
        <v>167</v>
      </c>
      <c r="AF48" s="345">
        <v>89</v>
      </c>
      <c r="AG48" s="345">
        <v>256</v>
      </c>
    </row>
    <row r="49" spans="1:33" x14ac:dyDescent="0.2">
      <c r="A49" s="344" t="s">
        <v>156</v>
      </c>
      <c r="B49" s="344" t="s">
        <v>157</v>
      </c>
      <c r="C49" s="345">
        <v>3480</v>
      </c>
      <c r="D49" s="345">
        <v>0</v>
      </c>
      <c r="E49" s="345">
        <v>79</v>
      </c>
      <c r="F49" s="345">
        <v>1006</v>
      </c>
      <c r="G49" s="345">
        <v>450</v>
      </c>
      <c r="H49" s="345">
        <v>5015</v>
      </c>
      <c r="I49" s="345">
        <v>4565</v>
      </c>
      <c r="J49" s="345">
        <v>0</v>
      </c>
      <c r="K49" s="345">
        <v>94.22</v>
      </c>
      <c r="L49" s="345">
        <v>94.03</v>
      </c>
      <c r="M49" s="345">
        <v>4.87</v>
      </c>
      <c r="N49" s="345">
        <v>97.33</v>
      </c>
      <c r="O49" s="348">
        <v>3094</v>
      </c>
      <c r="P49" s="345">
        <v>86.46</v>
      </c>
      <c r="Q49" s="345">
        <v>86.69</v>
      </c>
      <c r="R49" s="345">
        <v>26.66</v>
      </c>
      <c r="S49" s="345">
        <v>113.1</v>
      </c>
      <c r="T49" s="348">
        <v>1043</v>
      </c>
      <c r="U49" s="345">
        <v>118.86</v>
      </c>
      <c r="V49" s="348">
        <v>347</v>
      </c>
      <c r="W49" s="345">
        <v>0</v>
      </c>
      <c r="X49" s="348">
        <v>0</v>
      </c>
      <c r="Y49" s="345">
        <v>0</v>
      </c>
      <c r="Z49" s="345">
        <v>9</v>
      </c>
      <c r="AA49" s="345">
        <v>3</v>
      </c>
      <c r="AB49" s="345">
        <v>15</v>
      </c>
      <c r="AC49" s="345">
        <v>10</v>
      </c>
      <c r="AD49" s="345">
        <v>3480</v>
      </c>
      <c r="AE49" s="345">
        <v>21</v>
      </c>
      <c r="AF49" s="345">
        <v>6</v>
      </c>
      <c r="AG49" s="345">
        <v>27</v>
      </c>
    </row>
    <row r="50" spans="1:33" x14ac:dyDescent="0.2">
      <c r="A50" s="344" t="s">
        <v>158</v>
      </c>
      <c r="B50" s="344" t="s">
        <v>159</v>
      </c>
      <c r="C50" s="345">
        <v>4831</v>
      </c>
      <c r="D50" s="345">
        <v>0</v>
      </c>
      <c r="E50" s="345">
        <v>107</v>
      </c>
      <c r="F50" s="345">
        <v>378</v>
      </c>
      <c r="G50" s="345">
        <v>399</v>
      </c>
      <c r="H50" s="345">
        <v>5715</v>
      </c>
      <c r="I50" s="345">
        <v>5316</v>
      </c>
      <c r="J50" s="345">
        <v>0</v>
      </c>
      <c r="K50" s="345">
        <v>116.17</v>
      </c>
      <c r="L50" s="345">
        <v>113.33</v>
      </c>
      <c r="M50" s="345">
        <v>9.07</v>
      </c>
      <c r="N50" s="345">
        <v>121.77</v>
      </c>
      <c r="O50" s="348">
        <v>3952</v>
      </c>
      <c r="P50" s="345">
        <v>103.66</v>
      </c>
      <c r="Q50" s="345">
        <v>93.25</v>
      </c>
      <c r="R50" s="345">
        <v>35.39</v>
      </c>
      <c r="S50" s="345">
        <v>138.46</v>
      </c>
      <c r="T50" s="348">
        <v>481</v>
      </c>
      <c r="U50" s="345">
        <v>177.08</v>
      </c>
      <c r="V50" s="348">
        <v>856</v>
      </c>
      <c r="W50" s="345">
        <v>0</v>
      </c>
      <c r="X50" s="348">
        <v>0</v>
      </c>
      <c r="Y50" s="345">
        <v>0</v>
      </c>
      <c r="Z50" s="345">
        <v>8</v>
      </c>
      <c r="AA50" s="345">
        <v>0</v>
      </c>
      <c r="AB50" s="345">
        <v>16</v>
      </c>
      <c r="AC50" s="345">
        <v>10</v>
      </c>
      <c r="AD50" s="345">
        <v>4831</v>
      </c>
      <c r="AE50" s="345">
        <v>45</v>
      </c>
      <c r="AF50" s="345">
        <v>7</v>
      </c>
      <c r="AG50" s="345">
        <v>52</v>
      </c>
    </row>
    <row r="51" spans="1:33" x14ac:dyDescent="0.2">
      <c r="A51" s="344" t="s">
        <v>160</v>
      </c>
      <c r="B51" s="344" t="s">
        <v>161</v>
      </c>
      <c r="C51" s="345">
        <v>1135</v>
      </c>
      <c r="D51" s="345">
        <v>0</v>
      </c>
      <c r="E51" s="345">
        <v>123</v>
      </c>
      <c r="F51" s="345">
        <v>108</v>
      </c>
      <c r="G51" s="345">
        <v>103</v>
      </c>
      <c r="H51" s="345">
        <v>1469</v>
      </c>
      <c r="I51" s="345">
        <v>1366</v>
      </c>
      <c r="J51" s="345">
        <v>5</v>
      </c>
      <c r="K51" s="345">
        <v>82.55</v>
      </c>
      <c r="L51" s="345">
        <v>79.98</v>
      </c>
      <c r="M51" s="345">
        <v>7.58</v>
      </c>
      <c r="N51" s="345">
        <v>88.96</v>
      </c>
      <c r="O51" s="348">
        <v>930</v>
      </c>
      <c r="P51" s="345">
        <v>101.49</v>
      </c>
      <c r="Q51" s="345">
        <v>73.27</v>
      </c>
      <c r="R51" s="345">
        <v>65.709999999999994</v>
      </c>
      <c r="S51" s="345">
        <v>166.88</v>
      </c>
      <c r="T51" s="348">
        <v>204</v>
      </c>
      <c r="U51" s="345">
        <v>100.46</v>
      </c>
      <c r="V51" s="348">
        <v>180</v>
      </c>
      <c r="W51" s="345">
        <v>204.71</v>
      </c>
      <c r="X51" s="348">
        <v>27</v>
      </c>
      <c r="Y51" s="345">
        <v>0</v>
      </c>
      <c r="Z51" s="345">
        <v>0</v>
      </c>
      <c r="AA51" s="345">
        <v>1</v>
      </c>
      <c r="AB51" s="345">
        <v>8</v>
      </c>
      <c r="AC51" s="345">
        <v>1</v>
      </c>
      <c r="AD51" s="345">
        <v>1135</v>
      </c>
      <c r="AE51" s="345">
        <v>7</v>
      </c>
      <c r="AF51" s="345">
        <v>2</v>
      </c>
      <c r="AG51" s="345">
        <v>9</v>
      </c>
    </row>
    <row r="52" spans="1:33" x14ac:dyDescent="0.2">
      <c r="A52" s="344" t="s">
        <v>775</v>
      </c>
      <c r="B52" s="344" t="s">
        <v>770</v>
      </c>
      <c r="C52" s="345">
        <v>25615</v>
      </c>
      <c r="D52" s="345">
        <v>3</v>
      </c>
      <c r="E52" s="345">
        <v>974</v>
      </c>
      <c r="F52" s="345">
        <v>3265</v>
      </c>
      <c r="G52" s="345">
        <v>2634</v>
      </c>
      <c r="H52" s="345">
        <v>32491</v>
      </c>
      <c r="I52" s="345">
        <v>29857</v>
      </c>
      <c r="J52" s="345">
        <v>142</v>
      </c>
      <c r="K52" s="345">
        <v>113.66</v>
      </c>
      <c r="L52" s="345">
        <v>113.19</v>
      </c>
      <c r="M52" s="345">
        <v>5.17</v>
      </c>
      <c r="N52" s="345">
        <v>117.12</v>
      </c>
      <c r="O52" s="348">
        <v>20837</v>
      </c>
      <c r="P52" s="345">
        <v>107.58</v>
      </c>
      <c r="Q52" s="345">
        <v>97.09</v>
      </c>
      <c r="R52" s="345">
        <v>29.98</v>
      </c>
      <c r="S52" s="345">
        <v>135.56</v>
      </c>
      <c r="T52" s="348">
        <v>3823</v>
      </c>
      <c r="U52" s="345">
        <v>172.48</v>
      </c>
      <c r="V52" s="348">
        <v>4170</v>
      </c>
      <c r="W52" s="345">
        <v>170.89</v>
      </c>
      <c r="X52" s="348">
        <v>70</v>
      </c>
      <c r="Y52" s="345">
        <v>15</v>
      </c>
      <c r="Z52" s="345">
        <v>46</v>
      </c>
      <c r="AA52" s="345">
        <v>30</v>
      </c>
      <c r="AB52" s="345">
        <v>155</v>
      </c>
      <c r="AC52" s="345">
        <v>55</v>
      </c>
      <c r="AD52" s="345">
        <v>25257</v>
      </c>
      <c r="AE52" s="345">
        <v>196</v>
      </c>
      <c r="AF52" s="345">
        <v>242</v>
      </c>
      <c r="AG52" s="345">
        <v>438</v>
      </c>
    </row>
    <row r="53" spans="1:33" x14ac:dyDescent="0.2">
      <c r="A53" s="344" t="s">
        <v>162</v>
      </c>
      <c r="B53" s="344" t="s">
        <v>163</v>
      </c>
      <c r="C53" s="345">
        <v>4651</v>
      </c>
      <c r="D53" s="345">
        <v>0</v>
      </c>
      <c r="E53" s="345">
        <v>360</v>
      </c>
      <c r="F53" s="345">
        <v>1452</v>
      </c>
      <c r="G53" s="345">
        <v>62</v>
      </c>
      <c r="H53" s="345">
        <v>6525</v>
      </c>
      <c r="I53" s="345">
        <v>6463</v>
      </c>
      <c r="J53" s="345">
        <v>3</v>
      </c>
      <c r="K53" s="345">
        <v>82.54</v>
      </c>
      <c r="L53" s="345">
        <v>79.069999999999993</v>
      </c>
      <c r="M53" s="345">
        <v>2.8</v>
      </c>
      <c r="N53" s="345">
        <v>85.15</v>
      </c>
      <c r="O53" s="348">
        <v>3799</v>
      </c>
      <c r="P53" s="345">
        <v>81.36</v>
      </c>
      <c r="Q53" s="345">
        <v>70.36</v>
      </c>
      <c r="R53" s="345">
        <v>37.35</v>
      </c>
      <c r="S53" s="345">
        <v>118.35</v>
      </c>
      <c r="T53" s="348">
        <v>1616</v>
      </c>
      <c r="U53" s="345">
        <v>98.92</v>
      </c>
      <c r="V53" s="348">
        <v>817</v>
      </c>
      <c r="W53" s="345">
        <v>265.08</v>
      </c>
      <c r="X53" s="348">
        <v>123</v>
      </c>
      <c r="Y53" s="345">
        <v>0</v>
      </c>
      <c r="Z53" s="345">
        <v>33</v>
      </c>
      <c r="AA53" s="345">
        <v>0</v>
      </c>
      <c r="AB53" s="345">
        <v>0</v>
      </c>
      <c r="AC53" s="345">
        <v>1</v>
      </c>
      <c r="AD53" s="345">
        <v>4618</v>
      </c>
      <c r="AE53" s="345">
        <v>45</v>
      </c>
      <c r="AF53" s="345">
        <v>11</v>
      </c>
      <c r="AG53" s="345">
        <v>56</v>
      </c>
    </row>
    <row r="54" spans="1:33" x14ac:dyDescent="0.2">
      <c r="A54" s="344" t="s">
        <v>164</v>
      </c>
      <c r="B54" s="344" t="s">
        <v>165</v>
      </c>
      <c r="C54" s="345">
        <v>3922</v>
      </c>
      <c r="D54" s="345">
        <v>12</v>
      </c>
      <c r="E54" s="345">
        <v>528</v>
      </c>
      <c r="F54" s="345">
        <v>588</v>
      </c>
      <c r="G54" s="345">
        <v>186</v>
      </c>
      <c r="H54" s="345">
        <v>5236</v>
      </c>
      <c r="I54" s="345">
        <v>5050</v>
      </c>
      <c r="J54" s="345">
        <v>1</v>
      </c>
      <c r="K54" s="345">
        <v>84.27</v>
      </c>
      <c r="L54" s="345">
        <v>82.88</v>
      </c>
      <c r="M54" s="345">
        <v>4.7300000000000004</v>
      </c>
      <c r="N54" s="345">
        <v>87.96</v>
      </c>
      <c r="O54" s="348">
        <v>3079</v>
      </c>
      <c r="P54" s="345">
        <v>91.58</v>
      </c>
      <c r="Q54" s="345">
        <v>77.849999999999994</v>
      </c>
      <c r="R54" s="345">
        <v>48.06</v>
      </c>
      <c r="S54" s="345">
        <v>135.5</v>
      </c>
      <c r="T54" s="348">
        <v>813</v>
      </c>
      <c r="U54" s="345">
        <v>107.24</v>
      </c>
      <c r="V54" s="348">
        <v>640</v>
      </c>
      <c r="W54" s="345">
        <v>127.86</v>
      </c>
      <c r="X54" s="348">
        <v>17</v>
      </c>
      <c r="Y54" s="345">
        <v>3</v>
      </c>
      <c r="Z54" s="345">
        <v>4</v>
      </c>
      <c r="AA54" s="345">
        <v>0</v>
      </c>
      <c r="AB54" s="345">
        <v>33</v>
      </c>
      <c r="AC54" s="345">
        <v>1</v>
      </c>
      <c r="AD54" s="345">
        <v>3634</v>
      </c>
      <c r="AE54" s="345">
        <v>28</v>
      </c>
      <c r="AF54" s="345">
        <v>15</v>
      </c>
      <c r="AG54" s="345">
        <v>43</v>
      </c>
    </row>
    <row r="55" spans="1:33" x14ac:dyDescent="0.2">
      <c r="A55" s="344" t="s">
        <v>166</v>
      </c>
      <c r="B55" s="344" t="s">
        <v>167</v>
      </c>
      <c r="C55" s="345">
        <v>12457</v>
      </c>
      <c r="D55" s="345">
        <v>0</v>
      </c>
      <c r="E55" s="345">
        <v>430</v>
      </c>
      <c r="F55" s="345">
        <v>1103</v>
      </c>
      <c r="G55" s="345">
        <v>274</v>
      </c>
      <c r="H55" s="345">
        <v>14264</v>
      </c>
      <c r="I55" s="345">
        <v>13990</v>
      </c>
      <c r="J55" s="345">
        <v>25</v>
      </c>
      <c r="K55" s="345">
        <v>80.13</v>
      </c>
      <c r="L55" s="345">
        <v>78.430000000000007</v>
      </c>
      <c r="M55" s="345">
        <v>5.66</v>
      </c>
      <c r="N55" s="345">
        <v>85.53</v>
      </c>
      <c r="O55" s="348">
        <v>11597</v>
      </c>
      <c r="P55" s="345">
        <v>88.82</v>
      </c>
      <c r="Q55" s="345">
        <v>75.790000000000006</v>
      </c>
      <c r="R55" s="345">
        <v>39.229999999999997</v>
      </c>
      <c r="S55" s="345">
        <v>127.76</v>
      </c>
      <c r="T55" s="348">
        <v>1325</v>
      </c>
      <c r="U55" s="345">
        <v>103.34</v>
      </c>
      <c r="V55" s="348">
        <v>786</v>
      </c>
      <c r="W55" s="345">
        <v>84.68</v>
      </c>
      <c r="X55" s="348">
        <v>6</v>
      </c>
      <c r="Y55" s="345">
        <v>0</v>
      </c>
      <c r="Z55" s="345">
        <v>36</v>
      </c>
      <c r="AA55" s="345">
        <v>5</v>
      </c>
      <c r="AB55" s="345">
        <v>46</v>
      </c>
      <c r="AC55" s="345">
        <v>3</v>
      </c>
      <c r="AD55" s="345">
        <v>12428</v>
      </c>
      <c r="AE55" s="345">
        <v>82</v>
      </c>
      <c r="AF55" s="345">
        <v>180</v>
      </c>
      <c r="AG55" s="345">
        <v>262</v>
      </c>
    </row>
    <row r="56" spans="1:33" x14ac:dyDescent="0.2">
      <c r="A56" s="344" t="s">
        <v>168</v>
      </c>
      <c r="B56" s="344" t="s">
        <v>169</v>
      </c>
      <c r="C56" s="345">
        <v>3860</v>
      </c>
      <c r="D56" s="345">
        <v>595</v>
      </c>
      <c r="E56" s="345">
        <v>467</v>
      </c>
      <c r="F56" s="345">
        <v>495</v>
      </c>
      <c r="G56" s="345">
        <v>695</v>
      </c>
      <c r="H56" s="345">
        <v>6112</v>
      </c>
      <c r="I56" s="345">
        <v>5417</v>
      </c>
      <c r="J56" s="345">
        <v>4</v>
      </c>
      <c r="K56" s="345">
        <v>111.15</v>
      </c>
      <c r="L56" s="345">
        <v>111.3</v>
      </c>
      <c r="M56" s="345">
        <v>9.68</v>
      </c>
      <c r="N56" s="345">
        <v>117.8</v>
      </c>
      <c r="O56" s="348">
        <v>2667</v>
      </c>
      <c r="P56" s="345">
        <v>99.09</v>
      </c>
      <c r="Q56" s="345">
        <v>92.26</v>
      </c>
      <c r="R56" s="345">
        <v>70.08</v>
      </c>
      <c r="S56" s="345">
        <v>168.52</v>
      </c>
      <c r="T56" s="348">
        <v>866</v>
      </c>
      <c r="U56" s="345">
        <v>158.65</v>
      </c>
      <c r="V56" s="348">
        <v>947</v>
      </c>
      <c r="W56" s="345">
        <v>281.39</v>
      </c>
      <c r="X56" s="348">
        <v>2</v>
      </c>
      <c r="Y56" s="345">
        <v>0</v>
      </c>
      <c r="Z56" s="345">
        <v>0</v>
      </c>
      <c r="AA56" s="345">
        <v>4</v>
      </c>
      <c r="AB56" s="345">
        <v>30</v>
      </c>
      <c r="AC56" s="345">
        <v>51</v>
      </c>
      <c r="AD56" s="345">
        <v>3843</v>
      </c>
      <c r="AE56" s="345">
        <v>74</v>
      </c>
      <c r="AF56" s="345">
        <v>7</v>
      </c>
      <c r="AG56" s="345">
        <v>81</v>
      </c>
    </row>
    <row r="57" spans="1:33" x14ac:dyDescent="0.2">
      <c r="A57" s="344" t="s">
        <v>170</v>
      </c>
      <c r="B57" s="344" t="s">
        <v>171</v>
      </c>
      <c r="C57" s="345">
        <v>8350</v>
      </c>
      <c r="D57" s="345">
        <v>992</v>
      </c>
      <c r="E57" s="345">
        <v>1509</v>
      </c>
      <c r="F57" s="345">
        <v>902</v>
      </c>
      <c r="G57" s="345">
        <v>553</v>
      </c>
      <c r="H57" s="345">
        <v>12306</v>
      </c>
      <c r="I57" s="345">
        <v>11753</v>
      </c>
      <c r="J57" s="345">
        <v>18</v>
      </c>
      <c r="K57" s="345">
        <v>136.88</v>
      </c>
      <c r="L57" s="345">
        <v>146.4</v>
      </c>
      <c r="M57" s="345">
        <v>15.46</v>
      </c>
      <c r="N57" s="345">
        <v>150.9</v>
      </c>
      <c r="O57" s="348">
        <v>6124</v>
      </c>
      <c r="P57" s="345">
        <v>114.37</v>
      </c>
      <c r="Q57" s="345">
        <v>115.03</v>
      </c>
      <c r="R57" s="345">
        <v>84.11</v>
      </c>
      <c r="S57" s="345">
        <v>197.1</v>
      </c>
      <c r="T57" s="348">
        <v>2207</v>
      </c>
      <c r="U57" s="345">
        <v>224.19</v>
      </c>
      <c r="V57" s="348">
        <v>520</v>
      </c>
      <c r="W57" s="345">
        <v>257.67</v>
      </c>
      <c r="X57" s="348">
        <v>60</v>
      </c>
      <c r="Y57" s="345">
        <v>1</v>
      </c>
      <c r="Z57" s="345">
        <v>0</v>
      </c>
      <c r="AA57" s="345">
        <v>8</v>
      </c>
      <c r="AB57" s="345">
        <v>15</v>
      </c>
      <c r="AC57" s="345">
        <v>18</v>
      </c>
      <c r="AD57" s="345">
        <v>6945</v>
      </c>
      <c r="AE57" s="345">
        <v>72</v>
      </c>
      <c r="AF57" s="345">
        <v>63</v>
      </c>
      <c r="AG57" s="345">
        <v>135</v>
      </c>
    </row>
    <row r="58" spans="1:33" x14ac:dyDescent="0.2">
      <c r="A58" s="344" t="s">
        <v>172</v>
      </c>
      <c r="B58" s="344" t="s">
        <v>173</v>
      </c>
      <c r="C58" s="345">
        <v>1947</v>
      </c>
      <c r="D58" s="345">
        <v>2</v>
      </c>
      <c r="E58" s="345">
        <v>241</v>
      </c>
      <c r="F58" s="345">
        <v>271</v>
      </c>
      <c r="G58" s="345">
        <v>297</v>
      </c>
      <c r="H58" s="345">
        <v>2758</v>
      </c>
      <c r="I58" s="345">
        <v>2461</v>
      </c>
      <c r="J58" s="345">
        <v>0</v>
      </c>
      <c r="K58" s="345">
        <v>93.5</v>
      </c>
      <c r="L58" s="345">
        <v>91.48</v>
      </c>
      <c r="M58" s="345">
        <v>5.22</v>
      </c>
      <c r="N58" s="345">
        <v>96.87</v>
      </c>
      <c r="O58" s="348">
        <v>1402</v>
      </c>
      <c r="P58" s="345">
        <v>102.69</v>
      </c>
      <c r="Q58" s="345">
        <v>81.62</v>
      </c>
      <c r="R58" s="345">
        <v>68.260000000000005</v>
      </c>
      <c r="S58" s="345">
        <v>170.76</v>
      </c>
      <c r="T58" s="348">
        <v>364</v>
      </c>
      <c r="U58" s="345">
        <v>120.64</v>
      </c>
      <c r="V58" s="348">
        <v>499</v>
      </c>
      <c r="W58" s="345">
        <v>225.81</v>
      </c>
      <c r="X58" s="348">
        <v>69</v>
      </c>
      <c r="Y58" s="345">
        <v>0</v>
      </c>
      <c r="Z58" s="345">
        <v>0</v>
      </c>
      <c r="AA58" s="345">
        <v>4</v>
      </c>
      <c r="AB58" s="345">
        <v>32</v>
      </c>
      <c r="AC58" s="345">
        <v>6</v>
      </c>
      <c r="AD58" s="345">
        <v>1924</v>
      </c>
      <c r="AE58" s="345">
        <v>34</v>
      </c>
      <c r="AF58" s="345">
        <v>7</v>
      </c>
      <c r="AG58" s="345">
        <v>41</v>
      </c>
    </row>
    <row r="59" spans="1:33" x14ac:dyDescent="0.2">
      <c r="A59" s="344" t="s">
        <v>174</v>
      </c>
      <c r="B59" s="344" t="s">
        <v>175</v>
      </c>
      <c r="C59" s="345">
        <v>2154</v>
      </c>
      <c r="D59" s="345">
        <v>0</v>
      </c>
      <c r="E59" s="345">
        <v>184</v>
      </c>
      <c r="F59" s="345">
        <v>380</v>
      </c>
      <c r="G59" s="345">
        <v>548</v>
      </c>
      <c r="H59" s="345">
        <v>3266</v>
      </c>
      <c r="I59" s="345">
        <v>2718</v>
      </c>
      <c r="J59" s="345">
        <v>0</v>
      </c>
      <c r="K59" s="345">
        <v>105.76</v>
      </c>
      <c r="L59" s="345">
        <v>104.71</v>
      </c>
      <c r="M59" s="345">
        <v>8.1</v>
      </c>
      <c r="N59" s="345">
        <v>112.57</v>
      </c>
      <c r="O59" s="348">
        <v>1380</v>
      </c>
      <c r="P59" s="345">
        <v>92.52</v>
      </c>
      <c r="Q59" s="345">
        <v>81.040000000000006</v>
      </c>
      <c r="R59" s="345">
        <v>53.31</v>
      </c>
      <c r="S59" s="345">
        <v>140.57</v>
      </c>
      <c r="T59" s="348">
        <v>537</v>
      </c>
      <c r="U59" s="345">
        <v>153</v>
      </c>
      <c r="V59" s="348">
        <v>479</v>
      </c>
      <c r="W59" s="345">
        <v>122.03</v>
      </c>
      <c r="X59" s="348">
        <v>6</v>
      </c>
      <c r="Y59" s="345">
        <v>0</v>
      </c>
      <c r="Z59" s="345">
        <v>0</v>
      </c>
      <c r="AA59" s="345">
        <v>1</v>
      </c>
      <c r="AB59" s="345">
        <v>29</v>
      </c>
      <c r="AC59" s="345">
        <v>7</v>
      </c>
      <c r="AD59" s="345">
        <v>1968</v>
      </c>
      <c r="AE59" s="345">
        <v>30</v>
      </c>
      <c r="AF59" s="345">
        <v>13</v>
      </c>
      <c r="AG59" s="345">
        <v>43</v>
      </c>
    </row>
    <row r="60" spans="1:33" x14ac:dyDescent="0.2">
      <c r="A60" s="344" t="s">
        <v>176</v>
      </c>
      <c r="B60" s="344" t="s">
        <v>177</v>
      </c>
      <c r="C60" s="345">
        <v>7272</v>
      </c>
      <c r="D60" s="345">
        <v>0</v>
      </c>
      <c r="E60" s="345">
        <v>302</v>
      </c>
      <c r="F60" s="345">
        <v>337</v>
      </c>
      <c r="G60" s="345">
        <v>302</v>
      </c>
      <c r="H60" s="345">
        <v>8213</v>
      </c>
      <c r="I60" s="345">
        <v>7911</v>
      </c>
      <c r="J60" s="345">
        <v>12</v>
      </c>
      <c r="K60" s="345">
        <v>83.93</v>
      </c>
      <c r="L60" s="345">
        <v>80.41</v>
      </c>
      <c r="M60" s="345">
        <v>4.38</v>
      </c>
      <c r="N60" s="345">
        <v>87.21</v>
      </c>
      <c r="O60" s="348">
        <v>5686</v>
      </c>
      <c r="P60" s="345">
        <v>100.31</v>
      </c>
      <c r="Q60" s="345">
        <v>78.45</v>
      </c>
      <c r="R60" s="345">
        <v>58.96</v>
      </c>
      <c r="S60" s="345">
        <v>156.36000000000001</v>
      </c>
      <c r="T60" s="348">
        <v>546</v>
      </c>
      <c r="U60" s="345">
        <v>95.28</v>
      </c>
      <c r="V60" s="348">
        <v>1556</v>
      </c>
      <c r="W60" s="345">
        <v>0</v>
      </c>
      <c r="X60" s="348">
        <v>0</v>
      </c>
      <c r="Y60" s="345">
        <v>0</v>
      </c>
      <c r="Z60" s="345">
        <v>29</v>
      </c>
      <c r="AA60" s="345">
        <v>6</v>
      </c>
      <c r="AB60" s="345">
        <v>11</v>
      </c>
      <c r="AC60" s="345">
        <v>2</v>
      </c>
      <c r="AD60" s="345">
        <v>7257</v>
      </c>
      <c r="AE60" s="345">
        <v>75</v>
      </c>
      <c r="AF60" s="345">
        <v>38</v>
      </c>
      <c r="AG60" s="345">
        <v>113</v>
      </c>
    </row>
    <row r="61" spans="1:33" x14ac:dyDescent="0.2">
      <c r="A61" s="344" t="s">
        <v>178</v>
      </c>
      <c r="B61" s="344" t="s">
        <v>179</v>
      </c>
      <c r="C61" s="345">
        <v>458</v>
      </c>
      <c r="D61" s="345">
        <v>0</v>
      </c>
      <c r="E61" s="345">
        <v>72</v>
      </c>
      <c r="F61" s="345">
        <v>73</v>
      </c>
      <c r="G61" s="345">
        <v>93</v>
      </c>
      <c r="H61" s="345">
        <v>696</v>
      </c>
      <c r="I61" s="345">
        <v>603</v>
      </c>
      <c r="J61" s="345">
        <v>8</v>
      </c>
      <c r="K61" s="345">
        <v>109.9</v>
      </c>
      <c r="L61" s="345">
        <v>107.72</v>
      </c>
      <c r="M61" s="345">
        <v>8.48</v>
      </c>
      <c r="N61" s="345">
        <v>114.76</v>
      </c>
      <c r="O61" s="348">
        <v>366</v>
      </c>
      <c r="P61" s="345">
        <v>94.64</v>
      </c>
      <c r="Q61" s="345">
        <v>84.12</v>
      </c>
      <c r="R61" s="345">
        <v>71.58</v>
      </c>
      <c r="S61" s="345">
        <v>164.52</v>
      </c>
      <c r="T61" s="348">
        <v>126</v>
      </c>
      <c r="U61" s="345">
        <v>153.46</v>
      </c>
      <c r="V61" s="348">
        <v>76</v>
      </c>
      <c r="W61" s="345">
        <v>0</v>
      </c>
      <c r="X61" s="348">
        <v>0</v>
      </c>
      <c r="Y61" s="345">
        <v>0</v>
      </c>
      <c r="Z61" s="345">
        <v>0</v>
      </c>
      <c r="AA61" s="345">
        <v>0</v>
      </c>
      <c r="AB61" s="345">
        <v>0</v>
      </c>
      <c r="AC61" s="345">
        <v>1</v>
      </c>
      <c r="AD61" s="345">
        <v>458</v>
      </c>
      <c r="AE61" s="345">
        <v>1</v>
      </c>
      <c r="AF61" s="345">
        <v>0</v>
      </c>
      <c r="AG61" s="345">
        <v>1</v>
      </c>
    </row>
    <row r="62" spans="1:33" x14ac:dyDescent="0.2">
      <c r="A62" s="344" t="s">
        <v>180</v>
      </c>
      <c r="B62" s="344" t="s">
        <v>181</v>
      </c>
      <c r="C62" s="345">
        <v>10551</v>
      </c>
      <c r="D62" s="345">
        <v>0</v>
      </c>
      <c r="E62" s="345">
        <v>285</v>
      </c>
      <c r="F62" s="345">
        <v>813</v>
      </c>
      <c r="G62" s="345">
        <v>2353</v>
      </c>
      <c r="H62" s="345">
        <v>14002</v>
      </c>
      <c r="I62" s="345">
        <v>11649</v>
      </c>
      <c r="J62" s="345">
        <v>23</v>
      </c>
      <c r="K62" s="345">
        <v>104.75</v>
      </c>
      <c r="L62" s="345">
        <v>105.14</v>
      </c>
      <c r="M62" s="345">
        <v>4.8</v>
      </c>
      <c r="N62" s="345">
        <v>106.16</v>
      </c>
      <c r="O62" s="348">
        <v>8392</v>
      </c>
      <c r="P62" s="345">
        <v>99.7</v>
      </c>
      <c r="Q62" s="345">
        <v>87.12</v>
      </c>
      <c r="R62" s="345">
        <v>34.520000000000003</v>
      </c>
      <c r="S62" s="345">
        <v>130.1</v>
      </c>
      <c r="T62" s="348">
        <v>1022</v>
      </c>
      <c r="U62" s="345">
        <v>157.38999999999999</v>
      </c>
      <c r="V62" s="348">
        <v>2086</v>
      </c>
      <c r="W62" s="345">
        <v>126.04</v>
      </c>
      <c r="X62" s="348">
        <v>50</v>
      </c>
      <c r="Y62" s="345">
        <v>76</v>
      </c>
      <c r="Z62" s="345">
        <v>7</v>
      </c>
      <c r="AA62" s="345">
        <v>2</v>
      </c>
      <c r="AB62" s="345">
        <v>312</v>
      </c>
      <c r="AC62" s="345">
        <v>39</v>
      </c>
      <c r="AD62" s="345">
        <v>10550</v>
      </c>
      <c r="AE62" s="345">
        <v>125</v>
      </c>
      <c r="AF62" s="345">
        <v>30</v>
      </c>
      <c r="AG62" s="345">
        <v>155</v>
      </c>
    </row>
    <row r="63" spans="1:33" x14ac:dyDescent="0.2">
      <c r="A63" s="344" t="s">
        <v>182</v>
      </c>
      <c r="B63" s="344" t="s">
        <v>183</v>
      </c>
      <c r="C63" s="345">
        <v>3297</v>
      </c>
      <c r="D63" s="345">
        <v>0</v>
      </c>
      <c r="E63" s="345">
        <v>402</v>
      </c>
      <c r="F63" s="345">
        <v>254</v>
      </c>
      <c r="G63" s="345">
        <v>696</v>
      </c>
      <c r="H63" s="345">
        <v>4649</v>
      </c>
      <c r="I63" s="345">
        <v>3953</v>
      </c>
      <c r="J63" s="345">
        <v>3</v>
      </c>
      <c r="K63" s="345">
        <v>94.08</v>
      </c>
      <c r="L63" s="345">
        <v>91.48</v>
      </c>
      <c r="M63" s="345">
        <v>6.81</v>
      </c>
      <c r="N63" s="345">
        <v>99.38</v>
      </c>
      <c r="O63" s="348">
        <v>2238</v>
      </c>
      <c r="P63" s="345">
        <v>106.76</v>
      </c>
      <c r="Q63" s="345">
        <v>83.33</v>
      </c>
      <c r="R63" s="345">
        <v>67.08</v>
      </c>
      <c r="S63" s="345">
        <v>171.5</v>
      </c>
      <c r="T63" s="348">
        <v>489</v>
      </c>
      <c r="U63" s="345">
        <v>115.19</v>
      </c>
      <c r="V63" s="348">
        <v>954</v>
      </c>
      <c r="W63" s="345">
        <v>119.58</v>
      </c>
      <c r="X63" s="348">
        <v>69</v>
      </c>
      <c r="Y63" s="345">
        <v>4</v>
      </c>
      <c r="Z63" s="345">
        <v>1</v>
      </c>
      <c r="AA63" s="345">
        <v>0</v>
      </c>
      <c r="AB63" s="345">
        <v>21</v>
      </c>
      <c r="AC63" s="345">
        <v>29</v>
      </c>
      <c r="AD63" s="345">
        <v>3297</v>
      </c>
      <c r="AE63" s="345">
        <v>16</v>
      </c>
      <c r="AF63" s="345">
        <v>31</v>
      </c>
      <c r="AG63" s="345">
        <v>47</v>
      </c>
    </row>
    <row r="64" spans="1:33" x14ac:dyDescent="0.2">
      <c r="A64" s="344" t="s">
        <v>184</v>
      </c>
      <c r="B64" s="344" t="s">
        <v>185</v>
      </c>
      <c r="C64" s="345">
        <v>9901</v>
      </c>
      <c r="D64" s="345">
        <v>250</v>
      </c>
      <c r="E64" s="345">
        <v>348</v>
      </c>
      <c r="F64" s="345">
        <v>288</v>
      </c>
      <c r="G64" s="345">
        <v>875</v>
      </c>
      <c r="H64" s="345">
        <v>11662</v>
      </c>
      <c r="I64" s="345">
        <v>10787</v>
      </c>
      <c r="J64" s="345">
        <v>7</v>
      </c>
      <c r="K64" s="345">
        <v>104.34</v>
      </c>
      <c r="L64" s="345">
        <v>102.3</v>
      </c>
      <c r="M64" s="345">
        <v>11.21</v>
      </c>
      <c r="N64" s="345">
        <v>109.69</v>
      </c>
      <c r="O64" s="348">
        <v>8611</v>
      </c>
      <c r="P64" s="345">
        <v>98.4</v>
      </c>
      <c r="Q64" s="345">
        <v>91.99</v>
      </c>
      <c r="R64" s="345">
        <v>87.73</v>
      </c>
      <c r="S64" s="345">
        <v>181.96</v>
      </c>
      <c r="T64" s="348">
        <v>526</v>
      </c>
      <c r="U64" s="345">
        <v>154.25</v>
      </c>
      <c r="V64" s="348">
        <v>1152</v>
      </c>
      <c r="W64" s="345">
        <v>0</v>
      </c>
      <c r="X64" s="348">
        <v>0</v>
      </c>
      <c r="Y64" s="345">
        <v>52</v>
      </c>
      <c r="Z64" s="345">
        <v>4</v>
      </c>
      <c r="AA64" s="345">
        <v>0</v>
      </c>
      <c r="AB64" s="345">
        <v>101</v>
      </c>
      <c r="AC64" s="345">
        <v>19</v>
      </c>
      <c r="AD64" s="345">
        <v>9871</v>
      </c>
      <c r="AE64" s="345">
        <v>122</v>
      </c>
      <c r="AF64" s="345">
        <v>67</v>
      </c>
      <c r="AG64" s="345">
        <v>189</v>
      </c>
    </row>
    <row r="65" spans="1:33" x14ac:dyDescent="0.2">
      <c r="A65" s="344" t="s">
        <v>186</v>
      </c>
      <c r="B65" s="344" t="s">
        <v>187</v>
      </c>
      <c r="C65" s="345">
        <v>1872</v>
      </c>
      <c r="D65" s="345">
        <v>0</v>
      </c>
      <c r="E65" s="345">
        <v>414</v>
      </c>
      <c r="F65" s="345">
        <v>199</v>
      </c>
      <c r="G65" s="345">
        <v>368</v>
      </c>
      <c r="H65" s="345">
        <v>2853</v>
      </c>
      <c r="I65" s="345">
        <v>2485</v>
      </c>
      <c r="J65" s="345">
        <v>0</v>
      </c>
      <c r="K65" s="345">
        <v>97.93</v>
      </c>
      <c r="L65" s="345">
        <v>93.68</v>
      </c>
      <c r="M65" s="345">
        <v>6.31</v>
      </c>
      <c r="N65" s="345">
        <v>102.98</v>
      </c>
      <c r="O65" s="348">
        <v>1457</v>
      </c>
      <c r="P65" s="345">
        <v>87.93</v>
      </c>
      <c r="Q65" s="345">
        <v>84.37</v>
      </c>
      <c r="R65" s="345">
        <v>65.34</v>
      </c>
      <c r="S65" s="345">
        <v>146.69</v>
      </c>
      <c r="T65" s="348">
        <v>456</v>
      </c>
      <c r="U65" s="345">
        <v>137.63</v>
      </c>
      <c r="V65" s="348">
        <v>328</v>
      </c>
      <c r="W65" s="345">
        <v>242.36</v>
      </c>
      <c r="X65" s="348">
        <v>110</v>
      </c>
      <c r="Y65" s="345">
        <v>0</v>
      </c>
      <c r="Z65" s="345">
        <v>0</v>
      </c>
      <c r="AA65" s="345">
        <v>30</v>
      </c>
      <c r="AB65" s="345">
        <v>2</v>
      </c>
      <c r="AC65" s="345">
        <v>10</v>
      </c>
      <c r="AD65" s="345">
        <v>1715</v>
      </c>
      <c r="AE65" s="345">
        <v>26</v>
      </c>
      <c r="AF65" s="345">
        <v>53</v>
      </c>
      <c r="AG65" s="345">
        <v>79</v>
      </c>
    </row>
    <row r="66" spans="1:33" x14ac:dyDescent="0.2">
      <c r="A66" s="344" t="s">
        <v>188</v>
      </c>
      <c r="B66" s="344" t="s">
        <v>189</v>
      </c>
      <c r="C66" s="345">
        <v>7194</v>
      </c>
      <c r="D66" s="345">
        <v>7</v>
      </c>
      <c r="E66" s="345">
        <v>228</v>
      </c>
      <c r="F66" s="345">
        <v>1510</v>
      </c>
      <c r="G66" s="345">
        <v>1117</v>
      </c>
      <c r="H66" s="345">
        <v>10056</v>
      </c>
      <c r="I66" s="345">
        <v>8939</v>
      </c>
      <c r="J66" s="345">
        <v>10</v>
      </c>
      <c r="K66" s="345">
        <v>107.82</v>
      </c>
      <c r="L66" s="345">
        <v>107.71</v>
      </c>
      <c r="M66" s="345">
        <v>6.35</v>
      </c>
      <c r="N66" s="345">
        <v>109.89</v>
      </c>
      <c r="O66" s="348">
        <v>5081</v>
      </c>
      <c r="P66" s="345">
        <v>100.03</v>
      </c>
      <c r="Q66" s="345">
        <v>99.25</v>
      </c>
      <c r="R66" s="345">
        <v>26.23</v>
      </c>
      <c r="S66" s="345">
        <v>125.3</v>
      </c>
      <c r="T66" s="348">
        <v>1626</v>
      </c>
      <c r="U66" s="345">
        <v>166.28</v>
      </c>
      <c r="V66" s="348">
        <v>2026</v>
      </c>
      <c r="W66" s="345">
        <v>153.37</v>
      </c>
      <c r="X66" s="348">
        <v>73</v>
      </c>
      <c r="Y66" s="345">
        <v>18</v>
      </c>
      <c r="Z66" s="345">
        <v>13</v>
      </c>
      <c r="AA66" s="345">
        <v>2</v>
      </c>
      <c r="AB66" s="345">
        <v>69</v>
      </c>
      <c r="AC66" s="345">
        <v>31</v>
      </c>
      <c r="AD66" s="345">
        <v>7042</v>
      </c>
      <c r="AE66" s="345">
        <v>28</v>
      </c>
      <c r="AF66" s="345">
        <v>52</v>
      </c>
      <c r="AG66" s="345">
        <v>80</v>
      </c>
    </row>
    <row r="67" spans="1:33" x14ac:dyDescent="0.2">
      <c r="A67" s="344" t="s">
        <v>190</v>
      </c>
      <c r="B67" s="344" t="s">
        <v>191</v>
      </c>
      <c r="C67" s="345">
        <v>17876</v>
      </c>
      <c r="D67" s="345">
        <v>0</v>
      </c>
      <c r="E67" s="345">
        <v>858</v>
      </c>
      <c r="F67" s="345">
        <v>2824</v>
      </c>
      <c r="G67" s="345">
        <v>1849</v>
      </c>
      <c r="H67" s="345">
        <v>23407</v>
      </c>
      <c r="I67" s="345">
        <v>21558</v>
      </c>
      <c r="J67" s="345">
        <v>18</v>
      </c>
      <c r="K67" s="345">
        <v>91.59</v>
      </c>
      <c r="L67" s="345">
        <v>90.46</v>
      </c>
      <c r="M67" s="345">
        <v>6.11</v>
      </c>
      <c r="N67" s="345">
        <v>94.72</v>
      </c>
      <c r="O67" s="348">
        <v>13302</v>
      </c>
      <c r="P67" s="345">
        <v>92.09</v>
      </c>
      <c r="Q67" s="345">
        <v>82.89</v>
      </c>
      <c r="R67" s="345">
        <v>31.81</v>
      </c>
      <c r="S67" s="345">
        <v>116.01</v>
      </c>
      <c r="T67" s="348">
        <v>3211</v>
      </c>
      <c r="U67" s="345">
        <v>113.77</v>
      </c>
      <c r="V67" s="348">
        <v>4429</v>
      </c>
      <c r="W67" s="345">
        <v>109.43</v>
      </c>
      <c r="X67" s="348">
        <v>163</v>
      </c>
      <c r="Y67" s="345">
        <v>79</v>
      </c>
      <c r="Z67" s="345">
        <v>36</v>
      </c>
      <c r="AA67" s="345">
        <v>7</v>
      </c>
      <c r="AB67" s="345">
        <v>276</v>
      </c>
      <c r="AC67" s="345">
        <v>37</v>
      </c>
      <c r="AD67" s="345">
        <v>17781</v>
      </c>
      <c r="AE67" s="345">
        <v>124</v>
      </c>
      <c r="AF67" s="345">
        <v>83</v>
      </c>
      <c r="AG67" s="345">
        <v>207</v>
      </c>
    </row>
    <row r="68" spans="1:33" x14ac:dyDescent="0.2">
      <c r="A68" s="344" t="s">
        <v>192</v>
      </c>
      <c r="B68" s="344" t="s">
        <v>193</v>
      </c>
      <c r="C68" s="345">
        <v>14958</v>
      </c>
      <c r="D68" s="345">
        <v>5</v>
      </c>
      <c r="E68" s="345">
        <v>836</v>
      </c>
      <c r="F68" s="345">
        <v>2896</v>
      </c>
      <c r="G68" s="345">
        <v>2001</v>
      </c>
      <c r="H68" s="345">
        <v>20696</v>
      </c>
      <c r="I68" s="345">
        <v>18695</v>
      </c>
      <c r="J68" s="345">
        <v>6</v>
      </c>
      <c r="K68" s="345">
        <v>94.75</v>
      </c>
      <c r="L68" s="345">
        <v>96.52</v>
      </c>
      <c r="M68" s="345">
        <v>4.84</v>
      </c>
      <c r="N68" s="345">
        <v>96.63</v>
      </c>
      <c r="O68" s="348">
        <v>12023</v>
      </c>
      <c r="P68" s="345">
        <v>94.76</v>
      </c>
      <c r="Q68" s="345">
        <v>90.22</v>
      </c>
      <c r="R68" s="345">
        <v>37.08</v>
      </c>
      <c r="S68" s="345">
        <v>121.66</v>
      </c>
      <c r="T68" s="348">
        <v>3016</v>
      </c>
      <c r="U68" s="345">
        <v>116.65</v>
      </c>
      <c r="V68" s="348">
        <v>2603</v>
      </c>
      <c r="W68" s="345">
        <v>160.44999999999999</v>
      </c>
      <c r="X68" s="348">
        <v>431</v>
      </c>
      <c r="Y68" s="345">
        <v>14</v>
      </c>
      <c r="Z68" s="345">
        <v>32</v>
      </c>
      <c r="AA68" s="345">
        <v>12</v>
      </c>
      <c r="AB68" s="345">
        <v>125</v>
      </c>
      <c r="AC68" s="345">
        <v>40</v>
      </c>
      <c r="AD68" s="345">
        <v>14778</v>
      </c>
      <c r="AE68" s="345">
        <v>90</v>
      </c>
      <c r="AF68" s="345">
        <v>120</v>
      </c>
      <c r="AG68" s="345">
        <v>210</v>
      </c>
    </row>
    <row r="69" spans="1:33" x14ac:dyDescent="0.2">
      <c r="A69" s="344" t="s">
        <v>194</v>
      </c>
      <c r="B69" s="344" t="s">
        <v>195</v>
      </c>
      <c r="C69" s="345">
        <v>870</v>
      </c>
      <c r="D69" s="345">
        <v>10</v>
      </c>
      <c r="E69" s="345">
        <v>178</v>
      </c>
      <c r="F69" s="345">
        <v>496</v>
      </c>
      <c r="G69" s="345">
        <v>126</v>
      </c>
      <c r="H69" s="345">
        <v>1680</v>
      </c>
      <c r="I69" s="345">
        <v>1554</v>
      </c>
      <c r="J69" s="345">
        <v>0</v>
      </c>
      <c r="K69" s="345">
        <v>89.36</v>
      </c>
      <c r="L69" s="345">
        <v>86.28</v>
      </c>
      <c r="M69" s="345">
        <v>5.38</v>
      </c>
      <c r="N69" s="345">
        <v>91.74</v>
      </c>
      <c r="O69" s="348">
        <v>639</v>
      </c>
      <c r="P69" s="345">
        <v>95.83</v>
      </c>
      <c r="Q69" s="345">
        <v>83.31</v>
      </c>
      <c r="R69" s="345">
        <v>26.82</v>
      </c>
      <c r="S69" s="345">
        <v>121.97</v>
      </c>
      <c r="T69" s="348">
        <v>591</v>
      </c>
      <c r="U69" s="345">
        <v>111.46</v>
      </c>
      <c r="V69" s="348">
        <v>128</v>
      </c>
      <c r="W69" s="345">
        <v>303.77</v>
      </c>
      <c r="X69" s="348">
        <v>25</v>
      </c>
      <c r="Y69" s="345">
        <v>117</v>
      </c>
      <c r="Z69" s="345">
        <v>0</v>
      </c>
      <c r="AA69" s="345">
        <v>8</v>
      </c>
      <c r="AB69" s="345">
        <v>22</v>
      </c>
      <c r="AC69" s="345">
        <v>3</v>
      </c>
      <c r="AD69" s="345">
        <v>766</v>
      </c>
      <c r="AE69" s="345">
        <v>4</v>
      </c>
      <c r="AF69" s="345">
        <v>2</v>
      </c>
      <c r="AG69" s="345">
        <v>6</v>
      </c>
    </row>
    <row r="70" spans="1:33" x14ac:dyDescent="0.2">
      <c r="A70" s="344" t="s">
        <v>196</v>
      </c>
      <c r="B70" s="344" t="s">
        <v>197</v>
      </c>
      <c r="C70" s="345">
        <v>7532</v>
      </c>
      <c r="D70" s="345">
        <v>0</v>
      </c>
      <c r="E70" s="345">
        <v>165</v>
      </c>
      <c r="F70" s="345">
        <v>767</v>
      </c>
      <c r="G70" s="345">
        <v>819</v>
      </c>
      <c r="H70" s="345">
        <v>9283</v>
      </c>
      <c r="I70" s="345">
        <v>8464</v>
      </c>
      <c r="J70" s="345">
        <v>20</v>
      </c>
      <c r="K70" s="345">
        <v>108.43</v>
      </c>
      <c r="L70" s="345">
        <v>108.78</v>
      </c>
      <c r="M70" s="345">
        <v>7.69</v>
      </c>
      <c r="N70" s="345">
        <v>112.04</v>
      </c>
      <c r="O70" s="348">
        <v>6250</v>
      </c>
      <c r="P70" s="345">
        <v>97.56</v>
      </c>
      <c r="Q70" s="345">
        <v>90.9</v>
      </c>
      <c r="R70" s="345">
        <v>32.799999999999997</v>
      </c>
      <c r="S70" s="345">
        <v>128.54</v>
      </c>
      <c r="T70" s="348">
        <v>703</v>
      </c>
      <c r="U70" s="345">
        <v>169.87</v>
      </c>
      <c r="V70" s="348">
        <v>1231</v>
      </c>
      <c r="W70" s="345">
        <v>152.06</v>
      </c>
      <c r="X70" s="348">
        <v>4</v>
      </c>
      <c r="Y70" s="345">
        <v>27</v>
      </c>
      <c r="Z70" s="345">
        <v>7</v>
      </c>
      <c r="AA70" s="345">
        <v>6</v>
      </c>
      <c r="AB70" s="345">
        <v>101</v>
      </c>
      <c r="AC70" s="345">
        <v>22</v>
      </c>
      <c r="AD70" s="345">
        <v>7510</v>
      </c>
      <c r="AE70" s="345">
        <v>70</v>
      </c>
      <c r="AF70" s="345">
        <v>9</v>
      </c>
      <c r="AG70" s="345">
        <v>79</v>
      </c>
    </row>
    <row r="71" spans="1:33" x14ac:dyDescent="0.2">
      <c r="A71" s="344" t="s">
        <v>198</v>
      </c>
      <c r="B71" s="344" t="s">
        <v>199</v>
      </c>
      <c r="C71" s="345">
        <v>6079</v>
      </c>
      <c r="D71" s="345">
        <v>0</v>
      </c>
      <c r="E71" s="345">
        <v>375</v>
      </c>
      <c r="F71" s="345">
        <v>654</v>
      </c>
      <c r="G71" s="345">
        <v>308</v>
      </c>
      <c r="H71" s="345">
        <v>7416</v>
      </c>
      <c r="I71" s="345">
        <v>7108</v>
      </c>
      <c r="J71" s="345">
        <v>84</v>
      </c>
      <c r="K71" s="345">
        <v>82.94</v>
      </c>
      <c r="L71" s="345">
        <v>80.150000000000006</v>
      </c>
      <c r="M71" s="345">
        <v>5.96</v>
      </c>
      <c r="N71" s="345">
        <v>87.34</v>
      </c>
      <c r="O71" s="348">
        <v>5074</v>
      </c>
      <c r="P71" s="345">
        <v>87.43</v>
      </c>
      <c r="Q71" s="345">
        <v>71.44</v>
      </c>
      <c r="R71" s="345">
        <v>31.01</v>
      </c>
      <c r="S71" s="345">
        <v>116.65</v>
      </c>
      <c r="T71" s="348">
        <v>866</v>
      </c>
      <c r="U71" s="345">
        <v>105.81</v>
      </c>
      <c r="V71" s="348">
        <v>965</v>
      </c>
      <c r="W71" s="345">
        <v>0</v>
      </c>
      <c r="X71" s="348">
        <v>0</v>
      </c>
      <c r="Y71" s="345">
        <v>6</v>
      </c>
      <c r="Z71" s="345">
        <v>6</v>
      </c>
      <c r="AA71" s="345">
        <v>0</v>
      </c>
      <c r="AB71" s="345">
        <v>10</v>
      </c>
      <c r="AC71" s="345">
        <v>4</v>
      </c>
      <c r="AD71" s="345">
        <v>6004</v>
      </c>
      <c r="AE71" s="345">
        <v>48</v>
      </c>
      <c r="AF71" s="345">
        <v>5</v>
      </c>
      <c r="AG71" s="345">
        <v>53</v>
      </c>
    </row>
    <row r="72" spans="1:33" x14ac:dyDescent="0.2">
      <c r="A72" s="344" t="s">
        <v>200</v>
      </c>
      <c r="B72" s="344" t="s">
        <v>201</v>
      </c>
      <c r="C72" s="345">
        <v>194</v>
      </c>
      <c r="D72" s="345">
        <v>0</v>
      </c>
      <c r="E72" s="345">
        <v>17</v>
      </c>
      <c r="F72" s="345">
        <v>19</v>
      </c>
      <c r="G72" s="345">
        <v>0</v>
      </c>
      <c r="H72" s="345">
        <v>230</v>
      </c>
      <c r="I72" s="345">
        <v>230</v>
      </c>
      <c r="J72" s="345">
        <v>0</v>
      </c>
      <c r="K72" s="345">
        <v>130.65</v>
      </c>
      <c r="L72" s="345">
        <v>132.4</v>
      </c>
      <c r="M72" s="345">
        <v>10.19</v>
      </c>
      <c r="N72" s="345">
        <v>140.83000000000001</v>
      </c>
      <c r="O72" s="348">
        <v>160</v>
      </c>
      <c r="P72" s="345">
        <v>118.51</v>
      </c>
      <c r="Q72" s="345">
        <v>115.42</v>
      </c>
      <c r="R72" s="345">
        <v>184.12</v>
      </c>
      <c r="S72" s="345">
        <v>302.63</v>
      </c>
      <c r="T72" s="348">
        <v>36</v>
      </c>
      <c r="U72" s="345">
        <v>213.55</v>
      </c>
      <c r="V72" s="348">
        <v>34</v>
      </c>
      <c r="W72" s="345">
        <v>0</v>
      </c>
      <c r="X72" s="348">
        <v>0</v>
      </c>
      <c r="Y72" s="345">
        <v>0</v>
      </c>
      <c r="Z72" s="345">
        <v>0</v>
      </c>
      <c r="AA72" s="345">
        <v>0</v>
      </c>
      <c r="AB72" s="345">
        <v>0</v>
      </c>
      <c r="AC72" s="345">
        <v>0</v>
      </c>
      <c r="AD72" s="345">
        <v>194</v>
      </c>
      <c r="AE72" s="345">
        <v>2</v>
      </c>
      <c r="AF72" s="345">
        <v>0</v>
      </c>
      <c r="AG72" s="345">
        <v>2</v>
      </c>
    </row>
    <row r="73" spans="1:33" x14ac:dyDescent="0.2">
      <c r="A73" s="344" t="s">
        <v>202</v>
      </c>
      <c r="B73" s="344" t="s">
        <v>203</v>
      </c>
      <c r="C73" s="345">
        <v>4320</v>
      </c>
      <c r="D73" s="345">
        <v>135</v>
      </c>
      <c r="E73" s="345">
        <v>588</v>
      </c>
      <c r="F73" s="345">
        <v>357</v>
      </c>
      <c r="G73" s="345">
        <v>365</v>
      </c>
      <c r="H73" s="345">
        <v>5765</v>
      </c>
      <c r="I73" s="345">
        <v>5400</v>
      </c>
      <c r="J73" s="345">
        <v>8</v>
      </c>
      <c r="K73" s="345">
        <v>105.96</v>
      </c>
      <c r="L73" s="345">
        <v>103.91</v>
      </c>
      <c r="M73" s="345">
        <v>6.23</v>
      </c>
      <c r="N73" s="345">
        <v>110.97</v>
      </c>
      <c r="O73" s="348">
        <v>2731</v>
      </c>
      <c r="P73" s="345">
        <v>106.31</v>
      </c>
      <c r="Q73" s="345">
        <v>87.84</v>
      </c>
      <c r="R73" s="345">
        <v>48.43</v>
      </c>
      <c r="S73" s="345">
        <v>149.69999999999999</v>
      </c>
      <c r="T73" s="348">
        <v>644</v>
      </c>
      <c r="U73" s="345">
        <v>141.66</v>
      </c>
      <c r="V73" s="348">
        <v>1201</v>
      </c>
      <c r="W73" s="345">
        <v>150.36000000000001</v>
      </c>
      <c r="X73" s="348">
        <v>34</v>
      </c>
      <c r="Y73" s="345">
        <v>0</v>
      </c>
      <c r="Z73" s="345">
        <v>1</v>
      </c>
      <c r="AA73" s="345">
        <v>13</v>
      </c>
      <c r="AB73" s="345">
        <v>9</v>
      </c>
      <c r="AC73" s="345">
        <v>6</v>
      </c>
      <c r="AD73" s="345">
        <v>4253</v>
      </c>
      <c r="AE73" s="345">
        <v>43</v>
      </c>
      <c r="AF73" s="345">
        <v>42</v>
      </c>
      <c r="AG73" s="345">
        <v>85</v>
      </c>
    </row>
    <row r="74" spans="1:33" x14ac:dyDescent="0.2">
      <c r="A74" s="344" t="s">
        <v>204</v>
      </c>
      <c r="B74" s="344" t="s">
        <v>205</v>
      </c>
      <c r="C74" s="345">
        <v>5495</v>
      </c>
      <c r="D74" s="345">
        <v>0</v>
      </c>
      <c r="E74" s="345">
        <v>131</v>
      </c>
      <c r="F74" s="345">
        <v>309</v>
      </c>
      <c r="G74" s="345">
        <v>11</v>
      </c>
      <c r="H74" s="345">
        <v>5946</v>
      </c>
      <c r="I74" s="345">
        <v>5935</v>
      </c>
      <c r="J74" s="345">
        <v>7</v>
      </c>
      <c r="K74" s="345">
        <v>88.28</v>
      </c>
      <c r="L74" s="345">
        <v>84.93</v>
      </c>
      <c r="M74" s="345">
        <v>1.47</v>
      </c>
      <c r="N74" s="345">
        <v>89.63</v>
      </c>
      <c r="O74" s="348">
        <v>5157</v>
      </c>
      <c r="P74" s="345">
        <v>79.650000000000006</v>
      </c>
      <c r="Q74" s="345">
        <v>74.52</v>
      </c>
      <c r="R74" s="345">
        <v>46.56</v>
      </c>
      <c r="S74" s="345">
        <v>121.01</v>
      </c>
      <c r="T74" s="348">
        <v>430</v>
      </c>
      <c r="U74" s="345">
        <v>94.52</v>
      </c>
      <c r="V74" s="348">
        <v>305</v>
      </c>
      <c r="W74" s="345">
        <v>0</v>
      </c>
      <c r="X74" s="348">
        <v>0</v>
      </c>
      <c r="Y74" s="345">
        <v>0</v>
      </c>
      <c r="Z74" s="345">
        <v>20</v>
      </c>
      <c r="AA74" s="345">
        <v>14</v>
      </c>
      <c r="AB74" s="345">
        <v>0</v>
      </c>
      <c r="AC74" s="345">
        <v>0</v>
      </c>
      <c r="AD74" s="345">
        <v>5462</v>
      </c>
      <c r="AE74" s="345">
        <v>117</v>
      </c>
      <c r="AF74" s="345">
        <v>18</v>
      </c>
      <c r="AG74" s="345">
        <v>135</v>
      </c>
    </row>
    <row r="75" spans="1:33" x14ac:dyDescent="0.2">
      <c r="A75" s="344" t="s">
        <v>206</v>
      </c>
      <c r="B75" s="344" t="s">
        <v>207</v>
      </c>
      <c r="C75" s="345">
        <v>19284</v>
      </c>
      <c r="D75" s="345">
        <v>0</v>
      </c>
      <c r="E75" s="345">
        <v>853</v>
      </c>
      <c r="F75" s="345">
        <v>2545</v>
      </c>
      <c r="G75" s="345">
        <v>2737</v>
      </c>
      <c r="H75" s="345">
        <v>25419</v>
      </c>
      <c r="I75" s="345">
        <v>22682</v>
      </c>
      <c r="J75" s="345">
        <v>11</v>
      </c>
      <c r="K75" s="345">
        <v>85.04</v>
      </c>
      <c r="L75" s="345">
        <v>81.22</v>
      </c>
      <c r="M75" s="345">
        <v>3.73</v>
      </c>
      <c r="N75" s="345">
        <v>88.15</v>
      </c>
      <c r="O75" s="348">
        <v>13891</v>
      </c>
      <c r="P75" s="345">
        <v>84.67</v>
      </c>
      <c r="Q75" s="345">
        <v>71.709999999999994</v>
      </c>
      <c r="R75" s="345">
        <v>47.35</v>
      </c>
      <c r="S75" s="345">
        <v>130.52000000000001</v>
      </c>
      <c r="T75" s="348">
        <v>3060</v>
      </c>
      <c r="U75" s="345">
        <v>125.61</v>
      </c>
      <c r="V75" s="348">
        <v>3809</v>
      </c>
      <c r="W75" s="345">
        <v>121.35</v>
      </c>
      <c r="X75" s="348">
        <v>180</v>
      </c>
      <c r="Y75" s="345">
        <v>8</v>
      </c>
      <c r="Z75" s="345">
        <v>13</v>
      </c>
      <c r="AA75" s="345">
        <v>81</v>
      </c>
      <c r="AB75" s="345">
        <v>216</v>
      </c>
      <c r="AC75" s="345">
        <v>63</v>
      </c>
      <c r="AD75" s="345">
        <v>18847</v>
      </c>
      <c r="AE75" s="345">
        <v>55</v>
      </c>
      <c r="AF75" s="345">
        <v>71</v>
      </c>
      <c r="AG75" s="345">
        <v>126</v>
      </c>
    </row>
    <row r="76" spans="1:33" x14ac:dyDescent="0.2">
      <c r="A76" s="344" t="s">
        <v>208</v>
      </c>
      <c r="B76" s="344" t="s">
        <v>209</v>
      </c>
      <c r="C76" s="345">
        <v>5581</v>
      </c>
      <c r="D76" s="345">
        <v>0</v>
      </c>
      <c r="E76" s="345">
        <v>55</v>
      </c>
      <c r="F76" s="345">
        <v>544</v>
      </c>
      <c r="G76" s="345">
        <v>811</v>
      </c>
      <c r="H76" s="345">
        <v>6991</v>
      </c>
      <c r="I76" s="345">
        <v>6180</v>
      </c>
      <c r="J76" s="345">
        <v>0</v>
      </c>
      <c r="K76" s="345">
        <v>106.75</v>
      </c>
      <c r="L76" s="345">
        <v>101.88</v>
      </c>
      <c r="M76" s="345">
        <v>4.25</v>
      </c>
      <c r="N76" s="345">
        <v>108.58</v>
      </c>
      <c r="O76" s="348">
        <v>4407</v>
      </c>
      <c r="P76" s="345">
        <v>101.14</v>
      </c>
      <c r="Q76" s="345">
        <v>92.4</v>
      </c>
      <c r="R76" s="345">
        <v>25.81</v>
      </c>
      <c r="S76" s="345">
        <v>126.59</v>
      </c>
      <c r="T76" s="348">
        <v>584</v>
      </c>
      <c r="U76" s="345">
        <v>141.6</v>
      </c>
      <c r="V76" s="348">
        <v>953</v>
      </c>
      <c r="W76" s="345">
        <v>0</v>
      </c>
      <c r="X76" s="348">
        <v>0</v>
      </c>
      <c r="Y76" s="345">
        <v>0</v>
      </c>
      <c r="Z76" s="345">
        <v>7</v>
      </c>
      <c r="AA76" s="345">
        <v>7</v>
      </c>
      <c r="AB76" s="345">
        <v>24</v>
      </c>
      <c r="AC76" s="345">
        <v>17</v>
      </c>
      <c r="AD76" s="345">
        <v>5355</v>
      </c>
      <c r="AE76" s="345">
        <v>71</v>
      </c>
      <c r="AF76" s="345">
        <v>67</v>
      </c>
      <c r="AG76" s="345">
        <v>138</v>
      </c>
    </row>
    <row r="77" spans="1:33" x14ac:dyDescent="0.2">
      <c r="A77" s="344" t="s">
        <v>210</v>
      </c>
      <c r="B77" s="344" t="s">
        <v>211</v>
      </c>
      <c r="C77" s="345">
        <v>46066</v>
      </c>
      <c r="D77" s="345">
        <v>12</v>
      </c>
      <c r="E77" s="345">
        <v>1014</v>
      </c>
      <c r="F77" s="345">
        <v>1516</v>
      </c>
      <c r="G77" s="345">
        <v>410</v>
      </c>
      <c r="H77" s="345">
        <v>49018</v>
      </c>
      <c r="I77" s="345">
        <v>48608</v>
      </c>
      <c r="J77" s="345">
        <v>108</v>
      </c>
      <c r="K77" s="345">
        <v>74.62</v>
      </c>
      <c r="L77" s="345">
        <v>74.930000000000007</v>
      </c>
      <c r="M77" s="345">
        <v>3.61</v>
      </c>
      <c r="N77" s="345">
        <v>75.180000000000007</v>
      </c>
      <c r="O77" s="348">
        <v>41079</v>
      </c>
      <c r="P77" s="345">
        <v>106.13</v>
      </c>
      <c r="Q77" s="345">
        <v>79.17</v>
      </c>
      <c r="R77" s="345">
        <v>59.88</v>
      </c>
      <c r="S77" s="345">
        <v>164.62</v>
      </c>
      <c r="T77" s="348">
        <v>2068</v>
      </c>
      <c r="U77" s="345">
        <v>94.55</v>
      </c>
      <c r="V77" s="348">
        <v>4405</v>
      </c>
      <c r="W77" s="345">
        <v>151.84</v>
      </c>
      <c r="X77" s="348">
        <v>171</v>
      </c>
      <c r="Y77" s="345">
        <v>11</v>
      </c>
      <c r="Z77" s="345">
        <v>209</v>
      </c>
      <c r="AA77" s="345">
        <v>30</v>
      </c>
      <c r="AB77" s="345">
        <v>25</v>
      </c>
      <c r="AC77" s="345">
        <v>9</v>
      </c>
      <c r="AD77" s="345">
        <v>46014</v>
      </c>
      <c r="AE77" s="345">
        <v>433</v>
      </c>
      <c r="AF77" s="345">
        <v>481</v>
      </c>
      <c r="AG77" s="345">
        <v>914</v>
      </c>
    </row>
    <row r="78" spans="1:33" x14ac:dyDescent="0.2">
      <c r="A78" s="344" t="s">
        <v>212</v>
      </c>
      <c r="B78" s="344" t="s">
        <v>213</v>
      </c>
      <c r="C78" s="345">
        <v>22354</v>
      </c>
      <c r="D78" s="345">
        <v>0</v>
      </c>
      <c r="E78" s="345">
        <v>906</v>
      </c>
      <c r="F78" s="345">
        <v>1713</v>
      </c>
      <c r="G78" s="345">
        <v>615</v>
      </c>
      <c r="H78" s="345">
        <v>25588</v>
      </c>
      <c r="I78" s="345">
        <v>24973</v>
      </c>
      <c r="J78" s="345">
        <v>4</v>
      </c>
      <c r="K78" s="345">
        <v>87.52</v>
      </c>
      <c r="L78" s="345">
        <v>87.02</v>
      </c>
      <c r="M78" s="345">
        <v>5.79</v>
      </c>
      <c r="N78" s="345">
        <v>92.88</v>
      </c>
      <c r="O78" s="348">
        <v>19694</v>
      </c>
      <c r="P78" s="345">
        <v>93.4</v>
      </c>
      <c r="Q78" s="345">
        <v>85.65</v>
      </c>
      <c r="R78" s="345">
        <v>58.58</v>
      </c>
      <c r="S78" s="345">
        <v>151.59</v>
      </c>
      <c r="T78" s="348">
        <v>2084</v>
      </c>
      <c r="U78" s="345">
        <v>117.6</v>
      </c>
      <c r="V78" s="348">
        <v>2354</v>
      </c>
      <c r="W78" s="345">
        <v>119.73</v>
      </c>
      <c r="X78" s="348">
        <v>5</v>
      </c>
      <c r="Y78" s="345">
        <v>88</v>
      </c>
      <c r="Z78" s="345">
        <v>68</v>
      </c>
      <c r="AA78" s="345">
        <v>23</v>
      </c>
      <c r="AB78" s="345">
        <v>23</v>
      </c>
      <c r="AC78" s="345">
        <v>18</v>
      </c>
      <c r="AD78" s="345">
        <v>22221</v>
      </c>
      <c r="AE78" s="345">
        <v>174</v>
      </c>
      <c r="AF78" s="345">
        <v>342</v>
      </c>
      <c r="AG78" s="345">
        <v>516</v>
      </c>
    </row>
    <row r="79" spans="1:33" x14ac:dyDescent="0.2">
      <c r="A79" s="344" t="s">
        <v>214</v>
      </c>
      <c r="B79" s="344" t="s">
        <v>215</v>
      </c>
      <c r="C79" s="345">
        <v>2258</v>
      </c>
      <c r="D79" s="345">
        <v>0</v>
      </c>
      <c r="E79" s="345">
        <v>71</v>
      </c>
      <c r="F79" s="345">
        <v>241</v>
      </c>
      <c r="G79" s="345">
        <v>174</v>
      </c>
      <c r="H79" s="345">
        <v>2744</v>
      </c>
      <c r="I79" s="345">
        <v>2570</v>
      </c>
      <c r="J79" s="345">
        <v>3</v>
      </c>
      <c r="K79" s="345">
        <v>87.69</v>
      </c>
      <c r="L79" s="345">
        <v>90.76</v>
      </c>
      <c r="M79" s="345">
        <v>6.49</v>
      </c>
      <c r="N79" s="345">
        <v>91.79</v>
      </c>
      <c r="O79" s="348">
        <v>1528</v>
      </c>
      <c r="P79" s="345">
        <v>92.18</v>
      </c>
      <c r="Q79" s="345">
        <v>83.23</v>
      </c>
      <c r="R79" s="345">
        <v>40.200000000000003</v>
      </c>
      <c r="S79" s="345">
        <v>132.38</v>
      </c>
      <c r="T79" s="348">
        <v>286</v>
      </c>
      <c r="U79" s="345">
        <v>98.18</v>
      </c>
      <c r="V79" s="348">
        <v>676</v>
      </c>
      <c r="W79" s="345">
        <v>0</v>
      </c>
      <c r="X79" s="348">
        <v>0</v>
      </c>
      <c r="Y79" s="345">
        <v>31</v>
      </c>
      <c r="Z79" s="345">
        <v>4</v>
      </c>
      <c r="AA79" s="345">
        <v>5</v>
      </c>
      <c r="AB79" s="345">
        <v>37</v>
      </c>
      <c r="AC79" s="345">
        <v>4</v>
      </c>
      <c r="AD79" s="345">
        <v>2227</v>
      </c>
      <c r="AE79" s="345">
        <v>16</v>
      </c>
      <c r="AF79" s="345">
        <v>3</v>
      </c>
      <c r="AG79" s="345">
        <v>19</v>
      </c>
    </row>
    <row r="80" spans="1:33" x14ac:dyDescent="0.2">
      <c r="A80" s="344" t="s">
        <v>216</v>
      </c>
      <c r="B80" s="344" t="s">
        <v>217</v>
      </c>
      <c r="C80" s="345">
        <v>2193</v>
      </c>
      <c r="D80" s="345">
        <v>0</v>
      </c>
      <c r="E80" s="345">
        <v>153</v>
      </c>
      <c r="F80" s="345">
        <v>286</v>
      </c>
      <c r="G80" s="345">
        <v>454</v>
      </c>
      <c r="H80" s="345">
        <v>3086</v>
      </c>
      <c r="I80" s="345">
        <v>2632</v>
      </c>
      <c r="J80" s="345">
        <v>5</v>
      </c>
      <c r="K80" s="345">
        <v>114.45</v>
      </c>
      <c r="L80" s="345">
        <v>107.63</v>
      </c>
      <c r="M80" s="345">
        <v>10.37</v>
      </c>
      <c r="N80" s="345">
        <v>123.77</v>
      </c>
      <c r="O80" s="348">
        <v>1609</v>
      </c>
      <c r="P80" s="345">
        <v>113.63</v>
      </c>
      <c r="Q80" s="345">
        <v>102.55</v>
      </c>
      <c r="R80" s="345">
        <v>43.24</v>
      </c>
      <c r="S80" s="345">
        <v>156.69999999999999</v>
      </c>
      <c r="T80" s="348">
        <v>263</v>
      </c>
      <c r="U80" s="345">
        <v>167.78</v>
      </c>
      <c r="V80" s="348">
        <v>482</v>
      </c>
      <c r="W80" s="345">
        <v>0</v>
      </c>
      <c r="X80" s="348">
        <v>0</v>
      </c>
      <c r="Y80" s="345">
        <v>0</v>
      </c>
      <c r="Z80" s="345">
        <v>1</v>
      </c>
      <c r="AA80" s="345">
        <v>1</v>
      </c>
      <c r="AB80" s="345">
        <v>35</v>
      </c>
      <c r="AC80" s="345">
        <v>12</v>
      </c>
      <c r="AD80" s="345">
        <v>2164</v>
      </c>
      <c r="AE80" s="345">
        <v>29</v>
      </c>
      <c r="AF80" s="345">
        <v>0</v>
      </c>
      <c r="AG80" s="345">
        <v>29</v>
      </c>
    </row>
    <row r="81" spans="1:33" x14ac:dyDescent="0.2">
      <c r="A81" s="344" t="s">
        <v>218</v>
      </c>
      <c r="B81" s="344" t="s">
        <v>219</v>
      </c>
      <c r="C81" s="345">
        <v>11544</v>
      </c>
      <c r="D81" s="345">
        <v>76</v>
      </c>
      <c r="E81" s="345">
        <v>1085</v>
      </c>
      <c r="F81" s="345">
        <v>845</v>
      </c>
      <c r="G81" s="345">
        <v>2447</v>
      </c>
      <c r="H81" s="345">
        <v>15997</v>
      </c>
      <c r="I81" s="345">
        <v>13550</v>
      </c>
      <c r="J81" s="345">
        <v>47</v>
      </c>
      <c r="K81" s="345">
        <v>125.79</v>
      </c>
      <c r="L81" s="345">
        <v>124.54</v>
      </c>
      <c r="M81" s="345">
        <v>11.55</v>
      </c>
      <c r="N81" s="345">
        <v>133.62</v>
      </c>
      <c r="O81" s="348">
        <v>8743</v>
      </c>
      <c r="P81" s="345">
        <v>104.63</v>
      </c>
      <c r="Q81" s="345">
        <v>97.67</v>
      </c>
      <c r="R81" s="345">
        <v>61.08</v>
      </c>
      <c r="S81" s="345">
        <v>162.16999999999999</v>
      </c>
      <c r="T81" s="348">
        <v>1122</v>
      </c>
      <c r="U81" s="345">
        <v>192.21</v>
      </c>
      <c r="V81" s="348">
        <v>2112</v>
      </c>
      <c r="W81" s="345">
        <v>149.88</v>
      </c>
      <c r="X81" s="348">
        <v>39</v>
      </c>
      <c r="Y81" s="345">
        <v>0</v>
      </c>
      <c r="Z81" s="345">
        <v>5</v>
      </c>
      <c r="AA81" s="345">
        <v>8</v>
      </c>
      <c r="AB81" s="345">
        <v>72</v>
      </c>
      <c r="AC81" s="345">
        <v>63</v>
      </c>
      <c r="AD81" s="345">
        <v>11262</v>
      </c>
      <c r="AE81" s="345">
        <v>95</v>
      </c>
      <c r="AF81" s="345">
        <v>59</v>
      </c>
      <c r="AG81" s="345">
        <v>154</v>
      </c>
    </row>
    <row r="82" spans="1:33" x14ac:dyDescent="0.2">
      <c r="A82" s="344" t="s">
        <v>220</v>
      </c>
      <c r="B82" s="344" t="s">
        <v>221</v>
      </c>
      <c r="C82" s="345">
        <v>3210</v>
      </c>
      <c r="D82" s="345">
        <v>0</v>
      </c>
      <c r="E82" s="345">
        <v>249</v>
      </c>
      <c r="F82" s="345">
        <v>275</v>
      </c>
      <c r="G82" s="345">
        <v>409</v>
      </c>
      <c r="H82" s="345">
        <v>4143</v>
      </c>
      <c r="I82" s="345">
        <v>3734</v>
      </c>
      <c r="J82" s="345">
        <v>0</v>
      </c>
      <c r="K82" s="345">
        <v>119.84</v>
      </c>
      <c r="L82" s="345">
        <v>116.1</v>
      </c>
      <c r="M82" s="345">
        <v>8.2100000000000009</v>
      </c>
      <c r="N82" s="345">
        <v>126.86</v>
      </c>
      <c r="O82" s="348">
        <v>1967</v>
      </c>
      <c r="P82" s="345">
        <v>122.19</v>
      </c>
      <c r="Q82" s="345">
        <v>100.55</v>
      </c>
      <c r="R82" s="345">
        <v>31.17</v>
      </c>
      <c r="S82" s="345">
        <v>152.32</v>
      </c>
      <c r="T82" s="348">
        <v>392</v>
      </c>
      <c r="U82" s="345">
        <v>183.93</v>
      </c>
      <c r="V82" s="348">
        <v>1001</v>
      </c>
      <c r="W82" s="345">
        <v>161.34</v>
      </c>
      <c r="X82" s="348">
        <v>13</v>
      </c>
      <c r="Y82" s="345">
        <v>22</v>
      </c>
      <c r="Z82" s="345">
        <v>0</v>
      </c>
      <c r="AA82" s="345">
        <v>1</v>
      </c>
      <c r="AB82" s="345">
        <v>61</v>
      </c>
      <c r="AC82" s="345">
        <v>14</v>
      </c>
      <c r="AD82" s="345">
        <v>3159</v>
      </c>
      <c r="AE82" s="345">
        <v>30</v>
      </c>
      <c r="AF82" s="345">
        <v>33</v>
      </c>
      <c r="AG82" s="345">
        <v>63</v>
      </c>
    </row>
    <row r="83" spans="1:33" x14ac:dyDescent="0.2">
      <c r="A83" s="344" t="s">
        <v>222</v>
      </c>
      <c r="B83" s="344" t="s">
        <v>223</v>
      </c>
      <c r="C83" s="345">
        <v>2197</v>
      </c>
      <c r="D83" s="345">
        <v>4</v>
      </c>
      <c r="E83" s="345">
        <v>332</v>
      </c>
      <c r="F83" s="345">
        <v>530</v>
      </c>
      <c r="G83" s="345">
        <v>139</v>
      </c>
      <c r="H83" s="345">
        <v>3202</v>
      </c>
      <c r="I83" s="345">
        <v>3063</v>
      </c>
      <c r="J83" s="345">
        <v>0</v>
      </c>
      <c r="K83" s="345">
        <v>81.150000000000006</v>
      </c>
      <c r="L83" s="345">
        <v>78.760000000000005</v>
      </c>
      <c r="M83" s="345">
        <v>4.47</v>
      </c>
      <c r="N83" s="345">
        <v>83.98</v>
      </c>
      <c r="O83" s="348">
        <v>1344</v>
      </c>
      <c r="P83" s="345">
        <v>95.26</v>
      </c>
      <c r="Q83" s="345">
        <v>79.06</v>
      </c>
      <c r="R83" s="345">
        <v>57.02</v>
      </c>
      <c r="S83" s="345">
        <v>151.99</v>
      </c>
      <c r="T83" s="348">
        <v>595</v>
      </c>
      <c r="U83" s="345">
        <v>103.12</v>
      </c>
      <c r="V83" s="348">
        <v>704</v>
      </c>
      <c r="W83" s="345">
        <v>112.13</v>
      </c>
      <c r="X83" s="348">
        <v>41</v>
      </c>
      <c r="Y83" s="345">
        <v>0</v>
      </c>
      <c r="Z83" s="345">
        <v>3</v>
      </c>
      <c r="AA83" s="345">
        <v>20</v>
      </c>
      <c r="AB83" s="345">
        <v>1</v>
      </c>
      <c r="AC83" s="345">
        <v>8</v>
      </c>
      <c r="AD83" s="345">
        <v>2176</v>
      </c>
      <c r="AE83" s="345">
        <v>11</v>
      </c>
      <c r="AF83" s="345">
        <v>28</v>
      </c>
      <c r="AG83" s="345">
        <v>39</v>
      </c>
    </row>
    <row r="84" spans="1:33" x14ac:dyDescent="0.2">
      <c r="A84" s="344" t="s">
        <v>224</v>
      </c>
      <c r="B84" s="344" t="s">
        <v>225</v>
      </c>
      <c r="C84" s="345">
        <v>1812</v>
      </c>
      <c r="D84" s="345">
        <v>12</v>
      </c>
      <c r="E84" s="345">
        <v>146</v>
      </c>
      <c r="F84" s="345">
        <v>107</v>
      </c>
      <c r="G84" s="345">
        <v>1289</v>
      </c>
      <c r="H84" s="345">
        <v>3366</v>
      </c>
      <c r="I84" s="345">
        <v>2077</v>
      </c>
      <c r="J84" s="345">
        <v>1</v>
      </c>
      <c r="K84" s="345">
        <v>110.79</v>
      </c>
      <c r="L84" s="345">
        <v>106.96</v>
      </c>
      <c r="M84" s="345">
        <v>7.44</v>
      </c>
      <c r="N84" s="345">
        <v>117.64</v>
      </c>
      <c r="O84" s="348">
        <v>857</v>
      </c>
      <c r="P84" s="345">
        <v>136.26</v>
      </c>
      <c r="Q84" s="345">
        <v>88.15</v>
      </c>
      <c r="R84" s="345">
        <v>41.57</v>
      </c>
      <c r="S84" s="345">
        <v>169.63</v>
      </c>
      <c r="T84" s="348">
        <v>142</v>
      </c>
      <c r="U84" s="345">
        <v>168.28</v>
      </c>
      <c r="V84" s="348">
        <v>524</v>
      </c>
      <c r="W84" s="345">
        <v>0</v>
      </c>
      <c r="X84" s="348">
        <v>0</v>
      </c>
      <c r="Y84" s="345">
        <v>0</v>
      </c>
      <c r="Z84" s="345">
        <v>0</v>
      </c>
      <c r="AA84" s="345">
        <v>0</v>
      </c>
      <c r="AB84" s="345">
        <v>252</v>
      </c>
      <c r="AC84" s="345">
        <v>35</v>
      </c>
      <c r="AD84" s="345">
        <v>1433</v>
      </c>
      <c r="AE84" s="345">
        <v>15</v>
      </c>
      <c r="AF84" s="345">
        <v>0</v>
      </c>
      <c r="AG84" s="345">
        <v>15</v>
      </c>
    </row>
    <row r="85" spans="1:33" x14ac:dyDescent="0.2">
      <c r="A85" s="344" t="s">
        <v>226</v>
      </c>
      <c r="B85" s="344" t="s">
        <v>227</v>
      </c>
      <c r="C85" s="345">
        <v>6183</v>
      </c>
      <c r="D85" s="345">
        <v>102</v>
      </c>
      <c r="E85" s="345">
        <v>682</v>
      </c>
      <c r="F85" s="345">
        <v>1363</v>
      </c>
      <c r="G85" s="345">
        <v>575</v>
      </c>
      <c r="H85" s="345">
        <v>8905</v>
      </c>
      <c r="I85" s="345">
        <v>8330</v>
      </c>
      <c r="J85" s="345">
        <v>2</v>
      </c>
      <c r="K85" s="345">
        <v>91.41</v>
      </c>
      <c r="L85" s="345">
        <v>89.16</v>
      </c>
      <c r="M85" s="345">
        <v>6.63</v>
      </c>
      <c r="N85" s="345">
        <v>96.15</v>
      </c>
      <c r="O85" s="348">
        <v>5391</v>
      </c>
      <c r="P85" s="345">
        <v>89.38</v>
      </c>
      <c r="Q85" s="345">
        <v>83.04</v>
      </c>
      <c r="R85" s="345">
        <v>54.17</v>
      </c>
      <c r="S85" s="345">
        <v>142.94</v>
      </c>
      <c r="T85" s="348">
        <v>1596</v>
      </c>
      <c r="U85" s="345">
        <v>110.26</v>
      </c>
      <c r="V85" s="348">
        <v>616</v>
      </c>
      <c r="W85" s="345">
        <v>195.52</v>
      </c>
      <c r="X85" s="348">
        <v>2</v>
      </c>
      <c r="Y85" s="345">
        <v>378</v>
      </c>
      <c r="Z85" s="345">
        <v>3</v>
      </c>
      <c r="AA85" s="345">
        <v>2</v>
      </c>
      <c r="AB85" s="345">
        <v>23</v>
      </c>
      <c r="AC85" s="345">
        <v>24</v>
      </c>
      <c r="AD85" s="345">
        <v>5976</v>
      </c>
      <c r="AE85" s="345">
        <v>33</v>
      </c>
      <c r="AF85" s="345">
        <v>28</v>
      </c>
      <c r="AG85" s="345">
        <v>61</v>
      </c>
    </row>
    <row r="86" spans="1:33" x14ac:dyDescent="0.2">
      <c r="A86" s="344" t="s">
        <v>228</v>
      </c>
      <c r="B86" s="344" t="s">
        <v>229</v>
      </c>
      <c r="C86" s="345">
        <v>3909</v>
      </c>
      <c r="D86" s="345">
        <v>0</v>
      </c>
      <c r="E86" s="345">
        <v>68</v>
      </c>
      <c r="F86" s="345">
        <v>270</v>
      </c>
      <c r="G86" s="345">
        <v>246</v>
      </c>
      <c r="H86" s="345">
        <v>4493</v>
      </c>
      <c r="I86" s="345">
        <v>4247</v>
      </c>
      <c r="J86" s="345">
        <v>0</v>
      </c>
      <c r="K86" s="345">
        <v>94.71</v>
      </c>
      <c r="L86" s="345">
        <v>96.5</v>
      </c>
      <c r="M86" s="345">
        <v>3.03</v>
      </c>
      <c r="N86" s="345">
        <v>97.38</v>
      </c>
      <c r="O86" s="348">
        <v>3366</v>
      </c>
      <c r="P86" s="345">
        <v>88.88</v>
      </c>
      <c r="Q86" s="345">
        <v>85.34</v>
      </c>
      <c r="R86" s="345">
        <v>30.54</v>
      </c>
      <c r="S86" s="345">
        <v>118.76</v>
      </c>
      <c r="T86" s="348">
        <v>324</v>
      </c>
      <c r="U86" s="345">
        <v>116.38</v>
      </c>
      <c r="V86" s="348">
        <v>412</v>
      </c>
      <c r="W86" s="345">
        <v>197.73</v>
      </c>
      <c r="X86" s="348">
        <v>2</v>
      </c>
      <c r="Y86" s="345">
        <v>0</v>
      </c>
      <c r="Z86" s="345">
        <v>10</v>
      </c>
      <c r="AA86" s="345">
        <v>3</v>
      </c>
      <c r="AB86" s="345">
        <v>20</v>
      </c>
      <c r="AC86" s="345">
        <v>5</v>
      </c>
      <c r="AD86" s="345">
        <v>3762</v>
      </c>
      <c r="AE86" s="345">
        <v>65</v>
      </c>
      <c r="AF86" s="345">
        <v>11</v>
      </c>
      <c r="AG86" s="345">
        <v>76</v>
      </c>
    </row>
    <row r="87" spans="1:33" x14ac:dyDescent="0.2">
      <c r="A87" s="344" t="s">
        <v>230</v>
      </c>
      <c r="B87" s="344" t="s">
        <v>231</v>
      </c>
      <c r="C87" s="345">
        <v>2645</v>
      </c>
      <c r="D87" s="345">
        <v>3</v>
      </c>
      <c r="E87" s="345">
        <v>832</v>
      </c>
      <c r="F87" s="345">
        <v>924</v>
      </c>
      <c r="G87" s="345">
        <v>467</v>
      </c>
      <c r="H87" s="345">
        <v>4871</v>
      </c>
      <c r="I87" s="345">
        <v>4404</v>
      </c>
      <c r="J87" s="345">
        <v>0</v>
      </c>
      <c r="K87" s="345">
        <v>83.82</v>
      </c>
      <c r="L87" s="345">
        <v>80.59</v>
      </c>
      <c r="M87" s="345">
        <v>5.55</v>
      </c>
      <c r="N87" s="345">
        <v>86.96</v>
      </c>
      <c r="O87" s="348">
        <v>1694</v>
      </c>
      <c r="P87" s="345">
        <v>104.82</v>
      </c>
      <c r="Q87" s="345">
        <v>82.16</v>
      </c>
      <c r="R87" s="345">
        <v>45.65</v>
      </c>
      <c r="S87" s="345">
        <v>149.97999999999999</v>
      </c>
      <c r="T87" s="348">
        <v>1550</v>
      </c>
      <c r="U87" s="345">
        <v>99.99</v>
      </c>
      <c r="V87" s="348">
        <v>844</v>
      </c>
      <c r="W87" s="345">
        <v>108.17</v>
      </c>
      <c r="X87" s="348">
        <v>9</v>
      </c>
      <c r="Y87" s="345">
        <v>16</v>
      </c>
      <c r="Z87" s="345">
        <v>1</v>
      </c>
      <c r="AA87" s="345">
        <v>9</v>
      </c>
      <c r="AB87" s="345">
        <v>66</v>
      </c>
      <c r="AC87" s="345">
        <v>2</v>
      </c>
      <c r="AD87" s="345">
        <v>2560</v>
      </c>
      <c r="AE87" s="345">
        <v>47</v>
      </c>
      <c r="AF87" s="345">
        <v>22</v>
      </c>
      <c r="AG87" s="345">
        <v>69</v>
      </c>
    </row>
    <row r="88" spans="1:33" x14ac:dyDescent="0.2">
      <c r="A88" s="344" t="s">
        <v>232</v>
      </c>
      <c r="B88" s="344" t="s">
        <v>233</v>
      </c>
      <c r="C88" s="345">
        <v>16663</v>
      </c>
      <c r="D88" s="345">
        <v>16</v>
      </c>
      <c r="E88" s="345">
        <v>780</v>
      </c>
      <c r="F88" s="345">
        <v>3986</v>
      </c>
      <c r="G88" s="345">
        <v>1467</v>
      </c>
      <c r="H88" s="345">
        <v>22912</v>
      </c>
      <c r="I88" s="345">
        <v>21445</v>
      </c>
      <c r="J88" s="345">
        <v>42</v>
      </c>
      <c r="K88" s="345">
        <v>101.67</v>
      </c>
      <c r="L88" s="345">
        <v>100.51</v>
      </c>
      <c r="M88" s="345">
        <v>4.28</v>
      </c>
      <c r="N88" s="345">
        <v>104.56</v>
      </c>
      <c r="O88" s="348">
        <v>14578</v>
      </c>
      <c r="P88" s="345">
        <v>92</v>
      </c>
      <c r="Q88" s="345">
        <v>89.3</v>
      </c>
      <c r="R88" s="345">
        <v>23.39</v>
      </c>
      <c r="S88" s="345">
        <v>114.95</v>
      </c>
      <c r="T88" s="348">
        <v>4123</v>
      </c>
      <c r="U88" s="345">
        <v>142.41999999999999</v>
      </c>
      <c r="V88" s="348">
        <v>1998</v>
      </c>
      <c r="W88" s="345">
        <v>166.95</v>
      </c>
      <c r="X88" s="348">
        <v>56</v>
      </c>
      <c r="Y88" s="345">
        <v>9</v>
      </c>
      <c r="Z88" s="345">
        <v>15</v>
      </c>
      <c r="AA88" s="345">
        <v>52</v>
      </c>
      <c r="AB88" s="345">
        <v>171</v>
      </c>
      <c r="AC88" s="345">
        <v>33</v>
      </c>
      <c r="AD88" s="345">
        <v>16582</v>
      </c>
      <c r="AE88" s="345">
        <v>77</v>
      </c>
      <c r="AF88" s="345">
        <v>83</v>
      </c>
      <c r="AG88" s="345">
        <v>160</v>
      </c>
    </row>
    <row r="89" spans="1:33" x14ac:dyDescent="0.2">
      <c r="A89" s="344" t="s">
        <v>234</v>
      </c>
      <c r="B89" s="344" t="s">
        <v>235</v>
      </c>
      <c r="C89" s="345">
        <v>2125</v>
      </c>
      <c r="D89" s="345">
        <v>4</v>
      </c>
      <c r="E89" s="345">
        <v>139</v>
      </c>
      <c r="F89" s="345">
        <v>550</v>
      </c>
      <c r="G89" s="345">
        <v>283</v>
      </c>
      <c r="H89" s="345">
        <v>3101</v>
      </c>
      <c r="I89" s="345">
        <v>2818</v>
      </c>
      <c r="J89" s="345">
        <v>22</v>
      </c>
      <c r="K89" s="345">
        <v>92.63</v>
      </c>
      <c r="L89" s="345">
        <v>90.69</v>
      </c>
      <c r="M89" s="345">
        <v>7.77</v>
      </c>
      <c r="N89" s="345">
        <v>98.56</v>
      </c>
      <c r="O89" s="348">
        <v>1703</v>
      </c>
      <c r="P89" s="345">
        <v>111.54</v>
      </c>
      <c r="Q89" s="345">
        <v>87.86</v>
      </c>
      <c r="R89" s="345">
        <v>42.97</v>
      </c>
      <c r="S89" s="345">
        <v>151.79</v>
      </c>
      <c r="T89" s="348">
        <v>680</v>
      </c>
      <c r="U89" s="345">
        <v>133.30000000000001</v>
      </c>
      <c r="V89" s="348">
        <v>314</v>
      </c>
      <c r="W89" s="345">
        <v>0</v>
      </c>
      <c r="X89" s="348">
        <v>0</v>
      </c>
      <c r="Y89" s="345">
        <v>0</v>
      </c>
      <c r="Z89" s="345">
        <v>0</v>
      </c>
      <c r="AA89" s="345">
        <v>1</v>
      </c>
      <c r="AB89" s="345">
        <v>23</v>
      </c>
      <c r="AC89" s="345">
        <v>8</v>
      </c>
      <c r="AD89" s="345">
        <v>2047</v>
      </c>
      <c r="AE89" s="345">
        <v>12</v>
      </c>
      <c r="AF89" s="345">
        <v>15</v>
      </c>
      <c r="AG89" s="345">
        <v>27</v>
      </c>
    </row>
    <row r="90" spans="1:33" x14ac:dyDescent="0.2">
      <c r="A90" s="344" t="s">
        <v>236</v>
      </c>
      <c r="B90" s="344" t="s">
        <v>237</v>
      </c>
      <c r="C90" s="345">
        <v>4035</v>
      </c>
      <c r="D90" s="345">
        <v>0</v>
      </c>
      <c r="E90" s="345">
        <v>405</v>
      </c>
      <c r="F90" s="345">
        <v>790</v>
      </c>
      <c r="G90" s="345">
        <v>749</v>
      </c>
      <c r="H90" s="345">
        <v>5979</v>
      </c>
      <c r="I90" s="345">
        <v>5230</v>
      </c>
      <c r="J90" s="345">
        <v>0</v>
      </c>
      <c r="K90" s="345">
        <v>95.6</v>
      </c>
      <c r="L90" s="345">
        <v>93.09</v>
      </c>
      <c r="M90" s="345">
        <v>6.63</v>
      </c>
      <c r="N90" s="345">
        <v>101.2</v>
      </c>
      <c r="O90" s="348">
        <v>3216</v>
      </c>
      <c r="P90" s="345">
        <v>112.91</v>
      </c>
      <c r="Q90" s="345">
        <v>96.43</v>
      </c>
      <c r="R90" s="345">
        <v>58.99</v>
      </c>
      <c r="S90" s="345">
        <v>169.63</v>
      </c>
      <c r="T90" s="348">
        <v>935</v>
      </c>
      <c r="U90" s="345">
        <v>117.12</v>
      </c>
      <c r="V90" s="348">
        <v>731</v>
      </c>
      <c r="W90" s="345">
        <v>108.61</v>
      </c>
      <c r="X90" s="348">
        <v>12</v>
      </c>
      <c r="Y90" s="345">
        <v>12</v>
      </c>
      <c r="Z90" s="345">
        <v>6</v>
      </c>
      <c r="AA90" s="345">
        <v>4</v>
      </c>
      <c r="AB90" s="345">
        <v>21</v>
      </c>
      <c r="AC90" s="345">
        <v>22</v>
      </c>
      <c r="AD90" s="345">
        <v>4035</v>
      </c>
      <c r="AE90" s="345">
        <v>52</v>
      </c>
      <c r="AF90" s="345">
        <v>6</v>
      </c>
      <c r="AG90" s="345">
        <v>58</v>
      </c>
    </row>
    <row r="91" spans="1:33" x14ac:dyDescent="0.2">
      <c r="A91" s="344" t="s">
        <v>238</v>
      </c>
      <c r="B91" s="344" t="s">
        <v>239</v>
      </c>
      <c r="C91" s="345">
        <v>10920</v>
      </c>
      <c r="D91" s="345">
        <v>379</v>
      </c>
      <c r="E91" s="345">
        <v>995</v>
      </c>
      <c r="F91" s="345">
        <v>742</v>
      </c>
      <c r="G91" s="345">
        <v>3196</v>
      </c>
      <c r="H91" s="345">
        <v>16232</v>
      </c>
      <c r="I91" s="345">
        <v>13036</v>
      </c>
      <c r="J91" s="345">
        <v>48</v>
      </c>
      <c r="K91" s="345">
        <v>131.18</v>
      </c>
      <c r="L91" s="345">
        <v>129.47</v>
      </c>
      <c r="M91" s="345">
        <v>11.44</v>
      </c>
      <c r="N91" s="345">
        <v>139.5</v>
      </c>
      <c r="O91" s="348">
        <v>8287</v>
      </c>
      <c r="P91" s="345">
        <v>123.72</v>
      </c>
      <c r="Q91" s="345">
        <v>114.91</v>
      </c>
      <c r="R91" s="345">
        <v>52.23</v>
      </c>
      <c r="S91" s="345">
        <v>169.79</v>
      </c>
      <c r="T91" s="348">
        <v>1077</v>
      </c>
      <c r="U91" s="345">
        <v>203.85</v>
      </c>
      <c r="V91" s="348">
        <v>1732</v>
      </c>
      <c r="W91" s="345">
        <v>199.53</v>
      </c>
      <c r="X91" s="348">
        <v>44</v>
      </c>
      <c r="Y91" s="345">
        <v>0</v>
      </c>
      <c r="Z91" s="345">
        <v>5</v>
      </c>
      <c r="AA91" s="345">
        <v>1</v>
      </c>
      <c r="AB91" s="345">
        <v>259</v>
      </c>
      <c r="AC91" s="345">
        <v>73</v>
      </c>
      <c r="AD91" s="345">
        <v>10428</v>
      </c>
      <c r="AE91" s="345">
        <v>58</v>
      </c>
      <c r="AF91" s="345">
        <v>115</v>
      </c>
      <c r="AG91" s="345">
        <v>173</v>
      </c>
    </row>
    <row r="92" spans="1:33" x14ac:dyDescent="0.2">
      <c r="A92" s="344" t="s">
        <v>240</v>
      </c>
      <c r="B92" s="344" t="s">
        <v>241</v>
      </c>
      <c r="C92" s="345">
        <v>4281</v>
      </c>
      <c r="D92" s="345">
        <v>5</v>
      </c>
      <c r="E92" s="345">
        <v>115</v>
      </c>
      <c r="F92" s="345">
        <v>1022</v>
      </c>
      <c r="G92" s="345">
        <v>523</v>
      </c>
      <c r="H92" s="345">
        <v>5946</v>
      </c>
      <c r="I92" s="345">
        <v>5423</v>
      </c>
      <c r="J92" s="345">
        <v>11</v>
      </c>
      <c r="K92" s="345">
        <v>104.61</v>
      </c>
      <c r="L92" s="345">
        <v>104.45</v>
      </c>
      <c r="M92" s="345">
        <v>3.25</v>
      </c>
      <c r="N92" s="345">
        <v>105.88</v>
      </c>
      <c r="O92" s="348">
        <v>3670</v>
      </c>
      <c r="P92" s="345">
        <v>98.25</v>
      </c>
      <c r="Q92" s="345">
        <v>96.88</v>
      </c>
      <c r="R92" s="345">
        <v>29.34</v>
      </c>
      <c r="S92" s="345">
        <v>127.44</v>
      </c>
      <c r="T92" s="348">
        <v>1120</v>
      </c>
      <c r="U92" s="345">
        <v>140.6</v>
      </c>
      <c r="V92" s="348">
        <v>523</v>
      </c>
      <c r="W92" s="345">
        <v>0</v>
      </c>
      <c r="X92" s="348">
        <v>0</v>
      </c>
      <c r="Y92" s="345">
        <v>17</v>
      </c>
      <c r="Z92" s="345">
        <v>2</v>
      </c>
      <c r="AA92" s="345">
        <v>2</v>
      </c>
      <c r="AB92" s="345">
        <v>58</v>
      </c>
      <c r="AC92" s="345">
        <v>11</v>
      </c>
      <c r="AD92" s="345">
        <v>4273</v>
      </c>
      <c r="AE92" s="345">
        <v>39</v>
      </c>
      <c r="AF92" s="345">
        <v>105</v>
      </c>
      <c r="AG92" s="345">
        <v>144</v>
      </c>
    </row>
    <row r="93" spans="1:33" x14ac:dyDescent="0.2">
      <c r="A93" s="344" t="s">
        <v>242</v>
      </c>
      <c r="B93" s="344" t="s">
        <v>243</v>
      </c>
      <c r="C93" s="345">
        <v>2650</v>
      </c>
      <c r="D93" s="345">
        <v>1</v>
      </c>
      <c r="E93" s="345">
        <v>193</v>
      </c>
      <c r="F93" s="345">
        <v>145</v>
      </c>
      <c r="G93" s="345">
        <v>945</v>
      </c>
      <c r="H93" s="345">
        <v>3934</v>
      </c>
      <c r="I93" s="345">
        <v>2989</v>
      </c>
      <c r="J93" s="345">
        <v>0</v>
      </c>
      <c r="K93" s="345">
        <v>95.8</v>
      </c>
      <c r="L93" s="345">
        <v>92.01</v>
      </c>
      <c r="M93" s="345">
        <v>4.09</v>
      </c>
      <c r="N93" s="345">
        <v>98.68</v>
      </c>
      <c r="O93" s="348">
        <v>1605</v>
      </c>
      <c r="P93" s="345">
        <v>107.35</v>
      </c>
      <c r="Q93" s="345">
        <v>76.56</v>
      </c>
      <c r="R93" s="345">
        <v>56.21</v>
      </c>
      <c r="S93" s="345">
        <v>161.91</v>
      </c>
      <c r="T93" s="348">
        <v>239</v>
      </c>
      <c r="U93" s="345">
        <v>136.85</v>
      </c>
      <c r="V93" s="348">
        <v>824</v>
      </c>
      <c r="W93" s="345">
        <v>0</v>
      </c>
      <c r="X93" s="348">
        <v>0</v>
      </c>
      <c r="Y93" s="345">
        <v>0</v>
      </c>
      <c r="Z93" s="345">
        <v>0</v>
      </c>
      <c r="AA93" s="345">
        <v>0</v>
      </c>
      <c r="AB93" s="345">
        <v>114</v>
      </c>
      <c r="AC93" s="345">
        <v>16</v>
      </c>
      <c r="AD93" s="345">
        <v>2605</v>
      </c>
      <c r="AE93" s="345">
        <v>14</v>
      </c>
      <c r="AF93" s="345">
        <v>8</v>
      </c>
      <c r="AG93" s="345">
        <v>22</v>
      </c>
    </row>
    <row r="94" spans="1:33" x14ac:dyDescent="0.2">
      <c r="A94" s="344" t="s">
        <v>244</v>
      </c>
      <c r="B94" s="344" t="s">
        <v>245</v>
      </c>
      <c r="C94" s="345">
        <v>5882</v>
      </c>
      <c r="D94" s="345">
        <v>0</v>
      </c>
      <c r="E94" s="345">
        <v>119</v>
      </c>
      <c r="F94" s="345">
        <v>784</v>
      </c>
      <c r="G94" s="345">
        <v>728</v>
      </c>
      <c r="H94" s="345">
        <v>7513</v>
      </c>
      <c r="I94" s="345">
        <v>6785</v>
      </c>
      <c r="J94" s="345">
        <v>0</v>
      </c>
      <c r="K94" s="345">
        <v>117.78</v>
      </c>
      <c r="L94" s="345">
        <v>115.33</v>
      </c>
      <c r="M94" s="345">
        <v>4.1100000000000003</v>
      </c>
      <c r="N94" s="345">
        <v>119.27</v>
      </c>
      <c r="O94" s="348">
        <v>4268</v>
      </c>
      <c r="P94" s="345">
        <v>100.25</v>
      </c>
      <c r="Q94" s="345">
        <v>95.57</v>
      </c>
      <c r="R94" s="345">
        <v>18.579999999999998</v>
      </c>
      <c r="S94" s="345">
        <v>118.33</v>
      </c>
      <c r="T94" s="348">
        <v>884</v>
      </c>
      <c r="U94" s="345">
        <v>162.80000000000001</v>
      </c>
      <c r="V94" s="348">
        <v>1234</v>
      </c>
      <c r="W94" s="345">
        <v>0</v>
      </c>
      <c r="X94" s="348">
        <v>0</v>
      </c>
      <c r="Y94" s="345">
        <v>0</v>
      </c>
      <c r="Z94" s="345">
        <v>5</v>
      </c>
      <c r="AA94" s="345">
        <v>0</v>
      </c>
      <c r="AB94" s="345">
        <v>47</v>
      </c>
      <c r="AC94" s="345">
        <v>24</v>
      </c>
      <c r="AD94" s="345">
        <v>5608</v>
      </c>
      <c r="AE94" s="345">
        <v>22</v>
      </c>
      <c r="AF94" s="345">
        <v>19</v>
      </c>
      <c r="AG94" s="345">
        <v>41</v>
      </c>
    </row>
    <row r="95" spans="1:33" x14ac:dyDescent="0.2">
      <c r="A95" s="344" t="s">
        <v>246</v>
      </c>
      <c r="B95" s="344" t="s">
        <v>247</v>
      </c>
      <c r="C95" s="345">
        <v>7281</v>
      </c>
      <c r="D95" s="345">
        <v>0</v>
      </c>
      <c r="E95" s="345">
        <v>175</v>
      </c>
      <c r="F95" s="345">
        <v>1055</v>
      </c>
      <c r="G95" s="345">
        <v>1014</v>
      </c>
      <c r="H95" s="345">
        <v>9525</v>
      </c>
      <c r="I95" s="345">
        <v>8511</v>
      </c>
      <c r="J95" s="345">
        <v>138</v>
      </c>
      <c r="K95" s="345">
        <v>119.01</v>
      </c>
      <c r="L95" s="345">
        <v>118.01</v>
      </c>
      <c r="M95" s="345">
        <v>5.4</v>
      </c>
      <c r="N95" s="345">
        <v>121.32</v>
      </c>
      <c r="O95" s="348">
        <v>5126</v>
      </c>
      <c r="P95" s="345">
        <v>109.02</v>
      </c>
      <c r="Q95" s="345">
        <v>100.68</v>
      </c>
      <c r="R95" s="345">
        <v>33.229999999999997</v>
      </c>
      <c r="S95" s="345">
        <v>141.05000000000001</v>
      </c>
      <c r="T95" s="348">
        <v>1188</v>
      </c>
      <c r="U95" s="345">
        <v>172.54</v>
      </c>
      <c r="V95" s="348">
        <v>2040</v>
      </c>
      <c r="W95" s="345">
        <v>0</v>
      </c>
      <c r="X95" s="348">
        <v>0</v>
      </c>
      <c r="Y95" s="345">
        <v>55</v>
      </c>
      <c r="Z95" s="345">
        <v>4</v>
      </c>
      <c r="AA95" s="345">
        <v>1</v>
      </c>
      <c r="AB95" s="345">
        <v>73</v>
      </c>
      <c r="AC95" s="345">
        <v>26</v>
      </c>
      <c r="AD95" s="345">
        <v>7257</v>
      </c>
      <c r="AE95" s="345">
        <v>71</v>
      </c>
      <c r="AF95" s="345">
        <v>21</v>
      </c>
      <c r="AG95" s="345">
        <v>92</v>
      </c>
    </row>
    <row r="96" spans="1:33" x14ac:dyDescent="0.2">
      <c r="A96" s="344" t="s">
        <v>248</v>
      </c>
      <c r="B96" s="344" t="s">
        <v>249</v>
      </c>
      <c r="C96" s="345">
        <v>6896</v>
      </c>
      <c r="D96" s="345">
        <v>8</v>
      </c>
      <c r="E96" s="345">
        <v>247</v>
      </c>
      <c r="F96" s="345">
        <v>577</v>
      </c>
      <c r="G96" s="345">
        <v>642</v>
      </c>
      <c r="H96" s="345">
        <v>8370</v>
      </c>
      <c r="I96" s="345">
        <v>7728</v>
      </c>
      <c r="J96" s="345">
        <v>1</v>
      </c>
      <c r="K96" s="345">
        <v>85.05</v>
      </c>
      <c r="L96" s="345">
        <v>84.52</v>
      </c>
      <c r="M96" s="345">
        <v>3.14</v>
      </c>
      <c r="N96" s="345">
        <v>87.59</v>
      </c>
      <c r="O96" s="348">
        <v>5147</v>
      </c>
      <c r="P96" s="345">
        <v>88.76</v>
      </c>
      <c r="Q96" s="345">
        <v>78.5</v>
      </c>
      <c r="R96" s="345">
        <v>47.91</v>
      </c>
      <c r="S96" s="345">
        <v>135.31</v>
      </c>
      <c r="T96" s="348">
        <v>776</v>
      </c>
      <c r="U96" s="345">
        <v>96.28</v>
      </c>
      <c r="V96" s="348">
        <v>1518</v>
      </c>
      <c r="W96" s="345">
        <v>152.62</v>
      </c>
      <c r="X96" s="348">
        <v>42</v>
      </c>
      <c r="Y96" s="345">
        <v>0</v>
      </c>
      <c r="Z96" s="345">
        <v>15</v>
      </c>
      <c r="AA96" s="345">
        <v>3</v>
      </c>
      <c r="AB96" s="345">
        <v>21</v>
      </c>
      <c r="AC96" s="345">
        <v>13</v>
      </c>
      <c r="AD96" s="345">
        <v>6739</v>
      </c>
      <c r="AE96" s="345">
        <v>74</v>
      </c>
      <c r="AF96" s="345">
        <v>51</v>
      </c>
      <c r="AG96" s="345">
        <v>125</v>
      </c>
    </row>
    <row r="97" spans="1:33" x14ac:dyDescent="0.2">
      <c r="A97" s="344" t="s">
        <v>250</v>
      </c>
      <c r="B97" s="344" t="s">
        <v>251</v>
      </c>
      <c r="C97" s="345">
        <v>2469</v>
      </c>
      <c r="D97" s="345">
        <v>0</v>
      </c>
      <c r="E97" s="345">
        <v>305</v>
      </c>
      <c r="F97" s="345">
        <v>618</v>
      </c>
      <c r="G97" s="345">
        <v>473</v>
      </c>
      <c r="H97" s="345">
        <v>3865</v>
      </c>
      <c r="I97" s="345">
        <v>3392</v>
      </c>
      <c r="J97" s="345">
        <v>2</v>
      </c>
      <c r="K97" s="345">
        <v>91.69</v>
      </c>
      <c r="L97" s="345">
        <v>89.05</v>
      </c>
      <c r="M97" s="345">
        <v>5.04</v>
      </c>
      <c r="N97" s="345">
        <v>94.66</v>
      </c>
      <c r="O97" s="348">
        <v>1271</v>
      </c>
      <c r="P97" s="345">
        <v>96.15</v>
      </c>
      <c r="Q97" s="345">
        <v>84.08</v>
      </c>
      <c r="R97" s="345">
        <v>54.54</v>
      </c>
      <c r="S97" s="345">
        <v>147.83000000000001</v>
      </c>
      <c r="T97" s="348">
        <v>801</v>
      </c>
      <c r="U97" s="345">
        <v>106.11</v>
      </c>
      <c r="V97" s="348">
        <v>902</v>
      </c>
      <c r="W97" s="345">
        <v>117.53</v>
      </c>
      <c r="X97" s="348">
        <v>12</v>
      </c>
      <c r="Y97" s="345">
        <v>2</v>
      </c>
      <c r="Z97" s="345">
        <v>0</v>
      </c>
      <c r="AA97" s="345">
        <v>3</v>
      </c>
      <c r="AB97" s="345">
        <v>100</v>
      </c>
      <c r="AC97" s="345">
        <v>4</v>
      </c>
      <c r="AD97" s="345">
        <v>2243</v>
      </c>
      <c r="AE97" s="345">
        <v>18</v>
      </c>
      <c r="AF97" s="345">
        <v>10</v>
      </c>
      <c r="AG97" s="345">
        <v>28</v>
      </c>
    </row>
    <row r="98" spans="1:33" x14ac:dyDescent="0.2">
      <c r="A98" s="344" t="s">
        <v>252</v>
      </c>
      <c r="B98" s="344" t="s">
        <v>253</v>
      </c>
      <c r="C98" s="345">
        <v>6461</v>
      </c>
      <c r="D98" s="345">
        <v>0</v>
      </c>
      <c r="E98" s="345">
        <v>135</v>
      </c>
      <c r="F98" s="345">
        <v>381</v>
      </c>
      <c r="G98" s="345">
        <v>344</v>
      </c>
      <c r="H98" s="345">
        <v>7321</v>
      </c>
      <c r="I98" s="345">
        <v>6977</v>
      </c>
      <c r="J98" s="345">
        <v>0</v>
      </c>
      <c r="K98" s="345">
        <v>84.04</v>
      </c>
      <c r="L98" s="345">
        <v>81.099999999999994</v>
      </c>
      <c r="M98" s="345">
        <v>6.19</v>
      </c>
      <c r="N98" s="345">
        <v>86.65</v>
      </c>
      <c r="O98" s="348">
        <v>5110</v>
      </c>
      <c r="P98" s="345">
        <v>83.29</v>
      </c>
      <c r="Q98" s="345">
        <v>76.66</v>
      </c>
      <c r="R98" s="345">
        <v>59.88</v>
      </c>
      <c r="S98" s="345">
        <v>142.34</v>
      </c>
      <c r="T98" s="348">
        <v>512</v>
      </c>
      <c r="U98" s="345">
        <v>101.74</v>
      </c>
      <c r="V98" s="348">
        <v>1330</v>
      </c>
      <c r="W98" s="345">
        <v>0</v>
      </c>
      <c r="X98" s="348">
        <v>0</v>
      </c>
      <c r="Y98" s="345">
        <v>538</v>
      </c>
      <c r="Z98" s="345">
        <v>20</v>
      </c>
      <c r="AA98" s="345">
        <v>5</v>
      </c>
      <c r="AB98" s="345">
        <v>24</v>
      </c>
      <c r="AC98" s="345">
        <v>8</v>
      </c>
      <c r="AD98" s="345">
        <v>6461</v>
      </c>
      <c r="AE98" s="345">
        <v>54</v>
      </c>
      <c r="AF98" s="345">
        <v>11</v>
      </c>
      <c r="AG98" s="345">
        <v>65</v>
      </c>
    </row>
    <row r="99" spans="1:33" x14ac:dyDescent="0.2">
      <c r="A99" s="344" t="s">
        <v>254</v>
      </c>
      <c r="B99" s="344" t="s">
        <v>255</v>
      </c>
      <c r="C99" s="345">
        <v>8506</v>
      </c>
      <c r="D99" s="345">
        <v>0</v>
      </c>
      <c r="E99" s="345">
        <v>386</v>
      </c>
      <c r="F99" s="345">
        <v>1375</v>
      </c>
      <c r="G99" s="345">
        <v>283</v>
      </c>
      <c r="H99" s="345">
        <v>10550</v>
      </c>
      <c r="I99" s="345">
        <v>10267</v>
      </c>
      <c r="J99" s="345">
        <v>3</v>
      </c>
      <c r="K99" s="345">
        <v>94.16</v>
      </c>
      <c r="L99" s="345">
        <v>91.1</v>
      </c>
      <c r="M99" s="345">
        <v>3.34</v>
      </c>
      <c r="N99" s="345">
        <v>95.83</v>
      </c>
      <c r="O99" s="348">
        <v>7020</v>
      </c>
      <c r="P99" s="345">
        <v>85.09</v>
      </c>
      <c r="Q99" s="345">
        <v>79.25</v>
      </c>
      <c r="R99" s="345">
        <v>38.200000000000003</v>
      </c>
      <c r="S99" s="345">
        <v>122.52</v>
      </c>
      <c r="T99" s="348">
        <v>1631</v>
      </c>
      <c r="U99" s="345">
        <v>110.27</v>
      </c>
      <c r="V99" s="348">
        <v>1277</v>
      </c>
      <c r="W99" s="345">
        <v>116.85</v>
      </c>
      <c r="X99" s="348">
        <v>19</v>
      </c>
      <c r="Y99" s="345">
        <v>4</v>
      </c>
      <c r="Z99" s="345">
        <v>4</v>
      </c>
      <c r="AA99" s="345">
        <v>29</v>
      </c>
      <c r="AB99" s="345">
        <v>14</v>
      </c>
      <c r="AC99" s="345">
        <v>7</v>
      </c>
      <c r="AD99" s="345">
        <v>8479</v>
      </c>
      <c r="AE99" s="345">
        <v>39</v>
      </c>
      <c r="AF99" s="345">
        <v>62</v>
      </c>
      <c r="AG99" s="345">
        <v>101</v>
      </c>
    </row>
    <row r="100" spans="1:33" x14ac:dyDescent="0.2">
      <c r="A100" s="344" t="s">
        <v>256</v>
      </c>
      <c r="B100" s="344" t="s">
        <v>257</v>
      </c>
      <c r="C100" s="345">
        <v>1711</v>
      </c>
      <c r="D100" s="345">
        <v>0</v>
      </c>
      <c r="E100" s="345">
        <v>236</v>
      </c>
      <c r="F100" s="345">
        <v>632</v>
      </c>
      <c r="G100" s="345">
        <v>169</v>
      </c>
      <c r="H100" s="345">
        <v>2748</v>
      </c>
      <c r="I100" s="345">
        <v>2579</v>
      </c>
      <c r="J100" s="345">
        <v>7</v>
      </c>
      <c r="K100" s="345">
        <v>97.51</v>
      </c>
      <c r="L100" s="345">
        <v>93.79</v>
      </c>
      <c r="M100" s="345">
        <v>8.61</v>
      </c>
      <c r="N100" s="345">
        <v>104.75</v>
      </c>
      <c r="O100" s="348">
        <v>1469</v>
      </c>
      <c r="P100" s="345">
        <v>83.04</v>
      </c>
      <c r="Q100" s="345">
        <v>74.709999999999994</v>
      </c>
      <c r="R100" s="345">
        <v>45.03</v>
      </c>
      <c r="S100" s="345">
        <v>127.47</v>
      </c>
      <c r="T100" s="348">
        <v>684</v>
      </c>
      <c r="U100" s="345">
        <v>139.51</v>
      </c>
      <c r="V100" s="348">
        <v>219</v>
      </c>
      <c r="W100" s="345">
        <v>142.71</v>
      </c>
      <c r="X100" s="348">
        <v>18</v>
      </c>
      <c r="Y100" s="345">
        <v>0</v>
      </c>
      <c r="Z100" s="345">
        <v>0</v>
      </c>
      <c r="AA100" s="345">
        <v>1</v>
      </c>
      <c r="AB100" s="345">
        <v>0</v>
      </c>
      <c r="AC100" s="345">
        <v>8</v>
      </c>
      <c r="AD100" s="345">
        <v>1710</v>
      </c>
      <c r="AE100" s="345">
        <v>5</v>
      </c>
      <c r="AF100" s="345">
        <v>4</v>
      </c>
      <c r="AG100" s="345">
        <v>9</v>
      </c>
    </row>
    <row r="101" spans="1:33" x14ac:dyDescent="0.2">
      <c r="A101" s="344" t="s">
        <v>258</v>
      </c>
      <c r="B101" s="344" t="s">
        <v>259</v>
      </c>
      <c r="C101" s="345">
        <v>6793</v>
      </c>
      <c r="D101" s="345">
        <v>0</v>
      </c>
      <c r="E101" s="345">
        <v>169</v>
      </c>
      <c r="F101" s="345">
        <v>714</v>
      </c>
      <c r="G101" s="345">
        <v>1229</v>
      </c>
      <c r="H101" s="345">
        <v>8905</v>
      </c>
      <c r="I101" s="345">
        <v>7676</v>
      </c>
      <c r="J101" s="345">
        <v>0</v>
      </c>
      <c r="K101" s="345">
        <v>110.87</v>
      </c>
      <c r="L101" s="345">
        <v>106.38</v>
      </c>
      <c r="M101" s="345">
        <v>5.31</v>
      </c>
      <c r="N101" s="345">
        <v>113.62</v>
      </c>
      <c r="O101" s="348">
        <v>4807</v>
      </c>
      <c r="P101" s="345">
        <v>102.69</v>
      </c>
      <c r="Q101" s="345">
        <v>89.13</v>
      </c>
      <c r="R101" s="345">
        <v>37.68</v>
      </c>
      <c r="S101" s="345">
        <v>140.22999999999999</v>
      </c>
      <c r="T101" s="348">
        <v>755</v>
      </c>
      <c r="U101" s="345">
        <v>156.12</v>
      </c>
      <c r="V101" s="348">
        <v>1838</v>
      </c>
      <c r="W101" s="345">
        <v>179.18</v>
      </c>
      <c r="X101" s="348">
        <v>50</v>
      </c>
      <c r="Y101" s="345">
        <v>0</v>
      </c>
      <c r="Z101" s="345">
        <v>11</v>
      </c>
      <c r="AA101" s="345">
        <v>2</v>
      </c>
      <c r="AB101" s="345">
        <v>117</v>
      </c>
      <c r="AC101" s="345">
        <v>34</v>
      </c>
      <c r="AD101" s="345">
        <v>6793</v>
      </c>
      <c r="AE101" s="345">
        <v>73</v>
      </c>
      <c r="AF101" s="345">
        <v>20</v>
      </c>
      <c r="AG101" s="345">
        <v>93</v>
      </c>
    </row>
    <row r="102" spans="1:33" x14ac:dyDescent="0.2">
      <c r="A102" s="344" t="s">
        <v>260</v>
      </c>
      <c r="B102" s="344" t="s">
        <v>261</v>
      </c>
      <c r="C102" s="345">
        <v>2199</v>
      </c>
      <c r="D102" s="345">
        <v>0</v>
      </c>
      <c r="E102" s="345">
        <v>182</v>
      </c>
      <c r="F102" s="345">
        <v>211</v>
      </c>
      <c r="G102" s="345">
        <v>205</v>
      </c>
      <c r="H102" s="345">
        <v>2797</v>
      </c>
      <c r="I102" s="345">
        <v>2592</v>
      </c>
      <c r="J102" s="345">
        <v>10</v>
      </c>
      <c r="K102" s="345">
        <v>97.9</v>
      </c>
      <c r="L102" s="345">
        <v>99.13</v>
      </c>
      <c r="M102" s="345">
        <v>5.71</v>
      </c>
      <c r="N102" s="345">
        <v>99.83</v>
      </c>
      <c r="O102" s="348">
        <v>1928</v>
      </c>
      <c r="P102" s="345">
        <v>94.46</v>
      </c>
      <c r="Q102" s="345">
        <v>84.73</v>
      </c>
      <c r="R102" s="345">
        <v>41.94</v>
      </c>
      <c r="S102" s="345">
        <v>135.18</v>
      </c>
      <c r="T102" s="348">
        <v>380</v>
      </c>
      <c r="U102" s="345">
        <v>110.38</v>
      </c>
      <c r="V102" s="348">
        <v>235</v>
      </c>
      <c r="W102" s="345">
        <v>0</v>
      </c>
      <c r="X102" s="348">
        <v>0</v>
      </c>
      <c r="Y102" s="345">
        <v>0</v>
      </c>
      <c r="Z102" s="345">
        <v>3</v>
      </c>
      <c r="AA102" s="345">
        <v>0</v>
      </c>
      <c r="AB102" s="345">
        <v>17</v>
      </c>
      <c r="AC102" s="345">
        <v>1</v>
      </c>
      <c r="AD102" s="345">
        <v>2161</v>
      </c>
      <c r="AE102" s="345">
        <v>17</v>
      </c>
      <c r="AF102" s="345">
        <v>4</v>
      </c>
      <c r="AG102" s="345">
        <v>21</v>
      </c>
    </row>
    <row r="103" spans="1:33" x14ac:dyDescent="0.2">
      <c r="A103" s="344" t="s">
        <v>262</v>
      </c>
      <c r="B103" s="344" t="s">
        <v>263</v>
      </c>
      <c r="C103" s="345">
        <v>4598</v>
      </c>
      <c r="D103" s="345">
        <v>6</v>
      </c>
      <c r="E103" s="345">
        <v>124</v>
      </c>
      <c r="F103" s="345">
        <v>884</v>
      </c>
      <c r="G103" s="345">
        <v>525</v>
      </c>
      <c r="H103" s="345">
        <v>6137</v>
      </c>
      <c r="I103" s="345">
        <v>5612</v>
      </c>
      <c r="J103" s="345">
        <v>13</v>
      </c>
      <c r="K103" s="345">
        <v>130.59</v>
      </c>
      <c r="L103" s="345">
        <v>132.05000000000001</v>
      </c>
      <c r="M103" s="345">
        <v>10.73</v>
      </c>
      <c r="N103" s="345">
        <v>135.88</v>
      </c>
      <c r="O103" s="348">
        <v>3658</v>
      </c>
      <c r="P103" s="345">
        <v>123.48</v>
      </c>
      <c r="Q103" s="345">
        <v>110.13</v>
      </c>
      <c r="R103" s="345">
        <v>23.7</v>
      </c>
      <c r="S103" s="345">
        <v>146.80000000000001</v>
      </c>
      <c r="T103" s="348">
        <v>794</v>
      </c>
      <c r="U103" s="345">
        <v>207.05</v>
      </c>
      <c r="V103" s="348">
        <v>675</v>
      </c>
      <c r="W103" s="345">
        <v>169.39</v>
      </c>
      <c r="X103" s="348">
        <v>10</v>
      </c>
      <c r="Y103" s="345">
        <v>249</v>
      </c>
      <c r="Z103" s="345">
        <v>12</v>
      </c>
      <c r="AA103" s="345">
        <v>1</v>
      </c>
      <c r="AB103" s="345">
        <v>9</v>
      </c>
      <c r="AC103" s="345">
        <v>25</v>
      </c>
      <c r="AD103" s="345">
        <v>4424</v>
      </c>
      <c r="AE103" s="345">
        <v>16</v>
      </c>
      <c r="AF103" s="345">
        <v>4</v>
      </c>
      <c r="AG103" s="345">
        <v>20</v>
      </c>
    </row>
    <row r="104" spans="1:33" x14ac:dyDescent="0.2">
      <c r="A104" s="344" t="s">
        <v>264</v>
      </c>
      <c r="B104" s="344" t="s">
        <v>265</v>
      </c>
      <c r="C104" s="345">
        <v>7102</v>
      </c>
      <c r="D104" s="345">
        <v>337</v>
      </c>
      <c r="E104" s="345">
        <v>595</v>
      </c>
      <c r="F104" s="345">
        <v>695</v>
      </c>
      <c r="G104" s="345">
        <v>1449</v>
      </c>
      <c r="H104" s="345">
        <v>10178</v>
      </c>
      <c r="I104" s="345">
        <v>8729</v>
      </c>
      <c r="J104" s="345">
        <v>8</v>
      </c>
      <c r="K104" s="345">
        <v>125.04</v>
      </c>
      <c r="L104" s="345">
        <v>124.01</v>
      </c>
      <c r="M104" s="345">
        <v>15.68</v>
      </c>
      <c r="N104" s="345">
        <v>136.61000000000001</v>
      </c>
      <c r="O104" s="348">
        <v>5775</v>
      </c>
      <c r="P104" s="345">
        <v>115.44</v>
      </c>
      <c r="Q104" s="345">
        <v>107.98</v>
      </c>
      <c r="R104" s="345">
        <v>73.5</v>
      </c>
      <c r="S104" s="345">
        <v>186.92</v>
      </c>
      <c r="T104" s="348">
        <v>1096</v>
      </c>
      <c r="U104" s="345">
        <v>200.47</v>
      </c>
      <c r="V104" s="348">
        <v>782</v>
      </c>
      <c r="W104" s="345">
        <v>196.06</v>
      </c>
      <c r="X104" s="348">
        <v>27</v>
      </c>
      <c r="Y104" s="345">
        <v>43</v>
      </c>
      <c r="Z104" s="345">
        <v>5</v>
      </c>
      <c r="AA104" s="345">
        <v>6</v>
      </c>
      <c r="AB104" s="345">
        <v>107</v>
      </c>
      <c r="AC104" s="345">
        <v>72</v>
      </c>
      <c r="AD104" s="345">
        <v>6655</v>
      </c>
      <c r="AE104" s="345">
        <v>100</v>
      </c>
      <c r="AF104" s="345">
        <v>52</v>
      </c>
      <c r="AG104" s="345">
        <v>152</v>
      </c>
    </row>
    <row r="105" spans="1:33" x14ac:dyDescent="0.2">
      <c r="A105" s="344" t="s">
        <v>266</v>
      </c>
      <c r="B105" s="344" t="s">
        <v>267</v>
      </c>
      <c r="C105" s="345">
        <v>1460</v>
      </c>
      <c r="D105" s="345">
        <v>0</v>
      </c>
      <c r="E105" s="345">
        <v>154</v>
      </c>
      <c r="F105" s="345">
        <v>227</v>
      </c>
      <c r="G105" s="345">
        <v>375</v>
      </c>
      <c r="H105" s="345">
        <v>2216</v>
      </c>
      <c r="I105" s="345">
        <v>1841</v>
      </c>
      <c r="J105" s="345">
        <v>2</v>
      </c>
      <c r="K105" s="345">
        <v>123.21</v>
      </c>
      <c r="L105" s="345">
        <v>120.93</v>
      </c>
      <c r="M105" s="345">
        <v>6.38</v>
      </c>
      <c r="N105" s="345">
        <v>128.81</v>
      </c>
      <c r="O105" s="348">
        <v>1229</v>
      </c>
      <c r="P105" s="345">
        <v>97.91</v>
      </c>
      <c r="Q105" s="345">
        <v>91.53</v>
      </c>
      <c r="R105" s="345">
        <v>59.57</v>
      </c>
      <c r="S105" s="345">
        <v>157.26</v>
      </c>
      <c r="T105" s="348">
        <v>281</v>
      </c>
      <c r="U105" s="345">
        <v>189.33</v>
      </c>
      <c r="V105" s="348">
        <v>214</v>
      </c>
      <c r="W105" s="345">
        <v>0</v>
      </c>
      <c r="X105" s="348">
        <v>0</v>
      </c>
      <c r="Y105" s="345">
        <v>0</v>
      </c>
      <c r="Z105" s="345">
        <v>0</v>
      </c>
      <c r="AA105" s="345">
        <v>0</v>
      </c>
      <c r="AB105" s="345">
        <v>0</v>
      </c>
      <c r="AC105" s="345">
        <v>12</v>
      </c>
      <c r="AD105" s="345">
        <v>1460</v>
      </c>
      <c r="AE105" s="345">
        <v>16</v>
      </c>
      <c r="AF105" s="345">
        <v>4</v>
      </c>
      <c r="AG105" s="345">
        <v>20</v>
      </c>
    </row>
    <row r="106" spans="1:33" x14ac:dyDescent="0.2">
      <c r="A106" s="344" t="s">
        <v>268</v>
      </c>
      <c r="B106" s="344" t="s">
        <v>269</v>
      </c>
      <c r="C106" s="345">
        <v>2238</v>
      </c>
      <c r="D106" s="345">
        <v>0</v>
      </c>
      <c r="E106" s="345">
        <v>139</v>
      </c>
      <c r="F106" s="345">
        <v>416</v>
      </c>
      <c r="G106" s="345">
        <v>348</v>
      </c>
      <c r="H106" s="345">
        <v>3141</v>
      </c>
      <c r="I106" s="345">
        <v>2793</v>
      </c>
      <c r="J106" s="345">
        <v>0</v>
      </c>
      <c r="K106" s="345">
        <v>125.24</v>
      </c>
      <c r="L106" s="345">
        <v>117.59</v>
      </c>
      <c r="M106" s="345">
        <v>10.99</v>
      </c>
      <c r="N106" s="345">
        <v>131.29</v>
      </c>
      <c r="O106" s="348">
        <v>1946</v>
      </c>
      <c r="P106" s="345">
        <v>110.25</v>
      </c>
      <c r="Q106" s="345">
        <v>102.72</v>
      </c>
      <c r="R106" s="345">
        <v>29.13</v>
      </c>
      <c r="S106" s="345">
        <v>135.19</v>
      </c>
      <c r="T106" s="348">
        <v>327</v>
      </c>
      <c r="U106" s="345">
        <v>205.37</v>
      </c>
      <c r="V106" s="348">
        <v>269</v>
      </c>
      <c r="W106" s="345">
        <v>269.39999999999998</v>
      </c>
      <c r="X106" s="348">
        <v>56</v>
      </c>
      <c r="Y106" s="345">
        <v>0</v>
      </c>
      <c r="Z106" s="345">
        <v>0</v>
      </c>
      <c r="AA106" s="345">
        <v>0</v>
      </c>
      <c r="AB106" s="345">
        <v>0</v>
      </c>
      <c r="AC106" s="345">
        <v>11</v>
      </c>
      <c r="AD106" s="345">
        <v>2235</v>
      </c>
      <c r="AE106" s="345">
        <v>6</v>
      </c>
      <c r="AF106" s="345">
        <v>4</v>
      </c>
      <c r="AG106" s="345">
        <v>10</v>
      </c>
    </row>
    <row r="107" spans="1:33" x14ac:dyDescent="0.2">
      <c r="A107" s="344" t="s">
        <v>270</v>
      </c>
      <c r="B107" s="344" t="s">
        <v>271</v>
      </c>
      <c r="C107" s="345">
        <v>4692</v>
      </c>
      <c r="D107" s="345">
        <v>0</v>
      </c>
      <c r="E107" s="345">
        <v>121</v>
      </c>
      <c r="F107" s="345">
        <v>1938</v>
      </c>
      <c r="G107" s="345">
        <v>209</v>
      </c>
      <c r="H107" s="345">
        <v>6960</v>
      </c>
      <c r="I107" s="345">
        <v>6751</v>
      </c>
      <c r="J107" s="345">
        <v>2</v>
      </c>
      <c r="K107" s="345">
        <v>92.53</v>
      </c>
      <c r="L107" s="345">
        <v>92.12</v>
      </c>
      <c r="M107" s="345">
        <v>3.54</v>
      </c>
      <c r="N107" s="345">
        <v>95.3</v>
      </c>
      <c r="O107" s="348">
        <v>4147</v>
      </c>
      <c r="P107" s="345">
        <v>83.31</v>
      </c>
      <c r="Q107" s="345">
        <v>82.07</v>
      </c>
      <c r="R107" s="345">
        <v>11.18</v>
      </c>
      <c r="S107" s="345">
        <v>94.16</v>
      </c>
      <c r="T107" s="348">
        <v>1985</v>
      </c>
      <c r="U107" s="345">
        <v>107.45</v>
      </c>
      <c r="V107" s="348">
        <v>489</v>
      </c>
      <c r="W107" s="345">
        <v>96.53</v>
      </c>
      <c r="X107" s="348">
        <v>37</v>
      </c>
      <c r="Y107" s="345">
        <v>0</v>
      </c>
      <c r="Z107" s="345">
        <v>13</v>
      </c>
      <c r="AA107" s="345">
        <v>1</v>
      </c>
      <c r="AB107" s="345">
        <v>9</v>
      </c>
      <c r="AC107" s="345">
        <v>8</v>
      </c>
      <c r="AD107" s="345">
        <v>4692</v>
      </c>
      <c r="AE107" s="345">
        <v>14</v>
      </c>
      <c r="AF107" s="345">
        <v>26</v>
      </c>
      <c r="AG107" s="345">
        <v>40</v>
      </c>
    </row>
    <row r="108" spans="1:33" x14ac:dyDescent="0.2">
      <c r="A108" s="344" t="s">
        <v>272</v>
      </c>
      <c r="B108" s="344" t="s">
        <v>273</v>
      </c>
      <c r="C108" s="345">
        <v>3690</v>
      </c>
      <c r="D108" s="345">
        <v>2</v>
      </c>
      <c r="E108" s="345">
        <v>570</v>
      </c>
      <c r="F108" s="345">
        <v>395</v>
      </c>
      <c r="G108" s="345">
        <v>514</v>
      </c>
      <c r="H108" s="345">
        <v>5171</v>
      </c>
      <c r="I108" s="345">
        <v>4657</v>
      </c>
      <c r="J108" s="345">
        <v>0</v>
      </c>
      <c r="K108" s="345">
        <v>91.05</v>
      </c>
      <c r="L108" s="345">
        <v>88.38</v>
      </c>
      <c r="M108" s="345">
        <v>7.48</v>
      </c>
      <c r="N108" s="345">
        <v>96.84</v>
      </c>
      <c r="O108" s="348">
        <v>3444</v>
      </c>
      <c r="P108" s="345">
        <v>96.32</v>
      </c>
      <c r="Q108" s="345">
        <v>69.37</v>
      </c>
      <c r="R108" s="345">
        <v>90.53</v>
      </c>
      <c r="S108" s="345">
        <v>184.18</v>
      </c>
      <c r="T108" s="348">
        <v>476</v>
      </c>
      <c r="U108" s="345">
        <v>130.63999999999999</v>
      </c>
      <c r="V108" s="348">
        <v>219</v>
      </c>
      <c r="W108" s="345">
        <v>130.22</v>
      </c>
      <c r="X108" s="348">
        <v>61</v>
      </c>
      <c r="Y108" s="345">
        <v>0</v>
      </c>
      <c r="Z108" s="345">
        <v>0</v>
      </c>
      <c r="AA108" s="345">
        <v>1</v>
      </c>
      <c r="AB108" s="345">
        <v>52</v>
      </c>
      <c r="AC108" s="345">
        <v>15</v>
      </c>
      <c r="AD108" s="345">
        <v>3668</v>
      </c>
      <c r="AE108" s="345">
        <v>13</v>
      </c>
      <c r="AF108" s="345">
        <v>31</v>
      </c>
      <c r="AG108" s="345">
        <v>44</v>
      </c>
    </row>
    <row r="109" spans="1:33" x14ac:dyDescent="0.2">
      <c r="A109" s="344" t="s">
        <v>274</v>
      </c>
      <c r="B109" s="344" t="s">
        <v>275</v>
      </c>
      <c r="C109" s="345">
        <v>1538</v>
      </c>
      <c r="D109" s="345">
        <v>0</v>
      </c>
      <c r="E109" s="345">
        <v>187</v>
      </c>
      <c r="F109" s="345">
        <v>183</v>
      </c>
      <c r="G109" s="345">
        <v>252</v>
      </c>
      <c r="H109" s="345">
        <v>2160</v>
      </c>
      <c r="I109" s="345">
        <v>1908</v>
      </c>
      <c r="J109" s="345">
        <v>3</v>
      </c>
      <c r="K109" s="345">
        <v>108.99</v>
      </c>
      <c r="L109" s="345">
        <v>105.66</v>
      </c>
      <c r="M109" s="345">
        <v>8.7799999999999994</v>
      </c>
      <c r="N109" s="345">
        <v>115.36</v>
      </c>
      <c r="O109" s="348">
        <v>1070</v>
      </c>
      <c r="P109" s="345">
        <v>111.57</v>
      </c>
      <c r="Q109" s="345">
        <v>89.31</v>
      </c>
      <c r="R109" s="345">
        <v>61.1</v>
      </c>
      <c r="S109" s="345">
        <v>171.9</v>
      </c>
      <c r="T109" s="348">
        <v>237</v>
      </c>
      <c r="U109" s="345">
        <v>152.22999999999999</v>
      </c>
      <c r="V109" s="348">
        <v>366</v>
      </c>
      <c r="W109" s="345">
        <v>0</v>
      </c>
      <c r="X109" s="348">
        <v>0</v>
      </c>
      <c r="Y109" s="345">
        <v>25</v>
      </c>
      <c r="Z109" s="345">
        <v>1</v>
      </c>
      <c r="AA109" s="345">
        <v>0</v>
      </c>
      <c r="AB109" s="345">
        <v>16</v>
      </c>
      <c r="AC109" s="345">
        <v>15</v>
      </c>
      <c r="AD109" s="345">
        <v>1526</v>
      </c>
      <c r="AE109" s="345">
        <v>10</v>
      </c>
      <c r="AF109" s="345">
        <v>2</v>
      </c>
      <c r="AG109" s="345">
        <v>12</v>
      </c>
    </row>
    <row r="110" spans="1:33" x14ac:dyDescent="0.2">
      <c r="A110" s="344" t="s">
        <v>276</v>
      </c>
      <c r="B110" s="344" t="s">
        <v>277</v>
      </c>
      <c r="C110" s="345">
        <v>4853</v>
      </c>
      <c r="D110" s="345">
        <v>0</v>
      </c>
      <c r="E110" s="345">
        <v>250</v>
      </c>
      <c r="F110" s="345">
        <v>756</v>
      </c>
      <c r="G110" s="345">
        <v>219</v>
      </c>
      <c r="H110" s="345">
        <v>6078</v>
      </c>
      <c r="I110" s="345">
        <v>5859</v>
      </c>
      <c r="J110" s="345">
        <v>3</v>
      </c>
      <c r="K110" s="345">
        <v>91.53</v>
      </c>
      <c r="L110" s="345">
        <v>88.5</v>
      </c>
      <c r="M110" s="345">
        <v>5.87</v>
      </c>
      <c r="N110" s="345">
        <v>94.32</v>
      </c>
      <c r="O110" s="348">
        <v>4373</v>
      </c>
      <c r="P110" s="345">
        <v>99.89</v>
      </c>
      <c r="Q110" s="345">
        <v>83.22</v>
      </c>
      <c r="R110" s="345">
        <v>50.34</v>
      </c>
      <c r="S110" s="345">
        <v>148.33000000000001</v>
      </c>
      <c r="T110" s="348">
        <v>898</v>
      </c>
      <c r="U110" s="345">
        <v>115.58</v>
      </c>
      <c r="V110" s="348">
        <v>429</v>
      </c>
      <c r="W110" s="345">
        <v>241.75</v>
      </c>
      <c r="X110" s="348">
        <v>60</v>
      </c>
      <c r="Y110" s="345">
        <v>0</v>
      </c>
      <c r="Z110" s="345">
        <v>9</v>
      </c>
      <c r="AA110" s="345">
        <v>0</v>
      </c>
      <c r="AB110" s="345">
        <v>49</v>
      </c>
      <c r="AC110" s="345">
        <v>4</v>
      </c>
      <c r="AD110" s="345">
        <v>4853</v>
      </c>
      <c r="AE110" s="345">
        <v>23</v>
      </c>
      <c r="AF110" s="345">
        <v>30</v>
      </c>
      <c r="AG110" s="345">
        <v>53</v>
      </c>
    </row>
    <row r="111" spans="1:33" x14ac:dyDescent="0.2">
      <c r="A111" s="344" t="s">
        <v>278</v>
      </c>
      <c r="B111" s="344" t="s">
        <v>279</v>
      </c>
      <c r="C111" s="345">
        <v>1610</v>
      </c>
      <c r="D111" s="345">
        <v>0</v>
      </c>
      <c r="E111" s="345">
        <v>168</v>
      </c>
      <c r="F111" s="345">
        <v>264</v>
      </c>
      <c r="G111" s="345">
        <v>302</v>
      </c>
      <c r="H111" s="345">
        <v>2344</v>
      </c>
      <c r="I111" s="345">
        <v>2042</v>
      </c>
      <c r="J111" s="345">
        <v>16</v>
      </c>
      <c r="K111" s="345">
        <v>96.64</v>
      </c>
      <c r="L111" s="345">
        <v>95.04</v>
      </c>
      <c r="M111" s="345">
        <v>8.6199999999999992</v>
      </c>
      <c r="N111" s="345">
        <v>102.84</v>
      </c>
      <c r="O111" s="348">
        <v>1203</v>
      </c>
      <c r="P111" s="345">
        <v>101.69</v>
      </c>
      <c r="Q111" s="345">
        <v>81.05</v>
      </c>
      <c r="R111" s="345">
        <v>51.98</v>
      </c>
      <c r="S111" s="345">
        <v>153.24</v>
      </c>
      <c r="T111" s="348">
        <v>359</v>
      </c>
      <c r="U111" s="345">
        <v>141.49</v>
      </c>
      <c r="V111" s="348">
        <v>223</v>
      </c>
      <c r="W111" s="345">
        <v>76.430000000000007</v>
      </c>
      <c r="X111" s="348">
        <v>7</v>
      </c>
      <c r="Y111" s="345">
        <v>0</v>
      </c>
      <c r="Z111" s="345">
        <v>1</v>
      </c>
      <c r="AA111" s="345">
        <v>0</v>
      </c>
      <c r="AB111" s="345">
        <v>6</v>
      </c>
      <c r="AC111" s="345">
        <v>6</v>
      </c>
      <c r="AD111" s="345">
        <v>1449</v>
      </c>
      <c r="AE111" s="345">
        <v>5</v>
      </c>
      <c r="AF111" s="345">
        <v>6</v>
      </c>
      <c r="AG111" s="345">
        <v>11</v>
      </c>
    </row>
    <row r="112" spans="1:33" x14ac:dyDescent="0.2">
      <c r="A112" s="344" t="s">
        <v>280</v>
      </c>
      <c r="B112" s="344" t="s">
        <v>281</v>
      </c>
      <c r="C112" s="345">
        <v>4342</v>
      </c>
      <c r="D112" s="345">
        <v>0</v>
      </c>
      <c r="E112" s="345">
        <v>73</v>
      </c>
      <c r="F112" s="345">
        <v>786</v>
      </c>
      <c r="G112" s="345">
        <v>332</v>
      </c>
      <c r="H112" s="345">
        <v>5533</v>
      </c>
      <c r="I112" s="345">
        <v>5201</v>
      </c>
      <c r="J112" s="345">
        <v>9</v>
      </c>
      <c r="K112" s="345">
        <v>96.22</v>
      </c>
      <c r="L112" s="345">
        <v>93</v>
      </c>
      <c r="M112" s="345">
        <v>2.0499999999999998</v>
      </c>
      <c r="N112" s="345">
        <v>98.01</v>
      </c>
      <c r="O112" s="348">
        <v>3290</v>
      </c>
      <c r="P112" s="345">
        <v>91.15</v>
      </c>
      <c r="Q112" s="345">
        <v>83.26</v>
      </c>
      <c r="R112" s="345">
        <v>23.27</v>
      </c>
      <c r="S112" s="345">
        <v>113.99</v>
      </c>
      <c r="T112" s="348">
        <v>745</v>
      </c>
      <c r="U112" s="345">
        <v>118.63</v>
      </c>
      <c r="V112" s="348">
        <v>625</v>
      </c>
      <c r="W112" s="345">
        <v>215.09</v>
      </c>
      <c r="X112" s="348">
        <v>79</v>
      </c>
      <c r="Y112" s="345">
        <v>8</v>
      </c>
      <c r="Z112" s="345">
        <v>7</v>
      </c>
      <c r="AA112" s="345">
        <v>3</v>
      </c>
      <c r="AB112" s="345">
        <v>64</v>
      </c>
      <c r="AC112" s="345">
        <v>7</v>
      </c>
      <c r="AD112" s="345">
        <v>3901</v>
      </c>
      <c r="AE112" s="345">
        <v>16</v>
      </c>
      <c r="AF112" s="345">
        <v>29</v>
      </c>
      <c r="AG112" s="345">
        <v>45</v>
      </c>
    </row>
    <row r="113" spans="1:33" x14ac:dyDescent="0.2">
      <c r="A113" s="344" t="s">
        <v>282</v>
      </c>
      <c r="B113" s="344" t="s">
        <v>283</v>
      </c>
      <c r="C113" s="345">
        <v>2533</v>
      </c>
      <c r="D113" s="345">
        <v>0</v>
      </c>
      <c r="E113" s="345">
        <v>152</v>
      </c>
      <c r="F113" s="345">
        <v>504</v>
      </c>
      <c r="G113" s="345">
        <v>249</v>
      </c>
      <c r="H113" s="345">
        <v>3438</v>
      </c>
      <c r="I113" s="345">
        <v>3189</v>
      </c>
      <c r="J113" s="345">
        <v>0</v>
      </c>
      <c r="K113" s="345">
        <v>89.19</v>
      </c>
      <c r="L113" s="345">
        <v>86.65</v>
      </c>
      <c r="M113" s="345">
        <v>3.49</v>
      </c>
      <c r="N113" s="345">
        <v>92.44</v>
      </c>
      <c r="O113" s="348">
        <v>1856</v>
      </c>
      <c r="P113" s="345">
        <v>95.17</v>
      </c>
      <c r="Q113" s="345">
        <v>80.900000000000006</v>
      </c>
      <c r="R113" s="345">
        <v>24.01</v>
      </c>
      <c r="S113" s="345">
        <v>118.54</v>
      </c>
      <c r="T113" s="348">
        <v>603</v>
      </c>
      <c r="U113" s="345">
        <v>113.72</v>
      </c>
      <c r="V113" s="348">
        <v>658</v>
      </c>
      <c r="W113" s="345">
        <v>0</v>
      </c>
      <c r="X113" s="348">
        <v>0</v>
      </c>
      <c r="Y113" s="345">
        <v>39</v>
      </c>
      <c r="Z113" s="345">
        <v>4</v>
      </c>
      <c r="AA113" s="345">
        <v>1</v>
      </c>
      <c r="AB113" s="345">
        <v>37</v>
      </c>
      <c r="AC113" s="345">
        <v>4</v>
      </c>
      <c r="AD113" s="345">
        <v>2514</v>
      </c>
      <c r="AE113" s="345">
        <v>16</v>
      </c>
      <c r="AF113" s="345">
        <v>3</v>
      </c>
      <c r="AG113" s="345">
        <v>19</v>
      </c>
    </row>
    <row r="114" spans="1:33" x14ac:dyDescent="0.2">
      <c r="A114" s="344" t="s">
        <v>284</v>
      </c>
      <c r="B114" s="344" t="s">
        <v>285</v>
      </c>
      <c r="C114" s="345">
        <v>4031</v>
      </c>
      <c r="D114" s="345">
        <v>0</v>
      </c>
      <c r="E114" s="345">
        <v>497</v>
      </c>
      <c r="F114" s="345">
        <v>1036</v>
      </c>
      <c r="G114" s="345">
        <v>303</v>
      </c>
      <c r="H114" s="345">
        <v>5867</v>
      </c>
      <c r="I114" s="345">
        <v>5564</v>
      </c>
      <c r="J114" s="345">
        <v>20</v>
      </c>
      <c r="K114" s="345">
        <v>80.89</v>
      </c>
      <c r="L114" s="345">
        <v>78.010000000000005</v>
      </c>
      <c r="M114" s="345">
        <v>7.36</v>
      </c>
      <c r="N114" s="345">
        <v>85.3</v>
      </c>
      <c r="O114" s="348">
        <v>2858</v>
      </c>
      <c r="P114" s="345">
        <v>97.26</v>
      </c>
      <c r="Q114" s="345">
        <v>79.91</v>
      </c>
      <c r="R114" s="345">
        <v>58.1</v>
      </c>
      <c r="S114" s="345">
        <v>152.83000000000001</v>
      </c>
      <c r="T114" s="348">
        <v>1351</v>
      </c>
      <c r="U114" s="345">
        <v>99.48</v>
      </c>
      <c r="V114" s="348">
        <v>1132</v>
      </c>
      <c r="W114" s="345">
        <v>188.03</v>
      </c>
      <c r="X114" s="348">
        <v>163</v>
      </c>
      <c r="Y114" s="345">
        <v>0</v>
      </c>
      <c r="Z114" s="345">
        <v>2</v>
      </c>
      <c r="AA114" s="345">
        <v>6</v>
      </c>
      <c r="AB114" s="345">
        <v>17</v>
      </c>
      <c r="AC114" s="345">
        <v>4</v>
      </c>
      <c r="AD114" s="345">
        <v>3712</v>
      </c>
      <c r="AE114" s="345">
        <v>27</v>
      </c>
      <c r="AF114" s="345">
        <v>70</v>
      </c>
      <c r="AG114" s="345">
        <v>97</v>
      </c>
    </row>
    <row r="115" spans="1:33" x14ac:dyDescent="0.2">
      <c r="A115" s="344" t="s">
        <v>286</v>
      </c>
      <c r="B115" s="344" t="s">
        <v>287</v>
      </c>
      <c r="C115" s="345">
        <v>3640</v>
      </c>
      <c r="D115" s="345">
        <v>0</v>
      </c>
      <c r="E115" s="345">
        <v>192</v>
      </c>
      <c r="F115" s="345">
        <v>1159</v>
      </c>
      <c r="G115" s="345">
        <v>211</v>
      </c>
      <c r="H115" s="345">
        <v>5202</v>
      </c>
      <c r="I115" s="345">
        <v>4991</v>
      </c>
      <c r="J115" s="345">
        <v>0</v>
      </c>
      <c r="K115" s="345">
        <v>84.62</v>
      </c>
      <c r="L115" s="345">
        <v>83.1</v>
      </c>
      <c r="M115" s="345">
        <v>5.03</v>
      </c>
      <c r="N115" s="345">
        <v>86.51</v>
      </c>
      <c r="O115" s="348">
        <v>3355</v>
      </c>
      <c r="P115" s="345">
        <v>88.29</v>
      </c>
      <c r="Q115" s="345">
        <v>75.099999999999994</v>
      </c>
      <c r="R115" s="345">
        <v>33.25</v>
      </c>
      <c r="S115" s="345">
        <v>121.26</v>
      </c>
      <c r="T115" s="348">
        <v>1323</v>
      </c>
      <c r="U115" s="345">
        <v>112.79</v>
      </c>
      <c r="V115" s="348">
        <v>270</v>
      </c>
      <c r="W115" s="345">
        <v>174.7</v>
      </c>
      <c r="X115" s="348">
        <v>19</v>
      </c>
      <c r="Y115" s="345">
        <v>0</v>
      </c>
      <c r="Z115" s="345">
        <v>23</v>
      </c>
      <c r="AA115" s="345">
        <v>13</v>
      </c>
      <c r="AB115" s="345">
        <v>17</v>
      </c>
      <c r="AC115" s="345">
        <v>9</v>
      </c>
      <c r="AD115" s="345">
        <v>3640</v>
      </c>
      <c r="AE115" s="345">
        <v>14</v>
      </c>
      <c r="AF115" s="345">
        <v>10</v>
      </c>
      <c r="AG115" s="345">
        <v>24</v>
      </c>
    </row>
    <row r="116" spans="1:33" x14ac:dyDescent="0.2">
      <c r="A116" s="344" t="s">
        <v>288</v>
      </c>
      <c r="B116" s="344" t="s">
        <v>289</v>
      </c>
      <c r="C116" s="345">
        <v>7051</v>
      </c>
      <c r="D116" s="345">
        <v>0</v>
      </c>
      <c r="E116" s="345">
        <v>589</v>
      </c>
      <c r="F116" s="345">
        <v>793</v>
      </c>
      <c r="G116" s="345">
        <v>637</v>
      </c>
      <c r="H116" s="345">
        <v>9070</v>
      </c>
      <c r="I116" s="345">
        <v>8433</v>
      </c>
      <c r="J116" s="345">
        <v>12</v>
      </c>
      <c r="K116" s="345">
        <v>87.93</v>
      </c>
      <c r="L116" s="345">
        <v>86.76</v>
      </c>
      <c r="M116" s="345">
        <v>9.0299999999999994</v>
      </c>
      <c r="N116" s="345">
        <v>92.04</v>
      </c>
      <c r="O116" s="348">
        <v>6263</v>
      </c>
      <c r="P116" s="345">
        <v>88.77</v>
      </c>
      <c r="Q116" s="345">
        <v>83.92</v>
      </c>
      <c r="R116" s="345">
        <v>55.17</v>
      </c>
      <c r="S116" s="345">
        <v>143.22999999999999</v>
      </c>
      <c r="T116" s="348">
        <v>1007</v>
      </c>
      <c r="U116" s="345">
        <v>124.41</v>
      </c>
      <c r="V116" s="348">
        <v>684</v>
      </c>
      <c r="W116" s="345">
        <v>230.71</v>
      </c>
      <c r="X116" s="348">
        <v>90</v>
      </c>
      <c r="Y116" s="345">
        <v>1</v>
      </c>
      <c r="Z116" s="345">
        <v>16</v>
      </c>
      <c r="AA116" s="345">
        <v>0</v>
      </c>
      <c r="AB116" s="345">
        <v>75</v>
      </c>
      <c r="AC116" s="345">
        <v>10</v>
      </c>
      <c r="AD116" s="345">
        <v>6992</v>
      </c>
      <c r="AE116" s="345">
        <v>71</v>
      </c>
      <c r="AF116" s="345">
        <v>8</v>
      </c>
      <c r="AG116" s="345">
        <v>79</v>
      </c>
    </row>
    <row r="117" spans="1:33" x14ac:dyDescent="0.2">
      <c r="A117" s="344" t="s">
        <v>290</v>
      </c>
      <c r="B117" s="344" t="s">
        <v>291</v>
      </c>
      <c r="C117" s="345">
        <v>2345</v>
      </c>
      <c r="D117" s="345">
        <v>0</v>
      </c>
      <c r="E117" s="345">
        <v>86</v>
      </c>
      <c r="F117" s="345">
        <v>584</v>
      </c>
      <c r="G117" s="345">
        <v>494</v>
      </c>
      <c r="H117" s="345">
        <v>3509</v>
      </c>
      <c r="I117" s="345">
        <v>3015</v>
      </c>
      <c r="J117" s="345">
        <v>39</v>
      </c>
      <c r="K117" s="345">
        <v>101.16</v>
      </c>
      <c r="L117" s="345">
        <v>96.74</v>
      </c>
      <c r="M117" s="345">
        <v>10.28</v>
      </c>
      <c r="N117" s="345">
        <v>110.06</v>
      </c>
      <c r="O117" s="348">
        <v>1915</v>
      </c>
      <c r="P117" s="345">
        <v>97.47</v>
      </c>
      <c r="Q117" s="345">
        <v>87.78</v>
      </c>
      <c r="R117" s="345">
        <v>39.6</v>
      </c>
      <c r="S117" s="345">
        <v>133.91999999999999</v>
      </c>
      <c r="T117" s="348">
        <v>389</v>
      </c>
      <c r="U117" s="345">
        <v>132.13999999999999</v>
      </c>
      <c r="V117" s="348">
        <v>298</v>
      </c>
      <c r="W117" s="345">
        <v>140.82</v>
      </c>
      <c r="X117" s="348">
        <v>26</v>
      </c>
      <c r="Y117" s="345">
        <v>0</v>
      </c>
      <c r="Z117" s="345">
        <v>1</v>
      </c>
      <c r="AA117" s="345">
        <v>0</v>
      </c>
      <c r="AB117" s="345">
        <v>56</v>
      </c>
      <c r="AC117" s="345">
        <v>9</v>
      </c>
      <c r="AD117" s="345">
        <v>2345</v>
      </c>
      <c r="AE117" s="345">
        <v>10</v>
      </c>
      <c r="AF117" s="345">
        <v>4</v>
      </c>
      <c r="AG117" s="345">
        <v>14</v>
      </c>
    </row>
    <row r="118" spans="1:33" x14ac:dyDescent="0.2">
      <c r="A118" s="344" t="s">
        <v>292</v>
      </c>
      <c r="B118" s="344" t="s">
        <v>293</v>
      </c>
      <c r="C118" s="345">
        <v>1576</v>
      </c>
      <c r="D118" s="345">
        <v>0</v>
      </c>
      <c r="E118" s="345">
        <v>90</v>
      </c>
      <c r="F118" s="345">
        <v>178</v>
      </c>
      <c r="G118" s="345">
        <v>634</v>
      </c>
      <c r="H118" s="345">
        <v>2478</v>
      </c>
      <c r="I118" s="345">
        <v>1844</v>
      </c>
      <c r="J118" s="345">
        <v>12</v>
      </c>
      <c r="K118" s="345">
        <v>108.56</v>
      </c>
      <c r="L118" s="345">
        <v>108.63</v>
      </c>
      <c r="M118" s="345">
        <v>6.58</v>
      </c>
      <c r="N118" s="345">
        <v>113.81</v>
      </c>
      <c r="O118" s="348">
        <v>744</v>
      </c>
      <c r="P118" s="345">
        <v>101.98</v>
      </c>
      <c r="Q118" s="345">
        <v>87.52</v>
      </c>
      <c r="R118" s="345">
        <v>82.34</v>
      </c>
      <c r="S118" s="345">
        <v>171.38</v>
      </c>
      <c r="T118" s="348">
        <v>70</v>
      </c>
      <c r="U118" s="345">
        <v>153.34</v>
      </c>
      <c r="V118" s="348">
        <v>435</v>
      </c>
      <c r="W118" s="345">
        <v>231.99</v>
      </c>
      <c r="X118" s="348">
        <v>57</v>
      </c>
      <c r="Y118" s="345">
        <v>20</v>
      </c>
      <c r="Z118" s="345">
        <v>1</v>
      </c>
      <c r="AA118" s="345">
        <v>0</v>
      </c>
      <c r="AB118" s="345">
        <v>173</v>
      </c>
      <c r="AC118" s="345">
        <v>11</v>
      </c>
      <c r="AD118" s="345">
        <v>1184</v>
      </c>
      <c r="AE118" s="345">
        <v>6</v>
      </c>
      <c r="AF118" s="345">
        <v>12</v>
      </c>
      <c r="AG118" s="345">
        <v>18</v>
      </c>
    </row>
    <row r="119" spans="1:33" x14ac:dyDescent="0.2">
      <c r="A119" s="344" t="s">
        <v>294</v>
      </c>
      <c r="B119" s="344" t="s">
        <v>295</v>
      </c>
      <c r="C119" s="345">
        <v>1459</v>
      </c>
      <c r="D119" s="345">
        <v>0</v>
      </c>
      <c r="E119" s="345">
        <v>259</v>
      </c>
      <c r="F119" s="345">
        <v>149</v>
      </c>
      <c r="G119" s="345">
        <v>97</v>
      </c>
      <c r="H119" s="345">
        <v>1964</v>
      </c>
      <c r="I119" s="345">
        <v>1867</v>
      </c>
      <c r="J119" s="345">
        <v>0</v>
      </c>
      <c r="K119" s="345">
        <v>89.26</v>
      </c>
      <c r="L119" s="345">
        <v>87.02</v>
      </c>
      <c r="M119" s="345">
        <v>5.85</v>
      </c>
      <c r="N119" s="345">
        <v>93.18</v>
      </c>
      <c r="O119" s="348">
        <v>1174</v>
      </c>
      <c r="P119" s="345">
        <v>100.43</v>
      </c>
      <c r="Q119" s="345">
        <v>84.25</v>
      </c>
      <c r="R119" s="345">
        <v>69.75</v>
      </c>
      <c r="S119" s="345">
        <v>169.92</v>
      </c>
      <c r="T119" s="348">
        <v>276</v>
      </c>
      <c r="U119" s="345">
        <v>106.74</v>
      </c>
      <c r="V119" s="348">
        <v>250</v>
      </c>
      <c r="W119" s="345">
        <v>0</v>
      </c>
      <c r="X119" s="348">
        <v>0</v>
      </c>
      <c r="Y119" s="345">
        <v>9</v>
      </c>
      <c r="Z119" s="345">
        <v>0</v>
      </c>
      <c r="AA119" s="345">
        <v>31</v>
      </c>
      <c r="AB119" s="345">
        <v>0</v>
      </c>
      <c r="AC119" s="345">
        <v>3</v>
      </c>
      <c r="AD119" s="345">
        <v>1459</v>
      </c>
      <c r="AE119" s="345">
        <v>24</v>
      </c>
      <c r="AF119" s="345">
        <v>19</v>
      </c>
      <c r="AG119" s="345">
        <v>43</v>
      </c>
    </row>
    <row r="120" spans="1:33" x14ac:dyDescent="0.2">
      <c r="A120" s="344" t="s">
        <v>296</v>
      </c>
      <c r="B120" s="344" t="s">
        <v>297</v>
      </c>
      <c r="C120" s="345">
        <v>13286</v>
      </c>
      <c r="D120" s="345">
        <v>160</v>
      </c>
      <c r="E120" s="345">
        <v>419</v>
      </c>
      <c r="F120" s="345">
        <v>980</v>
      </c>
      <c r="G120" s="345">
        <v>2879</v>
      </c>
      <c r="H120" s="345">
        <v>17724</v>
      </c>
      <c r="I120" s="345">
        <v>14845</v>
      </c>
      <c r="J120" s="345">
        <v>85</v>
      </c>
      <c r="K120" s="345">
        <v>122.34</v>
      </c>
      <c r="L120" s="345">
        <v>121.44</v>
      </c>
      <c r="M120" s="345">
        <v>16.64</v>
      </c>
      <c r="N120" s="345">
        <v>135.30000000000001</v>
      </c>
      <c r="O120" s="348">
        <v>10020</v>
      </c>
      <c r="P120" s="345">
        <v>117.82</v>
      </c>
      <c r="Q120" s="345">
        <v>106.48</v>
      </c>
      <c r="R120" s="345">
        <v>56.92</v>
      </c>
      <c r="S120" s="345">
        <v>173.51</v>
      </c>
      <c r="T120" s="348">
        <v>1210</v>
      </c>
      <c r="U120" s="345">
        <v>182.39</v>
      </c>
      <c r="V120" s="348">
        <v>1534</v>
      </c>
      <c r="W120" s="345">
        <v>0</v>
      </c>
      <c r="X120" s="348">
        <v>0</v>
      </c>
      <c r="Y120" s="345">
        <v>3</v>
      </c>
      <c r="Z120" s="345">
        <v>6</v>
      </c>
      <c r="AA120" s="345">
        <v>20</v>
      </c>
      <c r="AB120" s="345">
        <v>113</v>
      </c>
      <c r="AC120" s="345">
        <v>108</v>
      </c>
      <c r="AD120" s="345">
        <v>11979</v>
      </c>
      <c r="AE120" s="345">
        <v>148</v>
      </c>
      <c r="AF120" s="345">
        <v>47</v>
      </c>
      <c r="AG120" s="345">
        <v>195</v>
      </c>
    </row>
    <row r="121" spans="1:33" x14ac:dyDescent="0.2">
      <c r="A121" s="344" t="s">
        <v>298</v>
      </c>
      <c r="B121" s="344" t="s">
        <v>299</v>
      </c>
      <c r="C121" s="345">
        <v>1894</v>
      </c>
      <c r="D121" s="345">
        <v>0</v>
      </c>
      <c r="E121" s="345">
        <v>272</v>
      </c>
      <c r="F121" s="345">
        <v>215</v>
      </c>
      <c r="G121" s="345">
        <v>505</v>
      </c>
      <c r="H121" s="345">
        <v>2886</v>
      </c>
      <c r="I121" s="345">
        <v>2381</v>
      </c>
      <c r="J121" s="345">
        <v>2</v>
      </c>
      <c r="K121" s="345">
        <v>128.30000000000001</v>
      </c>
      <c r="L121" s="345">
        <v>125.8</v>
      </c>
      <c r="M121" s="345">
        <v>8.67</v>
      </c>
      <c r="N121" s="345">
        <v>135.35</v>
      </c>
      <c r="O121" s="348">
        <v>1368</v>
      </c>
      <c r="P121" s="345">
        <v>98.25</v>
      </c>
      <c r="Q121" s="345">
        <v>87.78</v>
      </c>
      <c r="R121" s="345">
        <v>85.65</v>
      </c>
      <c r="S121" s="345">
        <v>180.79</v>
      </c>
      <c r="T121" s="348">
        <v>220</v>
      </c>
      <c r="U121" s="345">
        <v>179.23</v>
      </c>
      <c r="V121" s="348">
        <v>367</v>
      </c>
      <c r="W121" s="345">
        <v>264.19</v>
      </c>
      <c r="X121" s="348">
        <v>43</v>
      </c>
      <c r="Y121" s="345">
        <v>0</v>
      </c>
      <c r="Z121" s="345">
        <v>0</v>
      </c>
      <c r="AA121" s="345">
        <v>0</v>
      </c>
      <c r="AB121" s="345">
        <v>67</v>
      </c>
      <c r="AC121" s="345">
        <v>13</v>
      </c>
      <c r="AD121" s="345">
        <v>1729</v>
      </c>
      <c r="AE121" s="345">
        <v>12</v>
      </c>
      <c r="AF121" s="345">
        <v>1</v>
      </c>
      <c r="AG121" s="345">
        <v>13</v>
      </c>
    </row>
    <row r="122" spans="1:33" x14ac:dyDescent="0.2">
      <c r="A122" s="344" t="s">
        <v>300</v>
      </c>
      <c r="B122" s="344" t="s">
        <v>301</v>
      </c>
      <c r="C122" s="345">
        <v>19910</v>
      </c>
      <c r="D122" s="345">
        <v>596</v>
      </c>
      <c r="E122" s="345">
        <v>1550</v>
      </c>
      <c r="F122" s="345">
        <v>1786</v>
      </c>
      <c r="G122" s="345">
        <v>2519</v>
      </c>
      <c r="H122" s="345">
        <v>26361</v>
      </c>
      <c r="I122" s="345">
        <v>23842</v>
      </c>
      <c r="J122" s="345">
        <v>114</v>
      </c>
      <c r="K122" s="345">
        <v>123.4</v>
      </c>
      <c r="L122" s="345">
        <v>129.11000000000001</v>
      </c>
      <c r="M122" s="345">
        <v>14.35</v>
      </c>
      <c r="N122" s="345">
        <v>134.35</v>
      </c>
      <c r="O122" s="348">
        <v>17298</v>
      </c>
      <c r="P122" s="345">
        <v>109.32</v>
      </c>
      <c r="Q122" s="345">
        <v>108.86</v>
      </c>
      <c r="R122" s="345">
        <v>63.03</v>
      </c>
      <c r="S122" s="345">
        <v>168.3</v>
      </c>
      <c r="T122" s="348">
        <v>2768</v>
      </c>
      <c r="U122" s="345">
        <v>221.6</v>
      </c>
      <c r="V122" s="348">
        <v>1079</v>
      </c>
      <c r="W122" s="345">
        <v>264.95999999999998</v>
      </c>
      <c r="X122" s="348">
        <v>53</v>
      </c>
      <c r="Y122" s="345">
        <v>54</v>
      </c>
      <c r="Z122" s="345">
        <v>31</v>
      </c>
      <c r="AA122" s="345">
        <v>13</v>
      </c>
      <c r="AB122" s="345">
        <v>88</v>
      </c>
      <c r="AC122" s="345">
        <v>70</v>
      </c>
      <c r="AD122" s="345">
        <v>18740</v>
      </c>
      <c r="AE122" s="345">
        <v>95</v>
      </c>
      <c r="AF122" s="345">
        <v>92</v>
      </c>
      <c r="AG122" s="345">
        <v>187</v>
      </c>
    </row>
    <row r="123" spans="1:33" x14ac:dyDescent="0.2">
      <c r="A123" s="344" t="s">
        <v>302</v>
      </c>
      <c r="B123" s="344" t="s">
        <v>303</v>
      </c>
      <c r="C123" s="345">
        <v>13360</v>
      </c>
      <c r="D123" s="345">
        <v>0</v>
      </c>
      <c r="E123" s="345">
        <v>494</v>
      </c>
      <c r="F123" s="345">
        <v>467</v>
      </c>
      <c r="G123" s="345">
        <v>357</v>
      </c>
      <c r="H123" s="345">
        <v>14678</v>
      </c>
      <c r="I123" s="345">
        <v>14321</v>
      </c>
      <c r="J123" s="345">
        <v>15</v>
      </c>
      <c r="K123" s="345">
        <v>85.34</v>
      </c>
      <c r="L123" s="345">
        <v>84.84</v>
      </c>
      <c r="M123" s="345">
        <v>4.63</v>
      </c>
      <c r="N123" s="345">
        <v>89.79</v>
      </c>
      <c r="O123" s="348">
        <v>11238</v>
      </c>
      <c r="P123" s="345">
        <v>91.19</v>
      </c>
      <c r="Q123" s="345">
        <v>75.8</v>
      </c>
      <c r="R123" s="345">
        <v>39.06</v>
      </c>
      <c r="S123" s="345">
        <v>129.19999999999999</v>
      </c>
      <c r="T123" s="348">
        <v>788</v>
      </c>
      <c r="U123" s="345">
        <v>102.79</v>
      </c>
      <c r="V123" s="348">
        <v>2098</v>
      </c>
      <c r="W123" s="345">
        <v>158.41</v>
      </c>
      <c r="X123" s="348">
        <v>78</v>
      </c>
      <c r="Y123" s="345">
        <v>101</v>
      </c>
      <c r="Z123" s="345">
        <v>47</v>
      </c>
      <c r="AA123" s="345">
        <v>2</v>
      </c>
      <c r="AB123" s="345">
        <v>10</v>
      </c>
      <c r="AC123" s="345">
        <v>11</v>
      </c>
      <c r="AD123" s="345">
        <v>13360</v>
      </c>
      <c r="AE123" s="345">
        <v>78</v>
      </c>
      <c r="AF123" s="345">
        <v>23</v>
      </c>
      <c r="AG123" s="345">
        <v>101</v>
      </c>
    </row>
    <row r="124" spans="1:33" x14ac:dyDescent="0.2">
      <c r="A124" s="344" t="s">
        <v>304</v>
      </c>
      <c r="B124" s="344" t="s">
        <v>305</v>
      </c>
      <c r="C124" s="345">
        <v>5296</v>
      </c>
      <c r="D124" s="345">
        <v>5</v>
      </c>
      <c r="E124" s="345">
        <v>355</v>
      </c>
      <c r="F124" s="345">
        <v>181</v>
      </c>
      <c r="G124" s="345">
        <v>373</v>
      </c>
      <c r="H124" s="345">
        <v>6210</v>
      </c>
      <c r="I124" s="345">
        <v>5837</v>
      </c>
      <c r="J124" s="345">
        <v>37</v>
      </c>
      <c r="K124" s="345">
        <v>93.79</v>
      </c>
      <c r="L124" s="345">
        <v>90.75</v>
      </c>
      <c r="M124" s="345">
        <v>1.99</v>
      </c>
      <c r="N124" s="345">
        <v>95.55</v>
      </c>
      <c r="O124" s="348">
        <v>4807</v>
      </c>
      <c r="P124" s="345">
        <v>114.11</v>
      </c>
      <c r="Q124" s="345">
        <v>87.27</v>
      </c>
      <c r="R124" s="345">
        <v>72.59</v>
      </c>
      <c r="S124" s="345">
        <v>186.7</v>
      </c>
      <c r="T124" s="348">
        <v>421</v>
      </c>
      <c r="U124" s="345">
        <v>117.32</v>
      </c>
      <c r="V124" s="348">
        <v>403</v>
      </c>
      <c r="W124" s="345">
        <v>191.96</v>
      </c>
      <c r="X124" s="348">
        <v>87</v>
      </c>
      <c r="Y124" s="345">
        <v>0</v>
      </c>
      <c r="Z124" s="345">
        <v>0</v>
      </c>
      <c r="AA124" s="345">
        <v>0</v>
      </c>
      <c r="AB124" s="345">
        <v>67</v>
      </c>
      <c r="AC124" s="345">
        <v>4</v>
      </c>
      <c r="AD124" s="345">
        <v>5282</v>
      </c>
      <c r="AE124" s="345">
        <v>29</v>
      </c>
      <c r="AF124" s="345">
        <v>101</v>
      </c>
      <c r="AG124" s="345">
        <v>130</v>
      </c>
    </row>
    <row r="125" spans="1:33" x14ac:dyDescent="0.2">
      <c r="A125" s="344" t="s">
        <v>306</v>
      </c>
      <c r="B125" s="344" t="s">
        <v>307</v>
      </c>
      <c r="C125" s="345">
        <v>11940</v>
      </c>
      <c r="D125" s="345">
        <v>78</v>
      </c>
      <c r="E125" s="345">
        <v>1158</v>
      </c>
      <c r="F125" s="345">
        <v>559</v>
      </c>
      <c r="G125" s="345">
        <v>1022</v>
      </c>
      <c r="H125" s="345">
        <v>14757</v>
      </c>
      <c r="I125" s="345">
        <v>13735</v>
      </c>
      <c r="J125" s="345">
        <v>265</v>
      </c>
      <c r="K125" s="345">
        <v>132.27000000000001</v>
      </c>
      <c r="L125" s="345">
        <v>145.35</v>
      </c>
      <c r="M125" s="345">
        <v>13.32</v>
      </c>
      <c r="N125" s="345">
        <v>139.27000000000001</v>
      </c>
      <c r="O125" s="348">
        <v>9443</v>
      </c>
      <c r="P125" s="345">
        <v>125.53</v>
      </c>
      <c r="Q125" s="345">
        <v>120.38</v>
      </c>
      <c r="R125" s="345">
        <v>62.26</v>
      </c>
      <c r="S125" s="345">
        <v>173.96</v>
      </c>
      <c r="T125" s="348">
        <v>1148</v>
      </c>
      <c r="U125" s="345">
        <v>213.14</v>
      </c>
      <c r="V125" s="348">
        <v>1290</v>
      </c>
      <c r="W125" s="345">
        <v>219.4</v>
      </c>
      <c r="X125" s="348">
        <v>84</v>
      </c>
      <c r="Y125" s="345">
        <v>14</v>
      </c>
      <c r="Z125" s="345">
        <v>0</v>
      </c>
      <c r="AA125" s="345">
        <v>16</v>
      </c>
      <c r="AB125" s="345">
        <v>49</v>
      </c>
      <c r="AC125" s="345">
        <v>40</v>
      </c>
      <c r="AD125" s="345">
        <v>11544</v>
      </c>
      <c r="AE125" s="345">
        <v>156</v>
      </c>
      <c r="AF125" s="345">
        <v>95</v>
      </c>
      <c r="AG125" s="345">
        <v>251</v>
      </c>
    </row>
    <row r="126" spans="1:33" x14ac:dyDescent="0.2">
      <c r="A126" s="344" t="s">
        <v>308</v>
      </c>
      <c r="B126" s="344" t="s">
        <v>309</v>
      </c>
      <c r="C126" s="345">
        <v>3292</v>
      </c>
      <c r="D126" s="345">
        <v>0</v>
      </c>
      <c r="E126" s="345">
        <v>109</v>
      </c>
      <c r="F126" s="345">
        <v>292</v>
      </c>
      <c r="G126" s="345">
        <v>885</v>
      </c>
      <c r="H126" s="345">
        <v>4578</v>
      </c>
      <c r="I126" s="345">
        <v>3693</v>
      </c>
      <c r="J126" s="345">
        <v>0</v>
      </c>
      <c r="K126" s="345">
        <v>92.41</v>
      </c>
      <c r="L126" s="345">
        <v>92.18</v>
      </c>
      <c r="M126" s="345">
        <v>4.4400000000000004</v>
      </c>
      <c r="N126" s="345">
        <v>95.22</v>
      </c>
      <c r="O126" s="348">
        <v>2404</v>
      </c>
      <c r="P126" s="345">
        <v>83.68</v>
      </c>
      <c r="Q126" s="345">
        <v>78.709999999999994</v>
      </c>
      <c r="R126" s="345">
        <v>45.84</v>
      </c>
      <c r="S126" s="345">
        <v>127.03</v>
      </c>
      <c r="T126" s="348">
        <v>368</v>
      </c>
      <c r="U126" s="345">
        <v>119.88</v>
      </c>
      <c r="V126" s="348">
        <v>784</v>
      </c>
      <c r="W126" s="345">
        <v>124.85</v>
      </c>
      <c r="X126" s="348">
        <v>17</v>
      </c>
      <c r="Y126" s="345">
        <v>29</v>
      </c>
      <c r="Z126" s="345">
        <v>10</v>
      </c>
      <c r="AA126" s="345">
        <v>17</v>
      </c>
      <c r="AB126" s="345">
        <v>139</v>
      </c>
      <c r="AC126" s="345">
        <v>12</v>
      </c>
      <c r="AD126" s="345">
        <v>3292</v>
      </c>
      <c r="AE126" s="345">
        <v>27</v>
      </c>
      <c r="AF126" s="345">
        <v>18</v>
      </c>
      <c r="AG126" s="345">
        <v>45</v>
      </c>
    </row>
    <row r="127" spans="1:33" x14ac:dyDescent="0.2">
      <c r="A127" s="344" t="s">
        <v>310</v>
      </c>
      <c r="B127" s="344" t="s">
        <v>311</v>
      </c>
      <c r="C127" s="345">
        <v>10050</v>
      </c>
      <c r="D127" s="345">
        <v>117</v>
      </c>
      <c r="E127" s="345">
        <v>1011</v>
      </c>
      <c r="F127" s="345">
        <v>854</v>
      </c>
      <c r="G127" s="345">
        <v>1667</v>
      </c>
      <c r="H127" s="345">
        <v>13699</v>
      </c>
      <c r="I127" s="345">
        <v>12032</v>
      </c>
      <c r="J127" s="345">
        <v>30</v>
      </c>
      <c r="K127" s="345">
        <v>121.13</v>
      </c>
      <c r="L127" s="345">
        <v>121.44</v>
      </c>
      <c r="M127" s="345">
        <v>12.04</v>
      </c>
      <c r="N127" s="345">
        <v>129.13</v>
      </c>
      <c r="O127" s="348">
        <v>8027</v>
      </c>
      <c r="P127" s="345">
        <v>116.21</v>
      </c>
      <c r="Q127" s="345">
        <v>106.46</v>
      </c>
      <c r="R127" s="345">
        <v>68.459999999999994</v>
      </c>
      <c r="S127" s="345">
        <v>181.8</v>
      </c>
      <c r="T127" s="348">
        <v>1144</v>
      </c>
      <c r="U127" s="345">
        <v>193.93</v>
      </c>
      <c r="V127" s="348">
        <v>720</v>
      </c>
      <c r="W127" s="345">
        <v>266.77</v>
      </c>
      <c r="X127" s="348">
        <v>135</v>
      </c>
      <c r="Y127" s="345">
        <v>0</v>
      </c>
      <c r="Z127" s="345">
        <v>6</v>
      </c>
      <c r="AA127" s="345">
        <v>15</v>
      </c>
      <c r="AB127" s="345">
        <v>19</v>
      </c>
      <c r="AC127" s="345">
        <v>55</v>
      </c>
      <c r="AD127" s="345">
        <v>9051</v>
      </c>
      <c r="AE127" s="345">
        <v>128</v>
      </c>
      <c r="AF127" s="345">
        <v>54</v>
      </c>
      <c r="AG127" s="345">
        <v>182</v>
      </c>
    </row>
    <row r="128" spans="1:33" x14ac:dyDescent="0.2">
      <c r="A128" s="344" t="s">
        <v>312</v>
      </c>
      <c r="B128" s="344" t="s">
        <v>313</v>
      </c>
      <c r="C128" s="345">
        <v>1720</v>
      </c>
      <c r="D128" s="345">
        <v>280</v>
      </c>
      <c r="E128" s="345">
        <v>115</v>
      </c>
      <c r="F128" s="345">
        <v>261</v>
      </c>
      <c r="G128" s="345">
        <v>524</v>
      </c>
      <c r="H128" s="345">
        <v>2900</v>
      </c>
      <c r="I128" s="345">
        <v>2376</v>
      </c>
      <c r="J128" s="345">
        <v>3</v>
      </c>
      <c r="K128" s="345">
        <v>104.07</v>
      </c>
      <c r="L128" s="345">
        <v>101.56</v>
      </c>
      <c r="M128" s="345">
        <v>8.51</v>
      </c>
      <c r="N128" s="345">
        <v>111.26</v>
      </c>
      <c r="O128" s="348">
        <v>1242</v>
      </c>
      <c r="P128" s="345">
        <v>94.58</v>
      </c>
      <c r="Q128" s="345">
        <v>87.39</v>
      </c>
      <c r="R128" s="345">
        <v>50.68</v>
      </c>
      <c r="S128" s="345">
        <v>142.01</v>
      </c>
      <c r="T128" s="348">
        <v>359</v>
      </c>
      <c r="U128" s="345">
        <v>170.06</v>
      </c>
      <c r="V128" s="348">
        <v>465</v>
      </c>
      <c r="W128" s="345">
        <v>0</v>
      </c>
      <c r="X128" s="348">
        <v>0</v>
      </c>
      <c r="Y128" s="345">
        <v>129</v>
      </c>
      <c r="Z128" s="345">
        <v>0</v>
      </c>
      <c r="AA128" s="345">
        <v>28</v>
      </c>
      <c r="AB128" s="345">
        <v>69</v>
      </c>
      <c r="AC128" s="345">
        <v>14</v>
      </c>
      <c r="AD128" s="345">
        <v>1709</v>
      </c>
      <c r="AE128" s="345">
        <v>47</v>
      </c>
      <c r="AF128" s="345">
        <v>121</v>
      </c>
      <c r="AG128" s="345">
        <v>168</v>
      </c>
    </row>
    <row r="129" spans="1:33" x14ac:dyDescent="0.2">
      <c r="A129" s="344" t="s">
        <v>314</v>
      </c>
      <c r="B129" s="344" t="s">
        <v>315</v>
      </c>
      <c r="C129" s="345">
        <v>2978</v>
      </c>
      <c r="D129" s="345">
        <v>0</v>
      </c>
      <c r="E129" s="345">
        <v>236</v>
      </c>
      <c r="F129" s="345">
        <v>392</v>
      </c>
      <c r="G129" s="345">
        <v>662</v>
      </c>
      <c r="H129" s="345">
        <v>4268</v>
      </c>
      <c r="I129" s="345">
        <v>3606</v>
      </c>
      <c r="J129" s="345">
        <v>6</v>
      </c>
      <c r="K129" s="345">
        <v>97.46</v>
      </c>
      <c r="L129" s="345">
        <v>94.11</v>
      </c>
      <c r="M129" s="345">
        <v>6.77</v>
      </c>
      <c r="N129" s="345">
        <v>101.8</v>
      </c>
      <c r="O129" s="348">
        <v>1690</v>
      </c>
      <c r="P129" s="345">
        <v>109.91</v>
      </c>
      <c r="Q129" s="345">
        <v>84.98</v>
      </c>
      <c r="R129" s="345">
        <v>56.88</v>
      </c>
      <c r="S129" s="345">
        <v>166.67</v>
      </c>
      <c r="T129" s="348">
        <v>490</v>
      </c>
      <c r="U129" s="345">
        <v>129.66</v>
      </c>
      <c r="V129" s="348">
        <v>1126</v>
      </c>
      <c r="W129" s="345">
        <v>199.77</v>
      </c>
      <c r="X129" s="348">
        <v>11</v>
      </c>
      <c r="Y129" s="345">
        <v>0</v>
      </c>
      <c r="Z129" s="345">
        <v>1</v>
      </c>
      <c r="AA129" s="345">
        <v>1</v>
      </c>
      <c r="AB129" s="345">
        <v>100</v>
      </c>
      <c r="AC129" s="345">
        <v>2</v>
      </c>
      <c r="AD129" s="345">
        <v>2722</v>
      </c>
      <c r="AE129" s="345">
        <v>22</v>
      </c>
      <c r="AF129" s="345">
        <v>13</v>
      </c>
      <c r="AG129" s="345">
        <v>35</v>
      </c>
    </row>
    <row r="130" spans="1:33" x14ac:dyDescent="0.2">
      <c r="A130" s="344" t="s">
        <v>316</v>
      </c>
      <c r="B130" s="344" t="s">
        <v>317</v>
      </c>
      <c r="C130" s="345">
        <v>3597</v>
      </c>
      <c r="D130" s="345">
        <v>0</v>
      </c>
      <c r="E130" s="345">
        <v>256</v>
      </c>
      <c r="F130" s="345">
        <v>609</v>
      </c>
      <c r="G130" s="345">
        <v>1007</v>
      </c>
      <c r="H130" s="345">
        <v>5469</v>
      </c>
      <c r="I130" s="345">
        <v>4462</v>
      </c>
      <c r="J130" s="345">
        <v>32</v>
      </c>
      <c r="K130" s="345">
        <v>135.08000000000001</v>
      </c>
      <c r="L130" s="345">
        <v>129.62</v>
      </c>
      <c r="M130" s="345">
        <v>11.46</v>
      </c>
      <c r="N130" s="345">
        <v>142.91</v>
      </c>
      <c r="O130" s="348">
        <v>2729</v>
      </c>
      <c r="P130" s="345">
        <v>110.76</v>
      </c>
      <c r="Q130" s="345">
        <v>94.57</v>
      </c>
      <c r="R130" s="345">
        <v>37.99</v>
      </c>
      <c r="S130" s="345">
        <v>146.18</v>
      </c>
      <c r="T130" s="348">
        <v>473</v>
      </c>
      <c r="U130" s="345">
        <v>192.86</v>
      </c>
      <c r="V130" s="348">
        <v>609</v>
      </c>
      <c r="W130" s="345">
        <v>200.51</v>
      </c>
      <c r="X130" s="348">
        <v>28</v>
      </c>
      <c r="Y130" s="345">
        <v>37</v>
      </c>
      <c r="Z130" s="345">
        <v>5</v>
      </c>
      <c r="AA130" s="345">
        <v>0</v>
      </c>
      <c r="AB130" s="345">
        <v>67</v>
      </c>
      <c r="AC130" s="345">
        <v>28</v>
      </c>
      <c r="AD130" s="345">
        <v>3526</v>
      </c>
      <c r="AE130" s="345">
        <v>43</v>
      </c>
      <c r="AF130" s="345">
        <v>7</v>
      </c>
      <c r="AG130" s="345">
        <v>50</v>
      </c>
    </row>
    <row r="131" spans="1:33" x14ac:dyDescent="0.2">
      <c r="A131" s="344" t="s">
        <v>318</v>
      </c>
      <c r="B131" s="344" t="s">
        <v>319</v>
      </c>
      <c r="C131" s="345">
        <v>3190</v>
      </c>
      <c r="D131" s="345">
        <v>0</v>
      </c>
      <c r="E131" s="345">
        <v>45</v>
      </c>
      <c r="F131" s="345">
        <v>322</v>
      </c>
      <c r="G131" s="345">
        <v>764</v>
      </c>
      <c r="H131" s="345">
        <v>4321</v>
      </c>
      <c r="I131" s="345">
        <v>3557</v>
      </c>
      <c r="J131" s="345">
        <v>0</v>
      </c>
      <c r="K131" s="345">
        <v>119.61</v>
      </c>
      <c r="L131" s="345">
        <v>116.18</v>
      </c>
      <c r="M131" s="345">
        <v>6.7</v>
      </c>
      <c r="N131" s="345">
        <v>122.32</v>
      </c>
      <c r="O131" s="348">
        <v>2389</v>
      </c>
      <c r="P131" s="345">
        <v>105.44</v>
      </c>
      <c r="Q131" s="345">
        <v>99.74</v>
      </c>
      <c r="R131" s="345">
        <v>38.909999999999997</v>
      </c>
      <c r="S131" s="345">
        <v>144.1</v>
      </c>
      <c r="T131" s="348">
        <v>313</v>
      </c>
      <c r="U131" s="345">
        <v>180.48</v>
      </c>
      <c r="V131" s="348">
        <v>767</v>
      </c>
      <c r="W131" s="345">
        <v>145.63999999999999</v>
      </c>
      <c r="X131" s="348">
        <v>1</v>
      </c>
      <c r="Y131" s="345">
        <v>0</v>
      </c>
      <c r="Z131" s="345">
        <v>1</v>
      </c>
      <c r="AA131" s="345">
        <v>0</v>
      </c>
      <c r="AB131" s="345">
        <v>16</v>
      </c>
      <c r="AC131" s="345">
        <v>18</v>
      </c>
      <c r="AD131" s="345">
        <v>3190</v>
      </c>
      <c r="AE131" s="345">
        <v>29</v>
      </c>
      <c r="AF131" s="345">
        <v>11</v>
      </c>
      <c r="AG131" s="345">
        <v>40</v>
      </c>
    </row>
    <row r="132" spans="1:33" x14ac:dyDescent="0.2">
      <c r="A132" s="344" t="s">
        <v>320</v>
      </c>
      <c r="B132" s="344" t="s">
        <v>321</v>
      </c>
      <c r="C132" s="345">
        <v>7645</v>
      </c>
      <c r="D132" s="345">
        <v>0</v>
      </c>
      <c r="E132" s="345">
        <v>209</v>
      </c>
      <c r="F132" s="345">
        <v>1984</v>
      </c>
      <c r="G132" s="345">
        <v>259</v>
      </c>
      <c r="H132" s="345">
        <v>10097</v>
      </c>
      <c r="I132" s="345">
        <v>9838</v>
      </c>
      <c r="J132" s="345">
        <v>1</v>
      </c>
      <c r="K132" s="345">
        <v>84.03</v>
      </c>
      <c r="L132" s="345">
        <v>85.58</v>
      </c>
      <c r="M132" s="345">
        <v>5.69</v>
      </c>
      <c r="N132" s="345">
        <v>86.34</v>
      </c>
      <c r="O132" s="348">
        <v>6459</v>
      </c>
      <c r="P132" s="345">
        <v>84.17</v>
      </c>
      <c r="Q132" s="345">
        <v>85.01</v>
      </c>
      <c r="R132" s="345">
        <v>45.09</v>
      </c>
      <c r="S132" s="345">
        <v>110.92</v>
      </c>
      <c r="T132" s="348">
        <v>2088</v>
      </c>
      <c r="U132" s="345">
        <v>97.44</v>
      </c>
      <c r="V132" s="348">
        <v>1093</v>
      </c>
      <c r="W132" s="345">
        <v>107.89</v>
      </c>
      <c r="X132" s="348">
        <v>67</v>
      </c>
      <c r="Y132" s="345">
        <v>0</v>
      </c>
      <c r="Z132" s="345">
        <v>33</v>
      </c>
      <c r="AA132" s="345">
        <v>1</v>
      </c>
      <c r="AB132" s="345">
        <v>17</v>
      </c>
      <c r="AC132" s="345">
        <v>7</v>
      </c>
      <c r="AD132" s="345">
        <v>7614</v>
      </c>
      <c r="AE132" s="345">
        <v>41</v>
      </c>
      <c r="AF132" s="345">
        <v>46</v>
      </c>
      <c r="AG132" s="345">
        <v>87</v>
      </c>
    </row>
    <row r="133" spans="1:33" x14ac:dyDescent="0.2">
      <c r="A133" s="344" t="s">
        <v>322</v>
      </c>
      <c r="B133" s="344" t="s">
        <v>323</v>
      </c>
      <c r="C133" s="345">
        <v>5126</v>
      </c>
      <c r="D133" s="345">
        <v>0</v>
      </c>
      <c r="E133" s="345">
        <v>252</v>
      </c>
      <c r="F133" s="345">
        <v>713</v>
      </c>
      <c r="G133" s="345">
        <v>206</v>
      </c>
      <c r="H133" s="345">
        <v>6297</v>
      </c>
      <c r="I133" s="345">
        <v>6091</v>
      </c>
      <c r="J133" s="345">
        <v>17</v>
      </c>
      <c r="K133" s="345">
        <v>88.19</v>
      </c>
      <c r="L133" s="345">
        <v>86.07</v>
      </c>
      <c r="M133" s="345">
        <v>6.88</v>
      </c>
      <c r="N133" s="345">
        <v>94.12</v>
      </c>
      <c r="O133" s="348">
        <v>4167</v>
      </c>
      <c r="P133" s="345">
        <v>74.3</v>
      </c>
      <c r="Q133" s="345">
        <v>69.56</v>
      </c>
      <c r="R133" s="345">
        <v>46.61</v>
      </c>
      <c r="S133" s="345">
        <v>120.91</v>
      </c>
      <c r="T133" s="348">
        <v>809</v>
      </c>
      <c r="U133" s="345">
        <v>117.3</v>
      </c>
      <c r="V133" s="348">
        <v>764</v>
      </c>
      <c r="W133" s="345">
        <v>109.65</v>
      </c>
      <c r="X133" s="348">
        <v>22</v>
      </c>
      <c r="Y133" s="345">
        <v>0</v>
      </c>
      <c r="Z133" s="345">
        <v>3</v>
      </c>
      <c r="AA133" s="345">
        <v>9</v>
      </c>
      <c r="AB133" s="345">
        <v>19</v>
      </c>
      <c r="AC133" s="345">
        <v>0</v>
      </c>
      <c r="AD133" s="345">
        <v>5057</v>
      </c>
      <c r="AE133" s="345">
        <v>13</v>
      </c>
      <c r="AF133" s="345">
        <v>57</v>
      </c>
      <c r="AG133" s="345">
        <v>70</v>
      </c>
    </row>
    <row r="134" spans="1:33" x14ac:dyDescent="0.2">
      <c r="A134" s="344" t="s">
        <v>324</v>
      </c>
      <c r="B134" s="344" t="s">
        <v>325</v>
      </c>
      <c r="C134" s="345">
        <v>4470</v>
      </c>
      <c r="D134" s="345">
        <v>0</v>
      </c>
      <c r="E134" s="345">
        <v>216</v>
      </c>
      <c r="F134" s="345">
        <v>1074</v>
      </c>
      <c r="G134" s="345">
        <v>472</v>
      </c>
      <c r="H134" s="345">
        <v>6232</v>
      </c>
      <c r="I134" s="345">
        <v>5760</v>
      </c>
      <c r="J134" s="345">
        <v>5</v>
      </c>
      <c r="K134" s="345">
        <v>108.66</v>
      </c>
      <c r="L134" s="345">
        <v>103.47</v>
      </c>
      <c r="M134" s="345">
        <v>9.74</v>
      </c>
      <c r="N134" s="345">
        <v>113.17</v>
      </c>
      <c r="O134" s="348">
        <v>3509</v>
      </c>
      <c r="P134" s="345">
        <v>100.36</v>
      </c>
      <c r="Q134" s="345">
        <v>89.86</v>
      </c>
      <c r="R134" s="345">
        <v>23.37</v>
      </c>
      <c r="S134" s="345">
        <v>121.72</v>
      </c>
      <c r="T134" s="348">
        <v>1141</v>
      </c>
      <c r="U134" s="345">
        <v>151.66999999999999</v>
      </c>
      <c r="V134" s="348">
        <v>826</v>
      </c>
      <c r="W134" s="345">
        <v>164.94</v>
      </c>
      <c r="X134" s="348">
        <v>14</v>
      </c>
      <c r="Y134" s="345">
        <v>32</v>
      </c>
      <c r="Z134" s="345">
        <v>3</v>
      </c>
      <c r="AA134" s="345">
        <v>0</v>
      </c>
      <c r="AB134" s="345">
        <v>44</v>
      </c>
      <c r="AC134" s="345">
        <v>12</v>
      </c>
      <c r="AD134" s="345">
        <v>4419</v>
      </c>
      <c r="AE134" s="345">
        <v>28</v>
      </c>
      <c r="AF134" s="345">
        <v>8</v>
      </c>
      <c r="AG134" s="345">
        <v>36</v>
      </c>
    </row>
    <row r="135" spans="1:33" x14ac:dyDescent="0.2">
      <c r="A135" s="344" t="s">
        <v>326</v>
      </c>
      <c r="B135" s="344" t="s">
        <v>327</v>
      </c>
      <c r="C135" s="345">
        <v>3679</v>
      </c>
      <c r="D135" s="345">
        <v>354</v>
      </c>
      <c r="E135" s="345">
        <v>216</v>
      </c>
      <c r="F135" s="345">
        <v>497</v>
      </c>
      <c r="G135" s="345">
        <v>960</v>
      </c>
      <c r="H135" s="345">
        <v>5706</v>
      </c>
      <c r="I135" s="345">
        <v>4746</v>
      </c>
      <c r="J135" s="345">
        <v>15</v>
      </c>
      <c r="K135" s="345">
        <v>119.55</v>
      </c>
      <c r="L135" s="345">
        <v>119.94</v>
      </c>
      <c r="M135" s="345">
        <v>12.79</v>
      </c>
      <c r="N135" s="345">
        <v>129.51</v>
      </c>
      <c r="O135" s="348">
        <v>2385</v>
      </c>
      <c r="P135" s="345">
        <v>110.89</v>
      </c>
      <c r="Q135" s="345">
        <v>100.33</v>
      </c>
      <c r="R135" s="345">
        <v>46.72</v>
      </c>
      <c r="S135" s="345">
        <v>157.18</v>
      </c>
      <c r="T135" s="348">
        <v>659</v>
      </c>
      <c r="U135" s="345">
        <v>186.79</v>
      </c>
      <c r="V135" s="348">
        <v>1080</v>
      </c>
      <c r="W135" s="345">
        <v>210.95</v>
      </c>
      <c r="X135" s="348">
        <v>3</v>
      </c>
      <c r="Y135" s="345">
        <v>0</v>
      </c>
      <c r="Z135" s="345">
        <v>2</v>
      </c>
      <c r="AA135" s="345">
        <v>3</v>
      </c>
      <c r="AB135" s="345">
        <v>54</v>
      </c>
      <c r="AC135" s="345">
        <v>31</v>
      </c>
      <c r="AD135" s="345">
        <v>3633</v>
      </c>
      <c r="AE135" s="345">
        <v>38</v>
      </c>
      <c r="AF135" s="345">
        <v>13</v>
      </c>
      <c r="AG135" s="345">
        <v>51</v>
      </c>
    </row>
    <row r="136" spans="1:33" x14ac:dyDescent="0.2">
      <c r="A136" s="344" t="s">
        <v>328</v>
      </c>
      <c r="B136" s="344" t="s">
        <v>329</v>
      </c>
      <c r="C136" s="345">
        <v>9454</v>
      </c>
      <c r="D136" s="345">
        <v>0</v>
      </c>
      <c r="E136" s="345">
        <v>316</v>
      </c>
      <c r="F136" s="345">
        <v>1631</v>
      </c>
      <c r="G136" s="345">
        <v>978</v>
      </c>
      <c r="H136" s="345">
        <v>12379</v>
      </c>
      <c r="I136" s="345">
        <v>11401</v>
      </c>
      <c r="J136" s="345">
        <v>1</v>
      </c>
      <c r="K136" s="345">
        <v>92.02</v>
      </c>
      <c r="L136" s="345">
        <v>90.93</v>
      </c>
      <c r="M136" s="345">
        <v>4.1100000000000003</v>
      </c>
      <c r="N136" s="345">
        <v>94.24</v>
      </c>
      <c r="O136" s="348">
        <v>8390</v>
      </c>
      <c r="P136" s="345">
        <v>86.17</v>
      </c>
      <c r="Q136" s="345">
        <v>83.37</v>
      </c>
      <c r="R136" s="345">
        <v>39.68</v>
      </c>
      <c r="S136" s="345">
        <v>117.25</v>
      </c>
      <c r="T136" s="348">
        <v>1909</v>
      </c>
      <c r="U136" s="345">
        <v>112.58</v>
      </c>
      <c r="V136" s="348">
        <v>980</v>
      </c>
      <c r="W136" s="345">
        <v>142.81</v>
      </c>
      <c r="X136" s="348">
        <v>10</v>
      </c>
      <c r="Y136" s="345">
        <v>11</v>
      </c>
      <c r="Z136" s="345">
        <v>27</v>
      </c>
      <c r="AA136" s="345">
        <v>5</v>
      </c>
      <c r="AB136" s="345">
        <v>122</v>
      </c>
      <c r="AC136" s="345">
        <v>14</v>
      </c>
      <c r="AD136" s="345">
        <v>9403</v>
      </c>
      <c r="AE136" s="345">
        <v>49</v>
      </c>
      <c r="AF136" s="345">
        <v>59</v>
      </c>
      <c r="AG136" s="345">
        <v>108</v>
      </c>
    </row>
    <row r="137" spans="1:33" x14ac:dyDescent="0.2">
      <c r="A137" s="344" t="s">
        <v>330</v>
      </c>
      <c r="B137" s="344" t="s">
        <v>331</v>
      </c>
      <c r="C137" s="345">
        <v>6485</v>
      </c>
      <c r="D137" s="345">
        <v>4</v>
      </c>
      <c r="E137" s="345">
        <v>190</v>
      </c>
      <c r="F137" s="345">
        <v>802</v>
      </c>
      <c r="G137" s="345">
        <v>544</v>
      </c>
      <c r="H137" s="345">
        <v>8025</v>
      </c>
      <c r="I137" s="345">
        <v>7481</v>
      </c>
      <c r="J137" s="345">
        <v>1</v>
      </c>
      <c r="K137" s="345">
        <v>123.59</v>
      </c>
      <c r="L137" s="345">
        <v>123.48</v>
      </c>
      <c r="M137" s="345">
        <v>7.56</v>
      </c>
      <c r="N137" s="345">
        <v>127.36</v>
      </c>
      <c r="O137" s="348">
        <v>5417</v>
      </c>
      <c r="P137" s="345">
        <v>113.05</v>
      </c>
      <c r="Q137" s="345">
        <v>104.88</v>
      </c>
      <c r="R137" s="345">
        <v>30.57</v>
      </c>
      <c r="S137" s="345">
        <v>142.74</v>
      </c>
      <c r="T137" s="348">
        <v>933</v>
      </c>
      <c r="U137" s="345">
        <v>190.67</v>
      </c>
      <c r="V137" s="348">
        <v>861</v>
      </c>
      <c r="W137" s="345">
        <v>217.12</v>
      </c>
      <c r="X137" s="348">
        <v>4</v>
      </c>
      <c r="Y137" s="345">
        <v>24</v>
      </c>
      <c r="Z137" s="345">
        <v>3</v>
      </c>
      <c r="AA137" s="345">
        <v>6</v>
      </c>
      <c r="AB137" s="345">
        <v>52</v>
      </c>
      <c r="AC137" s="345">
        <v>23</v>
      </c>
      <c r="AD137" s="345">
        <v>6310</v>
      </c>
      <c r="AE137" s="345">
        <v>63</v>
      </c>
      <c r="AF137" s="345">
        <v>62</v>
      </c>
      <c r="AG137" s="345">
        <v>125</v>
      </c>
    </row>
    <row r="138" spans="1:33" x14ac:dyDescent="0.2">
      <c r="A138" s="344" t="s">
        <v>332</v>
      </c>
      <c r="B138" s="344" t="s">
        <v>333</v>
      </c>
      <c r="C138" s="345">
        <v>1100</v>
      </c>
      <c r="D138" s="345">
        <v>1</v>
      </c>
      <c r="E138" s="345">
        <v>66</v>
      </c>
      <c r="F138" s="345">
        <v>318</v>
      </c>
      <c r="G138" s="345">
        <v>257</v>
      </c>
      <c r="H138" s="345">
        <v>1742</v>
      </c>
      <c r="I138" s="345">
        <v>1485</v>
      </c>
      <c r="J138" s="345">
        <v>0</v>
      </c>
      <c r="K138" s="345">
        <v>97.98</v>
      </c>
      <c r="L138" s="345">
        <v>94.89</v>
      </c>
      <c r="M138" s="345">
        <v>7.82</v>
      </c>
      <c r="N138" s="345">
        <v>102.22</v>
      </c>
      <c r="O138" s="348">
        <v>789</v>
      </c>
      <c r="P138" s="345">
        <v>93.23</v>
      </c>
      <c r="Q138" s="345">
        <v>80.650000000000006</v>
      </c>
      <c r="R138" s="345">
        <v>47.62</v>
      </c>
      <c r="S138" s="345">
        <v>139.94</v>
      </c>
      <c r="T138" s="348">
        <v>368</v>
      </c>
      <c r="U138" s="345">
        <v>117.37</v>
      </c>
      <c r="V138" s="348">
        <v>284</v>
      </c>
      <c r="W138" s="345">
        <v>0</v>
      </c>
      <c r="X138" s="348">
        <v>0</v>
      </c>
      <c r="Y138" s="345">
        <v>35</v>
      </c>
      <c r="Z138" s="345">
        <v>2</v>
      </c>
      <c r="AA138" s="345">
        <v>3</v>
      </c>
      <c r="AB138" s="345">
        <v>37</v>
      </c>
      <c r="AC138" s="345">
        <v>9</v>
      </c>
      <c r="AD138" s="345">
        <v>1082</v>
      </c>
      <c r="AE138" s="345">
        <v>10</v>
      </c>
      <c r="AF138" s="345">
        <v>3</v>
      </c>
      <c r="AG138" s="345">
        <v>13</v>
      </c>
    </row>
    <row r="139" spans="1:33" x14ac:dyDescent="0.2">
      <c r="A139" s="344" t="s">
        <v>334</v>
      </c>
      <c r="B139" s="344" t="s">
        <v>335</v>
      </c>
      <c r="C139" s="345">
        <v>6765</v>
      </c>
      <c r="D139" s="345">
        <v>0</v>
      </c>
      <c r="E139" s="345">
        <v>537</v>
      </c>
      <c r="F139" s="345">
        <v>569</v>
      </c>
      <c r="G139" s="345">
        <v>1354</v>
      </c>
      <c r="H139" s="345">
        <v>9225</v>
      </c>
      <c r="I139" s="345">
        <v>7871</v>
      </c>
      <c r="J139" s="345">
        <v>41</v>
      </c>
      <c r="K139" s="345">
        <v>126.75</v>
      </c>
      <c r="L139" s="345">
        <v>124.25</v>
      </c>
      <c r="M139" s="345">
        <v>11.11</v>
      </c>
      <c r="N139" s="345">
        <v>134.66</v>
      </c>
      <c r="O139" s="348">
        <v>5126</v>
      </c>
      <c r="P139" s="345">
        <v>105.86</v>
      </c>
      <c r="Q139" s="345">
        <v>102.35</v>
      </c>
      <c r="R139" s="345">
        <v>42.75</v>
      </c>
      <c r="S139" s="345">
        <v>139.69999999999999</v>
      </c>
      <c r="T139" s="348">
        <v>853</v>
      </c>
      <c r="U139" s="345">
        <v>193.38</v>
      </c>
      <c r="V139" s="348">
        <v>990</v>
      </c>
      <c r="W139" s="345">
        <v>168.64</v>
      </c>
      <c r="X139" s="348">
        <v>58</v>
      </c>
      <c r="Y139" s="345">
        <v>26</v>
      </c>
      <c r="Z139" s="345">
        <v>4</v>
      </c>
      <c r="AA139" s="345">
        <v>1</v>
      </c>
      <c r="AB139" s="345">
        <v>109</v>
      </c>
      <c r="AC139" s="345">
        <v>43</v>
      </c>
      <c r="AD139" s="345">
        <v>6512</v>
      </c>
      <c r="AE139" s="345">
        <v>101</v>
      </c>
      <c r="AF139" s="345">
        <v>25</v>
      </c>
      <c r="AG139" s="345">
        <v>126</v>
      </c>
    </row>
    <row r="140" spans="1:33" x14ac:dyDescent="0.2">
      <c r="A140" s="344" t="s">
        <v>336</v>
      </c>
      <c r="B140" s="344" t="s">
        <v>337</v>
      </c>
      <c r="C140" s="345">
        <v>1995</v>
      </c>
      <c r="D140" s="345">
        <v>1</v>
      </c>
      <c r="E140" s="345">
        <v>150</v>
      </c>
      <c r="F140" s="345">
        <v>125</v>
      </c>
      <c r="G140" s="345">
        <v>437</v>
      </c>
      <c r="H140" s="345">
        <v>2708</v>
      </c>
      <c r="I140" s="345">
        <v>2271</v>
      </c>
      <c r="J140" s="345">
        <v>0</v>
      </c>
      <c r="K140" s="345">
        <v>93.45</v>
      </c>
      <c r="L140" s="345">
        <v>90.48</v>
      </c>
      <c r="M140" s="345">
        <v>6.29</v>
      </c>
      <c r="N140" s="345">
        <v>96.83</v>
      </c>
      <c r="O140" s="348">
        <v>1397</v>
      </c>
      <c r="P140" s="345">
        <v>107.89</v>
      </c>
      <c r="Q140" s="345">
        <v>75.67</v>
      </c>
      <c r="R140" s="345">
        <v>61.1</v>
      </c>
      <c r="S140" s="345">
        <v>164.72</v>
      </c>
      <c r="T140" s="348">
        <v>229</v>
      </c>
      <c r="U140" s="345">
        <v>113.78</v>
      </c>
      <c r="V140" s="348">
        <v>561</v>
      </c>
      <c r="W140" s="345">
        <v>0</v>
      </c>
      <c r="X140" s="348">
        <v>0</v>
      </c>
      <c r="Y140" s="345">
        <v>0</v>
      </c>
      <c r="Z140" s="345">
        <v>0</v>
      </c>
      <c r="AA140" s="345">
        <v>7</v>
      </c>
      <c r="AB140" s="345">
        <v>30</v>
      </c>
      <c r="AC140" s="345">
        <v>10</v>
      </c>
      <c r="AD140" s="345">
        <v>1995</v>
      </c>
      <c r="AE140" s="345">
        <v>18</v>
      </c>
      <c r="AF140" s="345">
        <v>7</v>
      </c>
      <c r="AG140" s="345">
        <v>25</v>
      </c>
    </row>
    <row r="141" spans="1:33" x14ac:dyDescent="0.2">
      <c r="A141" s="344" t="s">
        <v>338</v>
      </c>
      <c r="B141" s="344" t="s">
        <v>339</v>
      </c>
      <c r="C141" s="345">
        <v>6151</v>
      </c>
      <c r="D141" s="345">
        <v>0</v>
      </c>
      <c r="E141" s="345">
        <v>104</v>
      </c>
      <c r="F141" s="345">
        <v>1067</v>
      </c>
      <c r="G141" s="345">
        <v>1098</v>
      </c>
      <c r="H141" s="345">
        <v>8420</v>
      </c>
      <c r="I141" s="345">
        <v>7322</v>
      </c>
      <c r="J141" s="345">
        <v>17</v>
      </c>
      <c r="K141" s="345">
        <v>113.7</v>
      </c>
      <c r="L141" s="345">
        <v>112.83</v>
      </c>
      <c r="M141" s="345">
        <v>5.39</v>
      </c>
      <c r="N141" s="345">
        <v>116.94</v>
      </c>
      <c r="O141" s="348">
        <v>4649</v>
      </c>
      <c r="P141" s="345">
        <v>99.55</v>
      </c>
      <c r="Q141" s="345">
        <v>96.73</v>
      </c>
      <c r="R141" s="345">
        <v>28.07</v>
      </c>
      <c r="S141" s="345">
        <v>125.84</v>
      </c>
      <c r="T141" s="348">
        <v>930</v>
      </c>
      <c r="U141" s="345">
        <v>174.63</v>
      </c>
      <c r="V141" s="348">
        <v>1469</v>
      </c>
      <c r="W141" s="345">
        <v>227.77</v>
      </c>
      <c r="X141" s="348">
        <v>117</v>
      </c>
      <c r="Y141" s="345">
        <v>556</v>
      </c>
      <c r="Z141" s="345">
        <v>5</v>
      </c>
      <c r="AA141" s="345">
        <v>9</v>
      </c>
      <c r="AB141" s="345">
        <v>59</v>
      </c>
      <c r="AC141" s="345">
        <v>19</v>
      </c>
      <c r="AD141" s="345">
        <v>6137</v>
      </c>
      <c r="AE141" s="345">
        <v>72</v>
      </c>
      <c r="AF141" s="345">
        <v>31</v>
      </c>
      <c r="AG141" s="345">
        <v>103</v>
      </c>
    </row>
    <row r="142" spans="1:33" x14ac:dyDescent="0.2">
      <c r="A142" s="344" t="s">
        <v>340</v>
      </c>
      <c r="B142" s="344" t="s">
        <v>341</v>
      </c>
      <c r="C142" s="345">
        <v>8126</v>
      </c>
      <c r="D142" s="345">
        <v>37</v>
      </c>
      <c r="E142" s="345">
        <v>392</v>
      </c>
      <c r="F142" s="345">
        <v>192</v>
      </c>
      <c r="G142" s="345">
        <v>2238</v>
      </c>
      <c r="H142" s="345">
        <v>10985</v>
      </c>
      <c r="I142" s="345">
        <v>8747</v>
      </c>
      <c r="J142" s="345">
        <v>77</v>
      </c>
      <c r="K142" s="345">
        <v>127.53</v>
      </c>
      <c r="L142" s="345">
        <v>127.31</v>
      </c>
      <c r="M142" s="345">
        <v>11.67</v>
      </c>
      <c r="N142" s="345">
        <v>136.66999999999999</v>
      </c>
      <c r="O142" s="348">
        <v>5890</v>
      </c>
      <c r="P142" s="345">
        <v>118.65</v>
      </c>
      <c r="Q142" s="345">
        <v>108.89</v>
      </c>
      <c r="R142" s="345">
        <v>120.78</v>
      </c>
      <c r="S142" s="345">
        <v>207.82</v>
      </c>
      <c r="T142" s="348">
        <v>321</v>
      </c>
      <c r="U142" s="345">
        <v>202.91</v>
      </c>
      <c r="V142" s="348">
        <v>1294</v>
      </c>
      <c r="W142" s="345">
        <v>220.12</v>
      </c>
      <c r="X142" s="348">
        <v>76</v>
      </c>
      <c r="Y142" s="345">
        <v>0</v>
      </c>
      <c r="Z142" s="345">
        <v>6</v>
      </c>
      <c r="AA142" s="345">
        <v>1</v>
      </c>
      <c r="AB142" s="345">
        <v>85</v>
      </c>
      <c r="AC142" s="345">
        <v>84</v>
      </c>
      <c r="AD142" s="345">
        <v>7576</v>
      </c>
      <c r="AE142" s="345">
        <v>55</v>
      </c>
      <c r="AF142" s="345">
        <v>45</v>
      </c>
      <c r="AG142" s="345">
        <v>100</v>
      </c>
    </row>
    <row r="143" spans="1:33" x14ac:dyDescent="0.2">
      <c r="A143" s="344" t="s">
        <v>342</v>
      </c>
      <c r="B143" s="344" t="s">
        <v>343</v>
      </c>
      <c r="C143" s="345">
        <v>8945</v>
      </c>
      <c r="D143" s="345">
        <v>0</v>
      </c>
      <c r="E143" s="345">
        <v>459</v>
      </c>
      <c r="F143" s="345">
        <v>980</v>
      </c>
      <c r="G143" s="345">
        <v>1104</v>
      </c>
      <c r="H143" s="345">
        <v>11488</v>
      </c>
      <c r="I143" s="345">
        <v>10384</v>
      </c>
      <c r="J143" s="345">
        <v>0</v>
      </c>
      <c r="K143" s="345">
        <v>97.76</v>
      </c>
      <c r="L143" s="345">
        <v>97.42</v>
      </c>
      <c r="M143" s="345">
        <v>3.52</v>
      </c>
      <c r="N143" s="345">
        <v>101.06</v>
      </c>
      <c r="O143" s="348">
        <v>7831</v>
      </c>
      <c r="P143" s="345">
        <v>97.64</v>
      </c>
      <c r="Q143" s="345">
        <v>85.19</v>
      </c>
      <c r="R143" s="345">
        <v>44.98</v>
      </c>
      <c r="S143" s="345">
        <v>140.06</v>
      </c>
      <c r="T143" s="348">
        <v>1298</v>
      </c>
      <c r="U143" s="345">
        <v>139.58000000000001</v>
      </c>
      <c r="V143" s="348">
        <v>945</v>
      </c>
      <c r="W143" s="345">
        <v>201.01</v>
      </c>
      <c r="X143" s="348">
        <v>55</v>
      </c>
      <c r="Y143" s="345">
        <v>50</v>
      </c>
      <c r="Z143" s="345">
        <v>9</v>
      </c>
      <c r="AA143" s="345">
        <v>0</v>
      </c>
      <c r="AB143" s="345">
        <v>106</v>
      </c>
      <c r="AC143" s="345">
        <v>45</v>
      </c>
      <c r="AD143" s="345">
        <v>8945</v>
      </c>
      <c r="AE143" s="345">
        <v>66</v>
      </c>
      <c r="AF143" s="345">
        <v>53</v>
      </c>
      <c r="AG143" s="345">
        <v>119</v>
      </c>
    </row>
    <row r="144" spans="1:33" x14ac:dyDescent="0.2">
      <c r="A144" s="344" t="s">
        <v>344</v>
      </c>
      <c r="B144" s="344" t="s">
        <v>345</v>
      </c>
      <c r="C144" s="345">
        <v>3063</v>
      </c>
      <c r="D144" s="345">
        <v>0</v>
      </c>
      <c r="E144" s="345">
        <v>314</v>
      </c>
      <c r="F144" s="345">
        <v>1549</v>
      </c>
      <c r="G144" s="345">
        <v>71</v>
      </c>
      <c r="H144" s="345">
        <v>4997</v>
      </c>
      <c r="I144" s="345">
        <v>4926</v>
      </c>
      <c r="J144" s="345">
        <v>92</v>
      </c>
      <c r="K144" s="345">
        <v>78.91</v>
      </c>
      <c r="L144" s="345">
        <v>78.67</v>
      </c>
      <c r="M144" s="345">
        <v>2.58</v>
      </c>
      <c r="N144" s="345">
        <v>80.239999999999995</v>
      </c>
      <c r="O144" s="348">
        <v>2889</v>
      </c>
      <c r="P144" s="345">
        <v>79.430000000000007</v>
      </c>
      <c r="Q144" s="345">
        <v>71.430000000000007</v>
      </c>
      <c r="R144" s="345">
        <v>25.94</v>
      </c>
      <c r="S144" s="345">
        <v>104.77</v>
      </c>
      <c r="T144" s="348">
        <v>1750</v>
      </c>
      <c r="U144" s="345">
        <v>99.83</v>
      </c>
      <c r="V144" s="348">
        <v>174</v>
      </c>
      <c r="W144" s="345">
        <v>252.16</v>
      </c>
      <c r="X144" s="348">
        <v>14</v>
      </c>
      <c r="Y144" s="345">
        <v>5</v>
      </c>
      <c r="Z144" s="345">
        <v>18</v>
      </c>
      <c r="AA144" s="345">
        <v>16</v>
      </c>
      <c r="AB144" s="345">
        <v>0</v>
      </c>
      <c r="AC144" s="345">
        <v>0</v>
      </c>
      <c r="AD144" s="345">
        <v>3063</v>
      </c>
      <c r="AE144" s="345">
        <v>22</v>
      </c>
      <c r="AF144" s="345">
        <v>4</v>
      </c>
      <c r="AG144" s="345">
        <v>26</v>
      </c>
    </row>
    <row r="145" spans="1:33" x14ac:dyDescent="0.2">
      <c r="A145" s="344" t="s">
        <v>346</v>
      </c>
      <c r="B145" s="344" t="s">
        <v>347</v>
      </c>
      <c r="C145" s="345">
        <v>3732</v>
      </c>
      <c r="D145" s="345">
        <v>0</v>
      </c>
      <c r="E145" s="345">
        <v>599</v>
      </c>
      <c r="F145" s="345">
        <v>711</v>
      </c>
      <c r="G145" s="345">
        <v>298</v>
      </c>
      <c r="H145" s="345">
        <v>5340</v>
      </c>
      <c r="I145" s="345">
        <v>5042</v>
      </c>
      <c r="J145" s="345">
        <v>0</v>
      </c>
      <c r="K145" s="345">
        <v>91.44</v>
      </c>
      <c r="L145" s="345">
        <v>90.55</v>
      </c>
      <c r="M145" s="345">
        <v>6.6</v>
      </c>
      <c r="N145" s="345">
        <v>96.57</v>
      </c>
      <c r="O145" s="348">
        <v>2989</v>
      </c>
      <c r="P145" s="345">
        <v>83.21</v>
      </c>
      <c r="Q145" s="345">
        <v>75.099999999999994</v>
      </c>
      <c r="R145" s="345">
        <v>65.58</v>
      </c>
      <c r="S145" s="345">
        <v>148.79</v>
      </c>
      <c r="T145" s="348">
        <v>1037</v>
      </c>
      <c r="U145" s="345">
        <v>106.53</v>
      </c>
      <c r="V145" s="348">
        <v>553</v>
      </c>
      <c r="W145" s="345">
        <v>104.67</v>
      </c>
      <c r="X145" s="348">
        <v>2</v>
      </c>
      <c r="Y145" s="345">
        <v>0</v>
      </c>
      <c r="Z145" s="345">
        <v>1</v>
      </c>
      <c r="AA145" s="345">
        <v>8</v>
      </c>
      <c r="AB145" s="345">
        <v>12</v>
      </c>
      <c r="AC145" s="345">
        <v>7</v>
      </c>
      <c r="AD145" s="345">
        <v>3603</v>
      </c>
      <c r="AE145" s="345">
        <v>12</v>
      </c>
      <c r="AF145" s="345">
        <v>71</v>
      </c>
      <c r="AG145" s="345">
        <v>83</v>
      </c>
    </row>
    <row r="146" spans="1:33" x14ac:dyDescent="0.2">
      <c r="A146" s="344" t="s">
        <v>348</v>
      </c>
      <c r="B146" s="344" t="s">
        <v>349</v>
      </c>
      <c r="C146" s="345">
        <v>6278</v>
      </c>
      <c r="D146" s="345">
        <v>0</v>
      </c>
      <c r="E146" s="345">
        <v>470</v>
      </c>
      <c r="F146" s="345">
        <v>637</v>
      </c>
      <c r="G146" s="345">
        <v>351</v>
      </c>
      <c r="H146" s="345">
        <v>7736</v>
      </c>
      <c r="I146" s="345">
        <v>7385</v>
      </c>
      <c r="J146" s="345">
        <v>102</v>
      </c>
      <c r="K146" s="345">
        <v>91.04</v>
      </c>
      <c r="L146" s="345">
        <v>90.57</v>
      </c>
      <c r="M146" s="345">
        <v>5.6</v>
      </c>
      <c r="N146" s="345">
        <v>94.45</v>
      </c>
      <c r="O146" s="348">
        <v>5445</v>
      </c>
      <c r="P146" s="345">
        <v>87.25</v>
      </c>
      <c r="Q146" s="345">
        <v>78.239999999999995</v>
      </c>
      <c r="R146" s="345">
        <v>46.34</v>
      </c>
      <c r="S146" s="345">
        <v>132.22999999999999</v>
      </c>
      <c r="T146" s="348">
        <v>1054</v>
      </c>
      <c r="U146" s="345">
        <v>125.55</v>
      </c>
      <c r="V146" s="348">
        <v>324</v>
      </c>
      <c r="W146" s="345">
        <v>96.11</v>
      </c>
      <c r="X146" s="348">
        <v>12</v>
      </c>
      <c r="Y146" s="345">
        <v>0</v>
      </c>
      <c r="Z146" s="345">
        <v>2</v>
      </c>
      <c r="AA146" s="345">
        <v>3</v>
      </c>
      <c r="AB146" s="345">
        <v>0</v>
      </c>
      <c r="AC146" s="345">
        <v>11</v>
      </c>
      <c r="AD146" s="345">
        <v>5830</v>
      </c>
      <c r="AE146" s="345">
        <v>21</v>
      </c>
      <c r="AF146" s="345">
        <v>11</v>
      </c>
      <c r="AG146" s="345">
        <v>32</v>
      </c>
    </row>
    <row r="147" spans="1:33" x14ac:dyDescent="0.2">
      <c r="A147" s="344" t="s">
        <v>350</v>
      </c>
      <c r="B147" s="344" t="s">
        <v>351</v>
      </c>
      <c r="C147" s="345">
        <v>152</v>
      </c>
      <c r="D147" s="345">
        <v>0</v>
      </c>
      <c r="E147" s="345">
        <v>0</v>
      </c>
      <c r="F147" s="345">
        <v>7</v>
      </c>
      <c r="G147" s="345">
        <v>6</v>
      </c>
      <c r="H147" s="345">
        <v>165</v>
      </c>
      <c r="I147" s="345">
        <v>159</v>
      </c>
      <c r="J147" s="345">
        <v>0</v>
      </c>
      <c r="K147" s="345">
        <v>96.06</v>
      </c>
      <c r="L147" s="345">
        <v>95.88</v>
      </c>
      <c r="M147" s="345">
        <v>7.87</v>
      </c>
      <c r="N147" s="345">
        <v>101.37</v>
      </c>
      <c r="O147" s="348">
        <v>117</v>
      </c>
      <c r="P147" s="345">
        <v>98.44</v>
      </c>
      <c r="Q147" s="345">
        <v>89.49</v>
      </c>
      <c r="R147" s="345">
        <v>26.05</v>
      </c>
      <c r="S147" s="345">
        <v>124.49</v>
      </c>
      <c r="T147" s="348">
        <v>7</v>
      </c>
      <c r="U147" s="345">
        <v>118.76</v>
      </c>
      <c r="V147" s="348">
        <v>2</v>
      </c>
      <c r="W147" s="345">
        <v>0</v>
      </c>
      <c r="X147" s="348">
        <v>0</v>
      </c>
      <c r="Y147" s="345">
        <v>0</v>
      </c>
      <c r="Z147" s="345">
        <v>0</v>
      </c>
      <c r="AA147" s="345">
        <v>0</v>
      </c>
      <c r="AB147" s="345">
        <v>0</v>
      </c>
      <c r="AC147" s="345">
        <v>1</v>
      </c>
      <c r="AD147" s="345">
        <v>125</v>
      </c>
      <c r="AE147" s="345">
        <v>0</v>
      </c>
      <c r="AF147" s="345">
        <v>0</v>
      </c>
      <c r="AG147" s="345">
        <v>0</v>
      </c>
    </row>
    <row r="148" spans="1:33" x14ac:dyDescent="0.2">
      <c r="A148" s="344" t="s">
        <v>352</v>
      </c>
      <c r="B148" s="344" t="s">
        <v>353</v>
      </c>
      <c r="C148" s="345">
        <v>13805</v>
      </c>
      <c r="D148" s="345">
        <v>165</v>
      </c>
      <c r="E148" s="345">
        <v>1485</v>
      </c>
      <c r="F148" s="345">
        <v>742</v>
      </c>
      <c r="G148" s="345">
        <v>1439</v>
      </c>
      <c r="H148" s="345">
        <v>17636</v>
      </c>
      <c r="I148" s="345">
        <v>16197</v>
      </c>
      <c r="J148" s="345">
        <v>153</v>
      </c>
      <c r="K148" s="345">
        <v>128.5</v>
      </c>
      <c r="L148" s="345">
        <v>138.32</v>
      </c>
      <c r="M148" s="345">
        <v>13.61</v>
      </c>
      <c r="N148" s="345">
        <v>139.47999999999999</v>
      </c>
      <c r="O148" s="348">
        <v>11962</v>
      </c>
      <c r="P148" s="345">
        <v>118.3</v>
      </c>
      <c r="Q148" s="345">
        <v>117.47</v>
      </c>
      <c r="R148" s="345">
        <v>85.15</v>
      </c>
      <c r="S148" s="345">
        <v>194.67</v>
      </c>
      <c r="T148" s="348">
        <v>1716</v>
      </c>
      <c r="U148" s="345">
        <v>190.81</v>
      </c>
      <c r="V148" s="348">
        <v>534</v>
      </c>
      <c r="W148" s="345">
        <v>198.12</v>
      </c>
      <c r="X148" s="348">
        <v>13</v>
      </c>
      <c r="Y148" s="345">
        <v>59</v>
      </c>
      <c r="Z148" s="345">
        <v>20</v>
      </c>
      <c r="AA148" s="345">
        <v>4</v>
      </c>
      <c r="AB148" s="345">
        <v>5</v>
      </c>
      <c r="AC148" s="345">
        <v>23</v>
      </c>
      <c r="AD148" s="345">
        <v>12795</v>
      </c>
      <c r="AE148" s="345">
        <v>84</v>
      </c>
      <c r="AF148" s="345">
        <v>86</v>
      </c>
      <c r="AG148" s="345">
        <v>170</v>
      </c>
    </row>
    <row r="149" spans="1:33" x14ac:dyDescent="0.2">
      <c r="A149" s="344" t="s">
        <v>354</v>
      </c>
      <c r="B149" s="344" t="s">
        <v>355</v>
      </c>
      <c r="C149" s="345">
        <v>10884</v>
      </c>
      <c r="D149" s="345">
        <v>142</v>
      </c>
      <c r="E149" s="345">
        <v>1032</v>
      </c>
      <c r="F149" s="345">
        <v>913</v>
      </c>
      <c r="G149" s="345">
        <v>541</v>
      </c>
      <c r="H149" s="345">
        <v>13512</v>
      </c>
      <c r="I149" s="345">
        <v>12971</v>
      </c>
      <c r="J149" s="345">
        <v>133</v>
      </c>
      <c r="K149" s="345">
        <v>130.47</v>
      </c>
      <c r="L149" s="345">
        <v>152.22</v>
      </c>
      <c r="M149" s="345">
        <v>11.93</v>
      </c>
      <c r="N149" s="345">
        <v>138.56</v>
      </c>
      <c r="O149" s="348">
        <v>9433</v>
      </c>
      <c r="P149" s="345">
        <v>117.58</v>
      </c>
      <c r="Q149" s="345">
        <v>129.34</v>
      </c>
      <c r="R149" s="345">
        <v>71.81</v>
      </c>
      <c r="S149" s="345">
        <v>173.77</v>
      </c>
      <c r="T149" s="348">
        <v>1522</v>
      </c>
      <c r="U149" s="345">
        <v>215.39</v>
      </c>
      <c r="V149" s="348">
        <v>626</v>
      </c>
      <c r="W149" s="345">
        <v>191.52</v>
      </c>
      <c r="X149" s="348">
        <v>31</v>
      </c>
      <c r="Y149" s="345">
        <v>0</v>
      </c>
      <c r="Z149" s="345">
        <v>3</v>
      </c>
      <c r="AA149" s="345">
        <v>2</v>
      </c>
      <c r="AB149" s="345">
        <v>0</v>
      </c>
      <c r="AC149" s="345">
        <v>18</v>
      </c>
      <c r="AD149" s="345">
        <v>10073</v>
      </c>
      <c r="AE149" s="345">
        <v>69</v>
      </c>
      <c r="AF149" s="345">
        <v>287</v>
      </c>
      <c r="AG149" s="345">
        <v>356</v>
      </c>
    </row>
    <row r="150" spans="1:33" x14ac:dyDescent="0.2">
      <c r="A150" s="344" t="s">
        <v>356</v>
      </c>
      <c r="B150" s="344" t="s">
        <v>357</v>
      </c>
      <c r="C150" s="345">
        <v>8488</v>
      </c>
      <c r="D150" s="345">
        <v>18</v>
      </c>
      <c r="E150" s="345">
        <v>284</v>
      </c>
      <c r="F150" s="345">
        <v>912</v>
      </c>
      <c r="G150" s="345">
        <v>219</v>
      </c>
      <c r="H150" s="345">
        <v>9921</v>
      </c>
      <c r="I150" s="345">
        <v>9702</v>
      </c>
      <c r="J150" s="345">
        <v>105</v>
      </c>
      <c r="K150" s="345">
        <v>85.81</v>
      </c>
      <c r="L150" s="345">
        <v>82.63</v>
      </c>
      <c r="M150" s="345">
        <v>6.22</v>
      </c>
      <c r="N150" s="345">
        <v>88.07</v>
      </c>
      <c r="O150" s="348">
        <v>7730</v>
      </c>
      <c r="P150" s="345">
        <v>91.68</v>
      </c>
      <c r="Q150" s="345">
        <v>78.98</v>
      </c>
      <c r="R150" s="345">
        <v>26.43</v>
      </c>
      <c r="S150" s="345">
        <v>117.95</v>
      </c>
      <c r="T150" s="348">
        <v>1129</v>
      </c>
      <c r="U150" s="345">
        <v>109.56</v>
      </c>
      <c r="V150" s="348">
        <v>733</v>
      </c>
      <c r="W150" s="345">
        <v>98.61</v>
      </c>
      <c r="X150" s="348">
        <v>17</v>
      </c>
      <c r="Y150" s="345">
        <v>0</v>
      </c>
      <c r="Z150" s="345">
        <v>31</v>
      </c>
      <c r="AA150" s="345">
        <v>2</v>
      </c>
      <c r="AB150" s="345">
        <v>7</v>
      </c>
      <c r="AC150" s="345">
        <v>6</v>
      </c>
      <c r="AD150" s="345">
        <v>8473</v>
      </c>
      <c r="AE150" s="345">
        <v>79</v>
      </c>
      <c r="AF150" s="345">
        <v>147</v>
      </c>
      <c r="AG150" s="345">
        <v>226</v>
      </c>
    </row>
    <row r="151" spans="1:33" x14ac:dyDescent="0.2">
      <c r="A151" s="344" t="s">
        <v>358</v>
      </c>
      <c r="B151" s="344" t="s">
        <v>359</v>
      </c>
      <c r="C151" s="345">
        <v>7274</v>
      </c>
      <c r="D151" s="345">
        <v>0</v>
      </c>
      <c r="E151" s="345">
        <v>983</v>
      </c>
      <c r="F151" s="345">
        <v>1261</v>
      </c>
      <c r="G151" s="345">
        <v>341</v>
      </c>
      <c r="H151" s="345">
        <v>9859</v>
      </c>
      <c r="I151" s="345">
        <v>9518</v>
      </c>
      <c r="J151" s="345">
        <v>1</v>
      </c>
      <c r="K151" s="345">
        <v>84.2</v>
      </c>
      <c r="L151" s="345">
        <v>83.84</v>
      </c>
      <c r="M151" s="345">
        <v>5.96</v>
      </c>
      <c r="N151" s="345">
        <v>88.89</v>
      </c>
      <c r="O151" s="348">
        <v>6090</v>
      </c>
      <c r="P151" s="345">
        <v>82.04</v>
      </c>
      <c r="Q151" s="345">
        <v>76.349999999999994</v>
      </c>
      <c r="R151" s="345">
        <v>57.97</v>
      </c>
      <c r="S151" s="345">
        <v>136.05000000000001</v>
      </c>
      <c r="T151" s="348">
        <v>1670</v>
      </c>
      <c r="U151" s="345">
        <v>98.69</v>
      </c>
      <c r="V151" s="348">
        <v>981</v>
      </c>
      <c r="W151" s="345">
        <v>231.92</v>
      </c>
      <c r="X151" s="348">
        <v>30</v>
      </c>
      <c r="Y151" s="345">
        <v>683</v>
      </c>
      <c r="Z151" s="345">
        <v>5</v>
      </c>
      <c r="AA151" s="345">
        <v>0</v>
      </c>
      <c r="AB151" s="345">
        <v>1</v>
      </c>
      <c r="AC151" s="345">
        <v>4</v>
      </c>
      <c r="AD151" s="345">
        <v>7032</v>
      </c>
      <c r="AE151" s="345">
        <v>39</v>
      </c>
      <c r="AF151" s="345">
        <v>58</v>
      </c>
      <c r="AG151" s="345">
        <v>97</v>
      </c>
    </row>
    <row r="152" spans="1:33" x14ac:dyDescent="0.2">
      <c r="A152" s="344" t="s">
        <v>360</v>
      </c>
      <c r="B152" s="344" t="s">
        <v>361</v>
      </c>
      <c r="C152" s="345">
        <v>2131</v>
      </c>
      <c r="D152" s="345">
        <v>93</v>
      </c>
      <c r="E152" s="345">
        <v>292</v>
      </c>
      <c r="F152" s="345">
        <v>214</v>
      </c>
      <c r="G152" s="345">
        <v>400</v>
      </c>
      <c r="H152" s="345">
        <v>3130</v>
      </c>
      <c r="I152" s="345">
        <v>2730</v>
      </c>
      <c r="J152" s="345">
        <v>6</v>
      </c>
      <c r="K152" s="345">
        <v>132.33000000000001</v>
      </c>
      <c r="L152" s="345">
        <v>133.08000000000001</v>
      </c>
      <c r="M152" s="345">
        <v>10.85</v>
      </c>
      <c r="N152" s="345">
        <v>141.79</v>
      </c>
      <c r="O152" s="348">
        <v>1516</v>
      </c>
      <c r="P152" s="345">
        <v>136.69999999999999</v>
      </c>
      <c r="Q152" s="345">
        <v>105.16</v>
      </c>
      <c r="R152" s="345">
        <v>42.59</v>
      </c>
      <c r="S152" s="345">
        <v>179.29</v>
      </c>
      <c r="T152" s="348">
        <v>319</v>
      </c>
      <c r="U152" s="345">
        <v>229.19</v>
      </c>
      <c r="V152" s="348">
        <v>351</v>
      </c>
      <c r="W152" s="345">
        <v>0</v>
      </c>
      <c r="X152" s="348">
        <v>0</v>
      </c>
      <c r="Y152" s="345">
        <v>33</v>
      </c>
      <c r="Z152" s="345">
        <v>1</v>
      </c>
      <c r="AA152" s="345">
        <v>5</v>
      </c>
      <c r="AB152" s="345">
        <v>9</v>
      </c>
      <c r="AC152" s="345">
        <v>15</v>
      </c>
      <c r="AD152" s="345">
        <v>1856</v>
      </c>
      <c r="AE152" s="345">
        <v>13</v>
      </c>
      <c r="AF152" s="345">
        <v>13</v>
      </c>
      <c r="AG152" s="345">
        <v>26</v>
      </c>
    </row>
    <row r="153" spans="1:33" x14ac:dyDescent="0.2">
      <c r="A153" s="344" t="s">
        <v>362</v>
      </c>
      <c r="B153" s="344" t="s">
        <v>363</v>
      </c>
      <c r="C153" s="345">
        <v>4282</v>
      </c>
      <c r="D153" s="345">
        <v>6</v>
      </c>
      <c r="E153" s="345">
        <v>493</v>
      </c>
      <c r="F153" s="345">
        <v>1267</v>
      </c>
      <c r="G153" s="345">
        <v>508</v>
      </c>
      <c r="H153" s="345">
        <v>6556</v>
      </c>
      <c r="I153" s="345">
        <v>6048</v>
      </c>
      <c r="J153" s="345">
        <v>6</v>
      </c>
      <c r="K153" s="345">
        <v>86.85</v>
      </c>
      <c r="L153" s="345">
        <v>84.57</v>
      </c>
      <c r="M153" s="345">
        <v>4.62</v>
      </c>
      <c r="N153" s="345">
        <v>90.37</v>
      </c>
      <c r="O153" s="348">
        <v>3557</v>
      </c>
      <c r="P153" s="345">
        <v>83.37</v>
      </c>
      <c r="Q153" s="345">
        <v>76.05</v>
      </c>
      <c r="R153" s="345">
        <v>43.79</v>
      </c>
      <c r="S153" s="345">
        <v>126.6</v>
      </c>
      <c r="T153" s="348">
        <v>1493</v>
      </c>
      <c r="U153" s="345">
        <v>99.49</v>
      </c>
      <c r="V153" s="348">
        <v>608</v>
      </c>
      <c r="W153" s="345">
        <v>110.51</v>
      </c>
      <c r="X153" s="348">
        <v>51</v>
      </c>
      <c r="Y153" s="345">
        <v>0</v>
      </c>
      <c r="Z153" s="345">
        <v>12</v>
      </c>
      <c r="AA153" s="345">
        <v>6</v>
      </c>
      <c r="AB153" s="345">
        <v>22</v>
      </c>
      <c r="AC153" s="345">
        <v>16</v>
      </c>
      <c r="AD153" s="345">
        <v>4270</v>
      </c>
      <c r="AE153" s="345">
        <v>32</v>
      </c>
      <c r="AF153" s="345">
        <v>9</v>
      </c>
      <c r="AG153" s="345">
        <v>41</v>
      </c>
    </row>
    <row r="154" spans="1:33" x14ac:dyDescent="0.2">
      <c r="A154" s="344" t="s">
        <v>364</v>
      </c>
      <c r="B154" s="344" t="s">
        <v>365</v>
      </c>
      <c r="C154" s="345">
        <v>16080</v>
      </c>
      <c r="D154" s="345">
        <v>4</v>
      </c>
      <c r="E154" s="345">
        <v>753</v>
      </c>
      <c r="F154" s="345">
        <v>1329</v>
      </c>
      <c r="G154" s="345">
        <v>528</v>
      </c>
      <c r="H154" s="345">
        <v>18694</v>
      </c>
      <c r="I154" s="345">
        <v>18166</v>
      </c>
      <c r="J154" s="345">
        <v>14</v>
      </c>
      <c r="K154" s="345">
        <v>86.15</v>
      </c>
      <c r="L154" s="345">
        <v>86.21</v>
      </c>
      <c r="M154" s="345">
        <v>11.67</v>
      </c>
      <c r="N154" s="345">
        <v>89.01</v>
      </c>
      <c r="O154" s="348">
        <v>14413</v>
      </c>
      <c r="P154" s="345">
        <v>88.14</v>
      </c>
      <c r="Q154" s="345">
        <v>76.260000000000005</v>
      </c>
      <c r="R154" s="345">
        <v>32.53</v>
      </c>
      <c r="S154" s="345">
        <v>118.96</v>
      </c>
      <c r="T154" s="348">
        <v>1518</v>
      </c>
      <c r="U154" s="345">
        <v>110.49</v>
      </c>
      <c r="V154" s="348">
        <v>1365</v>
      </c>
      <c r="W154" s="345">
        <v>156.72999999999999</v>
      </c>
      <c r="X154" s="348">
        <v>412</v>
      </c>
      <c r="Y154" s="345">
        <v>0</v>
      </c>
      <c r="Z154" s="345">
        <v>124</v>
      </c>
      <c r="AA154" s="345">
        <v>6</v>
      </c>
      <c r="AB154" s="345">
        <v>26</v>
      </c>
      <c r="AC154" s="345">
        <v>11</v>
      </c>
      <c r="AD154" s="345">
        <v>15918</v>
      </c>
      <c r="AE154" s="345">
        <v>64</v>
      </c>
      <c r="AF154" s="345">
        <v>273</v>
      </c>
      <c r="AG154" s="345">
        <v>337</v>
      </c>
    </row>
    <row r="155" spans="1:33" x14ac:dyDescent="0.2">
      <c r="A155" s="344" t="s">
        <v>366</v>
      </c>
      <c r="B155" s="344" t="s">
        <v>367</v>
      </c>
      <c r="C155" s="345">
        <v>21231</v>
      </c>
      <c r="D155" s="345">
        <v>183</v>
      </c>
      <c r="E155" s="345">
        <v>1937</v>
      </c>
      <c r="F155" s="345">
        <v>1460</v>
      </c>
      <c r="G155" s="345">
        <v>2169</v>
      </c>
      <c r="H155" s="345">
        <v>26980</v>
      </c>
      <c r="I155" s="345">
        <v>24811</v>
      </c>
      <c r="J155" s="345">
        <v>130</v>
      </c>
      <c r="K155" s="345">
        <v>121.57</v>
      </c>
      <c r="L155" s="345">
        <v>127.09</v>
      </c>
      <c r="M155" s="345">
        <v>15.64</v>
      </c>
      <c r="N155" s="345">
        <v>134.63999999999999</v>
      </c>
      <c r="O155" s="348">
        <v>18508</v>
      </c>
      <c r="P155" s="345">
        <v>113.18</v>
      </c>
      <c r="Q155" s="345">
        <v>110.23</v>
      </c>
      <c r="R155" s="345">
        <v>54.5</v>
      </c>
      <c r="S155" s="345">
        <v>162.43</v>
      </c>
      <c r="T155" s="348">
        <v>2868</v>
      </c>
      <c r="U155" s="345">
        <v>199.81</v>
      </c>
      <c r="V155" s="348">
        <v>1321</v>
      </c>
      <c r="W155" s="345">
        <v>276.57</v>
      </c>
      <c r="X155" s="348">
        <v>82</v>
      </c>
      <c r="Y155" s="345">
        <v>0</v>
      </c>
      <c r="Z155" s="345">
        <v>27</v>
      </c>
      <c r="AA155" s="345">
        <v>17</v>
      </c>
      <c r="AB155" s="345">
        <v>44</v>
      </c>
      <c r="AC155" s="345">
        <v>107</v>
      </c>
      <c r="AD155" s="345">
        <v>20042</v>
      </c>
      <c r="AE155" s="345">
        <v>166</v>
      </c>
      <c r="AF155" s="345">
        <v>89</v>
      </c>
      <c r="AG155" s="345">
        <v>255</v>
      </c>
    </row>
    <row r="156" spans="1:33" x14ac:dyDescent="0.2">
      <c r="A156" s="344" t="s">
        <v>368</v>
      </c>
      <c r="B156" s="344" t="s">
        <v>369</v>
      </c>
      <c r="C156" s="345">
        <v>2004</v>
      </c>
      <c r="D156" s="345">
        <v>0</v>
      </c>
      <c r="E156" s="345">
        <v>401</v>
      </c>
      <c r="F156" s="345">
        <v>526</v>
      </c>
      <c r="G156" s="345">
        <v>365</v>
      </c>
      <c r="H156" s="345">
        <v>3296</v>
      </c>
      <c r="I156" s="345">
        <v>2931</v>
      </c>
      <c r="J156" s="345">
        <v>3</v>
      </c>
      <c r="K156" s="345">
        <v>85.75</v>
      </c>
      <c r="L156" s="345">
        <v>82.41</v>
      </c>
      <c r="M156" s="345">
        <v>5.91</v>
      </c>
      <c r="N156" s="345">
        <v>90.76</v>
      </c>
      <c r="O156" s="348">
        <v>1269</v>
      </c>
      <c r="P156" s="345">
        <v>91.89</v>
      </c>
      <c r="Q156" s="345">
        <v>73.150000000000006</v>
      </c>
      <c r="R156" s="345">
        <v>70.58</v>
      </c>
      <c r="S156" s="345">
        <v>159.41999999999999</v>
      </c>
      <c r="T156" s="348">
        <v>764</v>
      </c>
      <c r="U156" s="345">
        <v>107.3</v>
      </c>
      <c r="V156" s="348">
        <v>664</v>
      </c>
      <c r="W156" s="345">
        <v>286.7</v>
      </c>
      <c r="X156" s="348">
        <v>32</v>
      </c>
      <c r="Y156" s="345">
        <v>17</v>
      </c>
      <c r="Z156" s="345">
        <v>3</v>
      </c>
      <c r="AA156" s="345">
        <v>0</v>
      </c>
      <c r="AB156" s="345">
        <v>10</v>
      </c>
      <c r="AC156" s="345">
        <v>11</v>
      </c>
      <c r="AD156" s="345">
        <v>1956</v>
      </c>
      <c r="AE156" s="345">
        <v>25</v>
      </c>
      <c r="AF156" s="345">
        <v>12</v>
      </c>
      <c r="AG156" s="345">
        <v>37</v>
      </c>
    </row>
    <row r="157" spans="1:33" x14ac:dyDescent="0.2">
      <c r="A157" s="344" t="s">
        <v>370</v>
      </c>
      <c r="B157" s="344" t="s">
        <v>371</v>
      </c>
      <c r="C157" s="345">
        <v>13480</v>
      </c>
      <c r="D157" s="345">
        <v>8</v>
      </c>
      <c r="E157" s="345">
        <v>1536</v>
      </c>
      <c r="F157" s="345">
        <v>2906</v>
      </c>
      <c r="G157" s="345">
        <v>1652</v>
      </c>
      <c r="H157" s="345">
        <v>19582</v>
      </c>
      <c r="I157" s="345">
        <v>17930</v>
      </c>
      <c r="J157" s="345">
        <v>45</v>
      </c>
      <c r="K157" s="345">
        <v>86.28</v>
      </c>
      <c r="L157" s="345">
        <v>84.62</v>
      </c>
      <c r="M157" s="345">
        <v>6.99</v>
      </c>
      <c r="N157" s="345">
        <v>90.7</v>
      </c>
      <c r="O157" s="348">
        <v>11134</v>
      </c>
      <c r="P157" s="345">
        <v>98.46</v>
      </c>
      <c r="Q157" s="345">
        <v>75.17</v>
      </c>
      <c r="R157" s="345">
        <v>51.71</v>
      </c>
      <c r="S157" s="345">
        <v>148.56</v>
      </c>
      <c r="T157" s="348">
        <v>3472</v>
      </c>
      <c r="U157" s="345">
        <v>110.72</v>
      </c>
      <c r="V157" s="348">
        <v>1472</v>
      </c>
      <c r="W157" s="345">
        <v>198.61</v>
      </c>
      <c r="X157" s="348">
        <v>99</v>
      </c>
      <c r="Y157" s="345">
        <v>2</v>
      </c>
      <c r="Z157" s="345">
        <v>8</v>
      </c>
      <c r="AA157" s="345">
        <v>32</v>
      </c>
      <c r="AB157" s="345">
        <v>113</v>
      </c>
      <c r="AC157" s="345">
        <v>49</v>
      </c>
      <c r="AD157" s="345">
        <v>13088</v>
      </c>
      <c r="AE157" s="345">
        <v>108</v>
      </c>
      <c r="AF157" s="345">
        <v>49</v>
      </c>
      <c r="AG157" s="345">
        <v>157</v>
      </c>
    </row>
    <row r="158" spans="1:33" x14ac:dyDescent="0.2">
      <c r="A158" s="344" t="s">
        <v>372</v>
      </c>
      <c r="B158" s="344" t="s">
        <v>373</v>
      </c>
      <c r="C158" s="345">
        <v>8984</v>
      </c>
      <c r="D158" s="345">
        <v>0</v>
      </c>
      <c r="E158" s="345">
        <v>987</v>
      </c>
      <c r="F158" s="345">
        <v>919</v>
      </c>
      <c r="G158" s="345">
        <v>561</v>
      </c>
      <c r="H158" s="345">
        <v>11451</v>
      </c>
      <c r="I158" s="345">
        <v>10890</v>
      </c>
      <c r="J158" s="345">
        <v>63</v>
      </c>
      <c r="K158" s="345">
        <v>85.95</v>
      </c>
      <c r="L158" s="345">
        <v>83.33</v>
      </c>
      <c r="M158" s="345">
        <v>8.77</v>
      </c>
      <c r="N158" s="345">
        <v>92.13</v>
      </c>
      <c r="O158" s="348">
        <v>6971</v>
      </c>
      <c r="P158" s="345">
        <v>90.13</v>
      </c>
      <c r="Q158" s="345">
        <v>76.900000000000006</v>
      </c>
      <c r="R158" s="345">
        <v>62.81</v>
      </c>
      <c r="S158" s="345">
        <v>148.22999999999999</v>
      </c>
      <c r="T158" s="348">
        <v>1535</v>
      </c>
      <c r="U158" s="345">
        <v>115.48</v>
      </c>
      <c r="V158" s="348">
        <v>1128</v>
      </c>
      <c r="W158" s="345">
        <v>137.34</v>
      </c>
      <c r="X158" s="348">
        <v>86</v>
      </c>
      <c r="Y158" s="345">
        <v>0</v>
      </c>
      <c r="Z158" s="345">
        <v>12</v>
      </c>
      <c r="AA158" s="345">
        <v>16</v>
      </c>
      <c r="AB158" s="345">
        <v>22</v>
      </c>
      <c r="AC158" s="345">
        <v>34</v>
      </c>
      <c r="AD158" s="345">
        <v>8265</v>
      </c>
      <c r="AE158" s="345">
        <v>93</v>
      </c>
      <c r="AF158" s="345">
        <v>49</v>
      </c>
      <c r="AG158" s="345">
        <v>142</v>
      </c>
    </row>
    <row r="159" spans="1:33" x14ac:dyDescent="0.2">
      <c r="A159" s="344" t="s">
        <v>374</v>
      </c>
      <c r="B159" s="344" t="s">
        <v>375</v>
      </c>
      <c r="C159" s="345">
        <v>1157</v>
      </c>
      <c r="D159" s="345">
        <v>0</v>
      </c>
      <c r="E159" s="345">
        <v>154</v>
      </c>
      <c r="F159" s="345">
        <v>442</v>
      </c>
      <c r="G159" s="345">
        <v>403</v>
      </c>
      <c r="H159" s="345">
        <v>2156</v>
      </c>
      <c r="I159" s="345">
        <v>1753</v>
      </c>
      <c r="J159" s="345">
        <v>11</v>
      </c>
      <c r="K159" s="345">
        <v>96.53</v>
      </c>
      <c r="L159" s="345">
        <v>94.99</v>
      </c>
      <c r="M159" s="345">
        <v>7.3</v>
      </c>
      <c r="N159" s="345">
        <v>102.9</v>
      </c>
      <c r="O159" s="348">
        <v>868</v>
      </c>
      <c r="P159" s="345">
        <v>85.37</v>
      </c>
      <c r="Q159" s="345">
        <v>78.88</v>
      </c>
      <c r="R159" s="345">
        <v>50.94</v>
      </c>
      <c r="S159" s="345">
        <v>135</v>
      </c>
      <c r="T159" s="348">
        <v>312</v>
      </c>
      <c r="U159" s="345">
        <v>175.58</v>
      </c>
      <c r="V159" s="348">
        <v>276</v>
      </c>
      <c r="W159" s="345">
        <v>153.1</v>
      </c>
      <c r="X159" s="348">
        <v>9</v>
      </c>
      <c r="Y159" s="345">
        <v>6</v>
      </c>
      <c r="Z159" s="345">
        <v>0</v>
      </c>
      <c r="AA159" s="345">
        <v>0</v>
      </c>
      <c r="AB159" s="345">
        <v>48</v>
      </c>
      <c r="AC159" s="345">
        <v>11</v>
      </c>
      <c r="AD159" s="345">
        <v>1157</v>
      </c>
      <c r="AE159" s="345">
        <v>15</v>
      </c>
      <c r="AF159" s="345">
        <v>11</v>
      </c>
      <c r="AG159" s="345">
        <v>26</v>
      </c>
    </row>
    <row r="160" spans="1:33" x14ac:dyDescent="0.2">
      <c r="A160" s="344" t="s">
        <v>376</v>
      </c>
      <c r="B160" s="344" t="s">
        <v>377</v>
      </c>
      <c r="C160" s="345">
        <v>20921</v>
      </c>
      <c r="D160" s="345">
        <v>149</v>
      </c>
      <c r="E160" s="345">
        <v>1518</v>
      </c>
      <c r="F160" s="345">
        <v>684</v>
      </c>
      <c r="G160" s="345">
        <v>1976</v>
      </c>
      <c r="H160" s="345">
        <v>25248</v>
      </c>
      <c r="I160" s="345">
        <v>23272</v>
      </c>
      <c r="J160" s="345">
        <v>215</v>
      </c>
      <c r="K160" s="345">
        <v>112.71</v>
      </c>
      <c r="L160" s="345">
        <v>115.03</v>
      </c>
      <c r="M160" s="345">
        <v>12.14</v>
      </c>
      <c r="N160" s="345">
        <v>119.59</v>
      </c>
      <c r="O160" s="348">
        <v>18303</v>
      </c>
      <c r="P160" s="345">
        <v>108.45</v>
      </c>
      <c r="Q160" s="345">
        <v>102.84</v>
      </c>
      <c r="R160" s="345">
        <v>86.09</v>
      </c>
      <c r="S160" s="345">
        <v>188.76</v>
      </c>
      <c r="T160" s="348">
        <v>1771</v>
      </c>
      <c r="U160" s="345">
        <v>183.29</v>
      </c>
      <c r="V160" s="348">
        <v>1671</v>
      </c>
      <c r="W160" s="345">
        <v>283.99</v>
      </c>
      <c r="X160" s="348">
        <v>119</v>
      </c>
      <c r="Y160" s="345">
        <v>1098</v>
      </c>
      <c r="Z160" s="345">
        <v>25</v>
      </c>
      <c r="AA160" s="345">
        <v>42</v>
      </c>
      <c r="AB160" s="345">
        <v>40</v>
      </c>
      <c r="AC160" s="345">
        <v>59</v>
      </c>
      <c r="AD160" s="345">
        <v>20053</v>
      </c>
      <c r="AE160" s="345">
        <v>218</v>
      </c>
      <c r="AF160" s="345">
        <v>115</v>
      </c>
      <c r="AG160" s="345">
        <v>333</v>
      </c>
    </row>
    <row r="161" spans="1:33" x14ac:dyDescent="0.2">
      <c r="A161" s="344" t="s">
        <v>378</v>
      </c>
      <c r="B161" s="344" t="s">
        <v>379</v>
      </c>
      <c r="C161" s="345">
        <v>5688</v>
      </c>
      <c r="D161" s="345">
        <v>14</v>
      </c>
      <c r="E161" s="345">
        <v>119</v>
      </c>
      <c r="F161" s="345">
        <v>298</v>
      </c>
      <c r="G161" s="345">
        <v>564</v>
      </c>
      <c r="H161" s="345">
        <v>6683</v>
      </c>
      <c r="I161" s="345">
        <v>6119</v>
      </c>
      <c r="J161" s="345">
        <v>1</v>
      </c>
      <c r="K161" s="345">
        <v>91.46</v>
      </c>
      <c r="L161" s="345">
        <v>87.79</v>
      </c>
      <c r="M161" s="345">
        <v>3.31</v>
      </c>
      <c r="N161" s="345">
        <v>93.94</v>
      </c>
      <c r="O161" s="348">
        <v>5104</v>
      </c>
      <c r="P161" s="345">
        <v>102.92</v>
      </c>
      <c r="Q161" s="345">
        <v>92.5</v>
      </c>
      <c r="R161" s="345">
        <v>35.82</v>
      </c>
      <c r="S161" s="345">
        <v>138.72999999999999</v>
      </c>
      <c r="T161" s="348">
        <v>407</v>
      </c>
      <c r="U161" s="345">
        <v>114.94</v>
      </c>
      <c r="V161" s="348">
        <v>539</v>
      </c>
      <c r="W161" s="345">
        <v>0</v>
      </c>
      <c r="X161" s="348">
        <v>0</v>
      </c>
      <c r="Y161" s="345">
        <v>0</v>
      </c>
      <c r="Z161" s="345">
        <v>7</v>
      </c>
      <c r="AA161" s="345">
        <v>8</v>
      </c>
      <c r="AB161" s="345">
        <v>114</v>
      </c>
      <c r="AC161" s="345">
        <v>10</v>
      </c>
      <c r="AD161" s="345">
        <v>5650</v>
      </c>
      <c r="AE161" s="345">
        <v>56</v>
      </c>
      <c r="AF161" s="345">
        <v>27</v>
      </c>
      <c r="AG161" s="345">
        <v>83</v>
      </c>
    </row>
    <row r="162" spans="1:33" x14ac:dyDescent="0.2">
      <c r="A162" s="344" t="s">
        <v>380</v>
      </c>
      <c r="B162" s="344" t="s">
        <v>381</v>
      </c>
      <c r="C162" s="345">
        <v>1353</v>
      </c>
      <c r="D162" s="345">
        <v>0</v>
      </c>
      <c r="E162" s="345">
        <v>457</v>
      </c>
      <c r="F162" s="345">
        <v>148</v>
      </c>
      <c r="G162" s="345">
        <v>297</v>
      </c>
      <c r="H162" s="345">
        <v>2255</v>
      </c>
      <c r="I162" s="345">
        <v>1958</v>
      </c>
      <c r="J162" s="345">
        <v>8</v>
      </c>
      <c r="K162" s="345">
        <v>82.69</v>
      </c>
      <c r="L162" s="345">
        <v>79.84</v>
      </c>
      <c r="M162" s="345">
        <v>9</v>
      </c>
      <c r="N162" s="345">
        <v>90.03</v>
      </c>
      <c r="O162" s="348">
        <v>1019</v>
      </c>
      <c r="P162" s="345">
        <v>94.25</v>
      </c>
      <c r="Q162" s="345">
        <v>81.61</v>
      </c>
      <c r="R162" s="345">
        <v>112.48</v>
      </c>
      <c r="S162" s="345">
        <v>206.74</v>
      </c>
      <c r="T162" s="348">
        <v>282</v>
      </c>
      <c r="U162" s="345">
        <v>104.01</v>
      </c>
      <c r="V162" s="348">
        <v>230</v>
      </c>
      <c r="W162" s="345">
        <v>303.62</v>
      </c>
      <c r="X162" s="348">
        <v>31</v>
      </c>
      <c r="Y162" s="345">
        <v>63</v>
      </c>
      <c r="Z162" s="345">
        <v>0</v>
      </c>
      <c r="AA162" s="345">
        <v>0</v>
      </c>
      <c r="AB162" s="345">
        <v>0</v>
      </c>
      <c r="AC162" s="345">
        <v>8</v>
      </c>
      <c r="AD162" s="345">
        <v>1320</v>
      </c>
      <c r="AE162" s="345">
        <v>7</v>
      </c>
      <c r="AF162" s="345">
        <v>24</v>
      </c>
      <c r="AG162" s="345">
        <v>31</v>
      </c>
    </row>
    <row r="163" spans="1:33" x14ac:dyDescent="0.2">
      <c r="A163" s="344" t="s">
        <v>382</v>
      </c>
      <c r="B163" s="344" t="s">
        <v>383</v>
      </c>
      <c r="C163" s="345">
        <v>52171</v>
      </c>
      <c r="D163" s="345">
        <v>10</v>
      </c>
      <c r="E163" s="345">
        <v>2518</v>
      </c>
      <c r="F163" s="345">
        <v>3744</v>
      </c>
      <c r="G163" s="345">
        <v>969</v>
      </c>
      <c r="H163" s="345">
        <v>59412</v>
      </c>
      <c r="I163" s="345">
        <v>58443</v>
      </c>
      <c r="J163" s="345">
        <v>210</v>
      </c>
      <c r="K163" s="345">
        <v>85.78</v>
      </c>
      <c r="L163" s="345">
        <v>85.06</v>
      </c>
      <c r="M163" s="345">
        <v>9.9499999999999993</v>
      </c>
      <c r="N163" s="345">
        <v>88.49</v>
      </c>
      <c r="O163" s="348">
        <v>43185</v>
      </c>
      <c r="P163" s="345">
        <v>88.83</v>
      </c>
      <c r="Q163" s="345">
        <v>79.61</v>
      </c>
      <c r="R163" s="345">
        <v>51.6</v>
      </c>
      <c r="S163" s="345">
        <v>139.24</v>
      </c>
      <c r="T163" s="348">
        <v>4986</v>
      </c>
      <c r="U163" s="345">
        <v>105.84</v>
      </c>
      <c r="V163" s="348">
        <v>6049</v>
      </c>
      <c r="W163" s="345">
        <v>128.22</v>
      </c>
      <c r="X163" s="348">
        <v>119</v>
      </c>
      <c r="Y163" s="345">
        <v>327</v>
      </c>
      <c r="Z163" s="345">
        <v>240</v>
      </c>
      <c r="AA163" s="345">
        <v>32</v>
      </c>
      <c r="AB163" s="345">
        <v>59</v>
      </c>
      <c r="AC163" s="345">
        <v>30</v>
      </c>
      <c r="AD163" s="345">
        <v>49548</v>
      </c>
      <c r="AE163" s="345">
        <v>445</v>
      </c>
      <c r="AF163" s="345">
        <v>346</v>
      </c>
      <c r="AG163" s="345">
        <v>791</v>
      </c>
    </row>
    <row r="164" spans="1:33" x14ac:dyDescent="0.2">
      <c r="A164" s="344" t="s">
        <v>384</v>
      </c>
      <c r="B164" s="344" t="s">
        <v>385</v>
      </c>
      <c r="C164" s="345">
        <v>3870</v>
      </c>
      <c r="D164" s="345">
        <v>175</v>
      </c>
      <c r="E164" s="345">
        <v>409</v>
      </c>
      <c r="F164" s="345">
        <v>392</v>
      </c>
      <c r="G164" s="345">
        <v>324</v>
      </c>
      <c r="H164" s="345">
        <v>5170</v>
      </c>
      <c r="I164" s="345">
        <v>4846</v>
      </c>
      <c r="J164" s="345">
        <v>1</v>
      </c>
      <c r="K164" s="345">
        <v>103.38</v>
      </c>
      <c r="L164" s="345">
        <v>100.6</v>
      </c>
      <c r="M164" s="345">
        <v>6.06</v>
      </c>
      <c r="N164" s="345">
        <v>107.9</v>
      </c>
      <c r="O164" s="348">
        <v>2787</v>
      </c>
      <c r="P164" s="345">
        <v>103.45</v>
      </c>
      <c r="Q164" s="345">
        <v>97.48</v>
      </c>
      <c r="R164" s="345">
        <v>45.27</v>
      </c>
      <c r="S164" s="345">
        <v>144.96</v>
      </c>
      <c r="T164" s="348">
        <v>434</v>
      </c>
      <c r="U164" s="345">
        <v>146.97999999999999</v>
      </c>
      <c r="V164" s="348">
        <v>622</v>
      </c>
      <c r="W164" s="345">
        <v>141.76</v>
      </c>
      <c r="X164" s="348">
        <v>13</v>
      </c>
      <c r="Y164" s="345">
        <v>0</v>
      </c>
      <c r="Z164" s="345">
        <v>3</v>
      </c>
      <c r="AA164" s="345">
        <v>5</v>
      </c>
      <c r="AB164" s="345">
        <v>9</v>
      </c>
      <c r="AC164" s="345">
        <v>11</v>
      </c>
      <c r="AD164" s="345">
        <v>3542</v>
      </c>
      <c r="AE164" s="345">
        <v>34</v>
      </c>
      <c r="AF164" s="345">
        <v>7</v>
      </c>
      <c r="AG164" s="345">
        <v>41</v>
      </c>
    </row>
    <row r="165" spans="1:33" x14ac:dyDescent="0.2">
      <c r="A165" s="344" t="s">
        <v>386</v>
      </c>
      <c r="B165" s="344" t="s">
        <v>387</v>
      </c>
      <c r="C165" s="345">
        <v>8398</v>
      </c>
      <c r="D165" s="345">
        <v>0</v>
      </c>
      <c r="E165" s="345">
        <v>359</v>
      </c>
      <c r="F165" s="345">
        <v>1144</v>
      </c>
      <c r="G165" s="345">
        <v>1259</v>
      </c>
      <c r="H165" s="345">
        <v>11160</v>
      </c>
      <c r="I165" s="345">
        <v>9901</v>
      </c>
      <c r="J165" s="345">
        <v>144</v>
      </c>
      <c r="K165" s="345">
        <v>99.02</v>
      </c>
      <c r="L165" s="345">
        <v>97.79</v>
      </c>
      <c r="M165" s="345">
        <v>6.79</v>
      </c>
      <c r="N165" s="345">
        <v>104.2</v>
      </c>
      <c r="O165" s="348">
        <v>6059</v>
      </c>
      <c r="P165" s="345">
        <v>93.74</v>
      </c>
      <c r="Q165" s="345">
        <v>89.03</v>
      </c>
      <c r="R165" s="345">
        <v>27.67</v>
      </c>
      <c r="S165" s="345">
        <v>120.09</v>
      </c>
      <c r="T165" s="348">
        <v>1325</v>
      </c>
      <c r="U165" s="345">
        <v>165.26</v>
      </c>
      <c r="V165" s="348">
        <v>1978</v>
      </c>
      <c r="W165" s="345">
        <v>119.18</v>
      </c>
      <c r="X165" s="348">
        <v>13</v>
      </c>
      <c r="Y165" s="345">
        <v>25</v>
      </c>
      <c r="Z165" s="345">
        <v>7</v>
      </c>
      <c r="AA165" s="345">
        <v>3</v>
      </c>
      <c r="AB165" s="345">
        <v>163</v>
      </c>
      <c r="AC165" s="345">
        <v>19</v>
      </c>
      <c r="AD165" s="345">
        <v>7924</v>
      </c>
      <c r="AE165" s="345">
        <v>78</v>
      </c>
      <c r="AF165" s="345">
        <v>9</v>
      </c>
      <c r="AG165" s="345">
        <v>87</v>
      </c>
    </row>
    <row r="166" spans="1:33" x14ac:dyDescent="0.2">
      <c r="A166" s="344" t="s">
        <v>388</v>
      </c>
      <c r="B166" s="344" t="s">
        <v>389</v>
      </c>
      <c r="C166" s="345">
        <v>2479</v>
      </c>
      <c r="D166" s="345">
        <v>0</v>
      </c>
      <c r="E166" s="345">
        <v>35</v>
      </c>
      <c r="F166" s="345">
        <v>795</v>
      </c>
      <c r="G166" s="345">
        <v>192</v>
      </c>
      <c r="H166" s="345">
        <v>3501</v>
      </c>
      <c r="I166" s="345">
        <v>3309</v>
      </c>
      <c r="J166" s="345">
        <v>0</v>
      </c>
      <c r="K166" s="345">
        <v>105.9</v>
      </c>
      <c r="L166" s="345">
        <v>104.8</v>
      </c>
      <c r="M166" s="345">
        <v>4.5</v>
      </c>
      <c r="N166" s="345">
        <v>108.71</v>
      </c>
      <c r="O166" s="348">
        <v>1967</v>
      </c>
      <c r="P166" s="345">
        <v>90.39</v>
      </c>
      <c r="Q166" s="345">
        <v>88.7</v>
      </c>
      <c r="R166" s="345">
        <v>16.350000000000001</v>
      </c>
      <c r="S166" s="345">
        <v>106.18</v>
      </c>
      <c r="T166" s="348">
        <v>768</v>
      </c>
      <c r="U166" s="345">
        <v>147.21</v>
      </c>
      <c r="V166" s="348">
        <v>483</v>
      </c>
      <c r="W166" s="345">
        <v>116.48</v>
      </c>
      <c r="X166" s="348">
        <v>1</v>
      </c>
      <c r="Y166" s="345">
        <v>20</v>
      </c>
      <c r="Z166" s="345">
        <v>1</v>
      </c>
      <c r="AA166" s="345">
        <v>0</v>
      </c>
      <c r="AB166" s="345">
        <v>14</v>
      </c>
      <c r="AC166" s="345">
        <v>1</v>
      </c>
      <c r="AD166" s="345">
        <v>2443</v>
      </c>
      <c r="AE166" s="345">
        <v>24</v>
      </c>
      <c r="AF166" s="345">
        <v>7</v>
      </c>
      <c r="AG166" s="345">
        <v>31</v>
      </c>
    </row>
    <row r="167" spans="1:33" x14ac:dyDescent="0.2">
      <c r="A167" s="344" t="s">
        <v>390</v>
      </c>
      <c r="B167" s="344" t="s">
        <v>391</v>
      </c>
      <c r="C167" s="345">
        <v>4646</v>
      </c>
      <c r="D167" s="345">
        <v>0</v>
      </c>
      <c r="E167" s="345">
        <v>74</v>
      </c>
      <c r="F167" s="345">
        <v>594</v>
      </c>
      <c r="G167" s="345">
        <v>488</v>
      </c>
      <c r="H167" s="345">
        <v>5802</v>
      </c>
      <c r="I167" s="345">
        <v>5314</v>
      </c>
      <c r="J167" s="345">
        <v>0</v>
      </c>
      <c r="K167" s="345">
        <v>98.92</v>
      </c>
      <c r="L167" s="345">
        <v>98.6</v>
      </c>
      <c r="M167" s="345">
        <v>4.03</v>
      </c>
      <c r="N167" s="345">
        <v>102.62</v>
      </c>
      <c r="O167" s="348">
        <v>4148</v>
      </c>
      <c r="P167" s="345">
        <v>93.92</v>
      </c>
      <c r="Q167" s="345">
        <v>93.27</v>
      </c>
      <c r="R167" s="345">
        <v>30.45</v>
      </c>
      <c r="S167" s="345">
        <v>124.22</v>
      </c>
      <c r="T167" s="348">
        <v>608</v>
      </c>
      <c r="U167" s="345">
        <v>122.67</v>
      </c>
      <c r="V167" s="348">
        <v>416</v>
      </c>
      <c r="W167" s="345">
        <v>194.18</v>
      </c>
      <c r="X167" s="348">
        <v>60</v>
      </c>
      <c r="Y167" s="345">
        <v>0</v>
      </c>
      <c r="Z167" s="345">
        <v>4</v>
      </c>
      <c r="AA167" s="345">
        <v>3</v>
      </c>
      <c r="AB167" s="345">
        <v>66</v>
      </c>
      <c r="AC167" s="345">
        <v>9</v>
      </c>
      <c r="AD167" s="345">
        <v>4634</v>
      </c>
      <c r="AE167" s="345">
        <v>32</v>
      </c>
      <c r="AF167" s="345">
        <v>27</v>
      </c>
      <c r="AG167" s="345">
        <v>59</v>
      </c>
    </row>
    <row r="168" spans="1:33" x14ac:dyDescent="0.2">
      <c r="A168" s="344" t="s">
        <v>392</v>
      </c>
      <c r="B168" s="344" t="s">
        <v>393</v>
      </c>
      <c r="C168" s="345">
        <v>46261</v>
      </c>
      <c r="D168" s="345">
        <v>72</v>
      </c>
      <c r="E168" s="345">
        <v>1729</v>
      </c>
      <c r="F168" s="345">
        <v>3348</v>
      </c>
      <c r="G168" s="345">
        <v>1608</v>
      </c>
      <c r="H168" s="345">
        <v>53018</v>
      </c>
      <c r="I168" s="345">
        <v>51410</v>
      </c>
      <c r="J168" s="345">
        <v>41</v>
      </c>
      <c r="K168" s="345">
        <v>83.43</v>
      </c>
      <c r="L168" s="345">
        <v>84.09</v>
      </c>
      <c r="M168" s="345">
        <v>5.13</v>
      </c>
      <c r="N168" s="345">
        <v>85.43</v>
      </c>
      <c r="O168" s="348">
        <v>42135</v>
      </c>
      <c r="P168" s="345">
        <v>81.760000000000005</v>
      </c>
      <c r="Q168" s="345">
        <v>76.94</v>
      </c>
      <c r="R168" s="345">
        <v>46.44</v>
      </c>
      <c r="S168" s="345">
        <v>124.91</v>
      </c>
      <c r="T168" s="348">
        <v>4662</v>
      </c>
      <c r="U168" s="345">
        <v>114.93</v>
      </c>
      <c r="V168" s="348">
        <v>3244</v>
      </c>
      <c r="W168" s="345">
        <v>149.91999999999999</v>
      </c>
      <c r="X168" s="348">
        <v>144</v>
      </c>
      <c r="Y168" s="345">
        <v>0</v>
      </c>
      <c r="Z168" s="345">
        <v>202</v>
      </c>
      <c r="AA168" s="345">
        <v>7</v>
      </c>
      <c r="AB168" s="345">
        <v>88</v>
      </c>
      <c r="AC168" s="345">
        <v>50</v>
      </c>
      <c r="AD168" s="345">
        <v>45757</v>
      </c>
      <c r="AE168" s="345">
        <v>143</v>
      </c>
      <c r="AF168" s="345">
        <v>231</v>
      </c>
      <c r="AG168" s="345">
        <v>374</v>
      </c>
    </row>
    <row r="169" spans="1:33" x14ac:dyDescent="0.2">
      <c r="A169" s="344" t="s">
        <v>394</v>
      </c>
      <c r="B169" s="344" t="s">
        <v>395</v>
      </c>
      <c r="C169" s="345">
        <v>1730</v>
      </c>
      <c r="D169" s="345">
        <v>0</v>
      </c>
      <c r="E169" s="345">
        <v>360</v>
      </c>
      <c r="F169" s="345">
        <v>232</v>
      </c>
      <c r="G169" s="345">
        <v>129</v>
      </c>
      <c r="H169" s="345">
        <v>2451</v>
      </c>
      <c r="I169" s="345">
        <v>2322</v>
      </c>
      <c r="J169" s="345">
        <v>0</v>
      </c>
      <c r="K169" s="345">
        <v>83.89</v>
      </c>
      <c r="L169" s="345">
        <v>81.31</v>
      </c>
      <c r="M169" s="345">
        <v>6.06</v>
      </c>
      <c r="N169" s="345">
        <v>86.84</v>
      </c>
      <c r="O169" s="348">
        <v>1626</v>
      </c>
      <c r="P169" s="345">
        <v>113.65</v>
      </c>
      <c r="Q169" s="345">
        <v>78.599999999999994</v>
      </c>
      <c r="R169" s="345">
        <v>90.91</v>
      </c>
      <c r="S169" s="345">
        <v>201.79</v>
      </c>
      <c r="T169" s="348">
        <v>393</v>
      </c>
      <c r="U169" s="345">
        <v>100.24</v>
      </c>
      <c r="V169" s="348">
        <v>99</v>
      </c>
      <c r="W169" s="345">
        <v>0</v>
      </c>
      <c r="X169" s="348">
        <v>0</v>
      </c>
      <c r="Y169" s="345">
        <v>0</v>
      </c>
      <c r="Z169" s="345">
        <v>1</v>
      </c>
      <c r="AA169" s="345">
        <v>5</v>
      </c>
      <c r="AB169" s="345">
        <v>4</v>
      </c>
      <c r="AC169" s="345">
        <v>3</v>
      </c>
      <c r="AD169" s="345">
        <v>1717</v>
      </c>
      <c r="AE169" s="345">
        <v>5</v>
      </c>
      <c r="AF169" s="345">
        <v>3</v>
      </c>
      <c r="AG169" s="345">
        <v>8</v>
      </c>
    </row>
    <row r="170" spans="1:33" x14ac:dyDescent="0.2">
      <c r="A170" s="344" t="s">
        <v>396</v>
      </c>
      <c r="B170" s="344" t="s">
        <v>397</v>
      </c>
      <c r="C170" s="345">
        <v>4038</v>
      </c>
      <c r="D170" s="345">
        <v>0</v>
      </c>
      <c r="E170" s="345">
        <v>365</v>
      </c>
      <c r="F170" s="345">
        <v>951</v>
      </c>
      <c r="G170" s="345">
        <v>1549</v>
      </c>
      <c r="H170" s="345">
        <v>6903</v>
      </c>
      <c r="I170" s="345">
        <v>5354</v>
      </c>
      <c r="J170" s="345">
        <v>28</v>
      </c>
      <c r="K170" s="345">
        <v>102.64</v>
      </c>
      <c r="L170" s="345">
        <v>99.46</v>
      </c>
      <c r="M170" s="345">
        <v>7.92</v>
      </c>
      <c r="N170" s="345">
        <v>109.13</v>
      </c>
      <c r="O170" s="348">
        <v>2843</v>
      </c>
      <c r="P170" s="345">
        <v>98.82</v>
      </c>
      <c r="Q170" s="345">
        <v>87.23</v>
      </c>
      <c r="R170" s="345">
        <v>40.659999999999997</v>
      </c>
      <c r="S170" s="345">
        <v>138.35</v>
      </c>
      <c r="T170" s="348">
        <v>1085</v>
      </c>
      <c r="U170" s="345">
        <v>137.93</v>
      </c>
      <c r="V170" s="348">
        <v>841</v>
      </c>
      <c r="W170" s="345">
        <v>145.62</v>
      </c>
      <c r="X170" s="348">
        <v>55</v>
      </c>
      <c r="Y170" s="345">
        <v>0</v>
      </c>
      <c r="Z170" s="345">
        <v>1</v>
      </c>
      <c r="AA170" s="345">
        <v>7</v>
      </c>
      <c r="AB170" s="345">
        <v>97</v>
      </c>
      <c r="AC170" s="345">
        <v>37</v>
      </c>
      <c r="AD170" s="345">
        <v>3651</v>
      </c>
      <c r="AE170" s="345">
        <v>51</v>
      </c>
      <c r="AF170" s="345">
        <v>11</v>
      </c>
      <c r="AG170" s="345">
        <v>62</v>
      </c>
    </row>
    <row r="171" spans="1:33" x14ac:dyDescent="0.2">
      <c r="A171" s="344" t="s">
        <v>398</v>
      </c>
      <c r="B171" s="344" t="s">
        <v>399</v>
      </c>
      <c r="C171" s="345">
        <v>662</v>
      </c>
      <c r="D171" s="345">
        <v>0</v>
      </c>
      <c r="E171" s="345">
        <v>39</v>
      </c>
      <c r="F171" s="345">
        <v>77</v>
      </c>
      <c r="G171" s="345">
        <v>230</v>
      </c>
      <c r="H171" s="345">
        <v>1008</v>
      </c>
      <c r="I171" s="345">
        <v>778</v>
      </c>
      <c r="J171" s="345">
        <v>0</v>
      </c>
      <c r="K171" s="345">
        <v>94.77</v>
      </c>
      <c r="L171" s="345">
        <v>91.5</v>
      </c>
      <c r="M171" s="345">
        <v>2.66</v>
      </c>
      <c r="N171" s="345">
        <v>96.85</v>
      </c>
      <c r="O171" s="348">
        <v>399</v>
      </c>
      <c r="P171" s="345">
        <v>93.76</v>
      </c>
      <c r="Q171" s="345">
        <v>81.790000000000006</v>
      </c>
      <c r="R171" s="345">
        <v>73.84</v>
      </c>
      <c r="S171" s="345">
        <v>166.32</v>
      </c>
      <c r="T171" s="348">
        <v>116</v>
      </c>
      <c r="U171" s="345">
        <v>117.8</v>
      </c>
      <c r="V171" s="348">
        <v>242</v>
      </c>
      <c r="W171" s="345">
        <v>0</v>
      </c>
      <c r="X171" s="348">
        <v>0</v>
      </c>
      <c r="Y171" s="345">
        <v>0</v>
      </c>
      <c r="Z171" s="345">
        <v>0</v>
      </c>
      <c r="AA171" s="345">
        <v>0</v>
      </c>
      <c r="AB171" s="345">
        <v>13</v>
      </c>
      <c r="AC171" s="345">
        <v>6</v>
      </c>
      <c r="AD171" s="345">
        <v>661</v>
      </c>
      <c r="AE171" s="345">
        <v>2</v>
      </c>
      <c r="AF171" s="345">
        <v>5</v>
      </c>
      <c r="AG171" s="345">
        <v>7</v>
      </c>
    </row>
    <row r="172" spans="1:33" x14ac:dyDescent="0.2">
      <c r="A172" s="344" t="s">
        <v>400</v>
      </c>
      <c r="B172" s="344" t="s">
        <v>401</v>
      </c>
      <c r="C172" s="345">
        <v>5180</v>
      </c>
      <c r="D172" s="345">
        <v>0</v>
      </c>
      <c r="E172" s="345">
        <v>289</v>
      </c>
      <c r="F172" s="345">
        <v>1011</v>
      </c>
      <c r="G172" s="345">
        <v>598</v>
      </c>
      <c r="H172" s="345">
        <v>7078</v>
      </c>
      <c r="I172" s="345">
        <v>6480</v>
      </c>
      <c r="J172" s="345">
        <v>0</v>
      </c>
      <c r="K172" s="345">
        <v>95.73</v>
      </c>
      <c r="L172" s="345">
        <v>94.8</v>
      </c>
      <c r="M172" s="345">
        <v>4.4000000000000004</v>
      </c>
      <c r="N172" s="345">
        <v>98.2</v>
      </c>
      <c r="O172" s="348">
        <v>4320</v>
      </c>
      <c r="P172" s="345">
        <v>88.59</v>
      </c>
      <c r="Q172" s="345">
        <v>85.2</v>
      </c>
      <c r="R172" s="345">
        <v>33.92</v>
      </c>
      <c r="S172" s="345">
        <v>122.11</v>
      </c>
      <c r="T172" s="348">
        <v>1096</v>
      </c>
      <c r="U172" s="345">
        <v>121.11</v>
      </c>
      <c r="V172" s="348">
        <v>763</v>
      </c>
      <c r="W172" s="345">
        <v>110</v>
      </c>
      <c r="X172" s="348">
        <v>48</v>
      </c>
      <c r="Y172" s="345">
        <v>0</v>
      </c>
      <c r="Z172" s="345">
        <v>7</v>
      </c>
      <c r="AA172" s="345">
        <v>23</v>
      </c>
      <c r="AB172" s="345">
        <v>31</v>
      </c>
      <c r="AC172" s="345">
        <v>17</v>
      </c>
      <c r="AD172" s="345">
        <v>5086</v>
      </c>
      <c r="AE172" s="345">
        <v>23</v>
      </c>
      <c r="AF172" s="345">
        <v>19</v>
      </c>
      <c r="AG172" s="345">
        <v>42</v>
      </c>
    </row>
    <row r="173" spans="1:33" x14ac:dyDescent="0.2">
      <c r="A173" s="344" t="s">
        <v>402</v>
      </c>
      <c r="B173" s="344" t="s">
        <v>403</v>
      </c>
      <c r="C173" s="345">
        <v>10371</v>
      </c>
      <c r="D173" s="345">
        <v>12</v>
      </c>
      <c r="E173" s="345">
        <v>401</v>
      </c>
      <c r="F173" s="345">
        <v>788</v>
      </c>
      <c r="G173" s="345">
        <v>1081</v>
      </c>
      <c r="H173" s="345">
        <v>12653</v>
      </c>
      <c r="I173" s="345">
        <v>11572</v>
      </c>
      <c r="J173" s="345">
        <v>33</v>
      </c>
      <c r="K173" s="345">
        <v>118.85</v>
      </c>
      <c r="L173" s="345">
        <v>117.38</v>
      </c>
      <c r="M173" s="345">
        <v>8.98</v>
      </c>
      <c r="N173" s="345">
        <v>124.9</v>
      </c>
      <c r="O173" s="348">
        <v>9082</v>
      </c>
      <c r="P173" s="345">
        <v>110.19</v>
      </c>
      <c r="Q173" s="345">
        <v>105.14</v>
      </c>
      <c r="R173" s="345">
        <v>39.42</v>
      </c>
      <c r="S173" s="345">
        <v>148.81</v>
      </c>
      <c r="T173" s="348">
        <v>895</v>
      </c>
      <c r="U173" s="345">
        <v>165.93</v>
      </c>
      <c r="V173" s="348">
        <v>1087</v>
      </c>
      <c r="W173" s="345">
        <v>175.28</v>
      </c>
      <c r="X173" s="348">
        <v>16</v>
      </c>
      <c r="Y173" s="345">
        <v>0</v>
      </c>
      <c r="Z173" s="345">
        <v>18</v>
      </c>
      <c r="AA173" s="345">
        <v>5</v>
      </c>
      <c r="AB173" s="345">
        <v>151</v>
      </c>
      <c r="AC173" s="345">
        <v>29</v>
      </c>
      <c r="AD173" s="345">
        <v>10254</v>
      </c>
      <c r="AE173" s="345">
        <v>112</v>
      </c>
      <c r="AF173" s="345">
        <v>178</v>
      </c>
      <c r="AG173" s="345">
        <v>290</v>
      </c>
    </row>
    <row r="174" spans="1:33" x14ac:dyDescent="0.2">
      <c r="A174" s="344" t="s">
        <v>404</v>
      </c>
      <c r="B174" s="344" t="s">
        <v>405</v>
      </c>
      <c r="C174" s="345">
        <v>1214</v>
      </c>
      <c r="D174" s="345">
        <v>0</v>
      </c>
      <c r="E174" s="345">
        <v>28</v>
      </c>
      <c r="F174" s="345">
        <v>280</v>
      </c>
      <c r="G174" s="345">
        <v>279</v>
      </c>
      <c r="H174" s="345">
        <v>1801</v>
      </c>
      <c r="I174" s="345">
        <v>1522</v>
      </c>
      <c r="J174" s="345">
        <v>0</v>
      </c>
      <c r="K174" s="345">
        <v>89.93</v>
      </c>
      <c r="L174" s="345">
        <v>86.83</v>
      </c>
      <c r="M174" s="345">
        <v>5.32</v>
      </c>
      <c r="N174" s="345">
        <v>94.6</v>
      </c>
      <c r="O174" s="348">
        <v>796</v>
      </c>
      <c r="P174" s="345">
        <v>80.38</v>
      </c>
      <c r="Q174" s="345">
        <v>76.760000000000005</v>
      </c>
      <c r="R174" s="345">
        <v>16.39</v>
      </c>
      <c r="S174" s="345">
        <v>96.77</v>
      </c>
      <c r="T174" s="348">
        <v>138</v>
      </c>
      <c r="U174" s="345">
        <v>129.80000000000001</v>
      </c>
      <c r="V174" s="348">
        <v>306</v>
      </c>
      <c r="W174" s="345">
        <v>0</v>
      </c>
      <c r="X174" s="348">
        <v>0</v>
      </c>
      <c r="Y174" s="345">
        <v>0</v>
      </c>
      <c r="Z174" s="345">
        <v>0</v>
      </c>
      <c r="AA174" s="345">
        <v>12</v>
      </c>
      <c r="AB174" s="345">
        <v>6</v>
      </c>
      <c r="AC174" s="345">
        <v>9</v>
      </c>
      <c r="AD174" s="345">
        <v>1096</v>
      </c>
      <c r="AE174" s="345">
        <v>4</v>
      </c>
      <c r="AF174" s="345">
        <v>3</v>
      </c>
      <c r="AG174" s="345">
        <v>7</v>
      </c>
    </row>
    <row r="175" spans="1:33" x14ac:dyDescent="0.2">
      <c r="A175" s="344" t="s">
        <v>406</v>
      </c>
      <c r="B175" s="344" t="s">
        <v>407</v>
      </c>
      <c r="C175" s="345">
        <v>1766</v>
      </c>
      <c r="D175" s="345">
        <v>0</v>
      </c>
      <c r="E175" s="345">
        <v>134</v>
      </c>
      <c r="F175" s="345">
        <v>210</v>
      </c>
      <c r="G175" s="345">
        <v>569</v>
      </c>
      <c r="H175" s="345">
        <v>2679</v>
      </c>
      <c r="I175" s="345">
        <v>2110</v>
      </c>
      <c r="J175" s="345">
        <v>2</v>
      </c>
      <c r="K175" s="345">
        <v>95.27</v>
      </c>
      <c r="L175" s="345">
        <v>93.44</v>
      </c>
      <c r="M175" s="345">
        <v>4.6500000000000004</v>
      </c>
      <c r="N175" s="345">
        <v>98.77</v>
      </c>
      <c r="O175" s="348">
        <v>944</v>
      </c>
      <c r="P175" s="345">
        <v>85.07</v>
      </c>
      <c r="Q175" s="345">
        <v>80.3</v>
      </c>
      <c r="R175" s="345">
        <v>43.57</v>
      </c>
      <c r="S175" s="345">
        <v>128.35</v>
      </c>
      <c r="T175" s="348">
        <v>303</v>
      </c>
      <c r="U175" s="345">
        <v>123.24</v>
      </c>
      <c r="V175" s="348">
        <v>758</v>
      </c>
      <c r="W175" s="345">
        <v>118.14</v>
      </c>
      <c r="X175" s="348">
        <v>1</v>
      </c>
      <c r="Y175" s="345">
        <v>14</v>
      </c>
      <c r="Z175" s="345">
        <v>0</v>
      </c>
      <c r="AA175" s="345">
        <v>0</v>
      </c>
      <c r="AB175" s="345">
        <v>87</v>
      </c>
      <c r="AC175" s="345">
        <v>6</v>
      </c>
      <c r="AD175" s="345">
        <v>1763</v>
      </c>
      <c r="AE175" s="345">
        <v>38</v>
      </c>
      <c r="AF175" s="345">
        <v>5</v>
      </c>
      <c r="AG175" s="345">
        <v>43</v>
      </c>
    </row>
    <row r="176" spans="1:33" x14ac:dyDescent="0.2">
      <c r="A176" s="344" t="s">
        <v>408</v>
      </c>
      <c r="B176" s="344" t="s">
        <v>409</v>
      </c>
      <c r="C176" s="345">
        <v>6487</v>
      </c>
      <c r="D176" s="345">
        <v>3</v>
      </c>
      <c r="E176" s="345">
        <v>203</v>
      </c>
      <c r="F176" s="345">
        <v>777</v>
      </c>
      <c r="G176" s="345">
        <v>817</v>
      </c>
      <c r="H176" s="345">
        <v>8287</v>
      </c>
      <c r="I176" s="345">
        <v>7470</v>
      </c>
      <c r="J176" s="345">
        <v>16</v>
      </c>
      <c r="K176" s="345">
        <v>118.83</v>
      </c>
      <c r="L176" s="345">
        <v>112.86</v>
      </c>
      <c r="M176" s="345">
        <v>6.22</v>
      </c>
      <c r="N176" s="345">
        <v>123.54</v>
      </c>
      <c r="O176" s="348">
        <v>4185</v>
      </c>
      <c r="P176" s="345">
        <v>103.23</v>
      </c>
      <c r="Q176" s="345">
        <v>95.57</v>
      </c>
      <c r="R176" s="345">
        <v>44.85</v>
      </c>
      <c r="S176" s="345">
        <v>146.72999999999999</v>
      </c>
      <c r="T176" s="348">
        <v>765</v>
      </c>
      <c r="U176" s="345">
        <v>177.3</v>
      </c>
      <c r="V176" s="348">
        <v>1885</v>
      </c>
      <c r="W176" s="345">
        <v>234.63</v>
      </c>
      <c r="X176" s="348">
        <v>6</v>
      </c>
      <c r="Y176" s="345">
        <v>52</v>
      </c>
      <c r="Z176" s="345">
        <v>2</v>
      </c>
      <c r="AA176" s="345">
        <v>2</v>
      </c>
      <c r="AB176" s="345">
        <v>71</v>
      </c>
      <c r="AC176" s="345">
        <v>14</v>
      </c>
      <c r="AD176" s="345">
        <v>6165</v>
      </c>
      <c r="AE176" s="345">
        <v>95</v>
      </c>
      <c r="AF176" s="345">
        <v>3</v>
      </c>
      <c r="AG176" s="345">
        <v>98</v>
      </c>
    </row>
    <row r="177" spans="1:33" x14ac:dyDescent="0.2">
      <c r="A177" s="344" t="s">
        <v>410</v>
      </c>
      <c r="B177" s="344" t="s">
        <v>411</v>
      </c>
      <c r="C177" s="345">
        <v>13106</v>
      </c>
      <c r="D177" s="345">
        <v>2</v>
      </c>
      <c r="E177" s="345">
        <v>619</v>
      </c>
      <c r="F177" s="345">
        <v>1364</v>
      </c>
      <c r="G177" s="345">
        <v>304</v>
      </c>
      <c r="H177" s="345">
        <v>15395</v>
      </c>
      <c r="I177" s="345">
        <v>15091</v>
      </c>
      <c r="J177" s="345">
        <v>9</v>
      </c>
      <c r="K177" s="345">
        <v>87.99</v>
      </c>
      <c r="L177" s="345">
        <v>87.86</v>
      </c>
      <c r="M177" s="345">
        <v>8.51</v>
      </c>
      <c r="N177" s="345">
        <v>90.72</v>
      </c>
      <c r="O177" s="348">
        <v>12163</v>
      </c>
      <c r="P177" s="345">
        <v>91.27</v>
      </c>
      <c r="Q177" s="345">
        <v>83.99</v>
      </c>
      <c r="R177" s="345">
        <v>66.58</v>
      </c>
      <c r="S177" s="345">
        <v>142.94</v>
      </c>
      <c r="T177" s="348">
        <v>1800</v>
      </c>
      <c r="U177" s="345">
        <v>102.53</v>
      </c>
      <c r="V177" s="348">
        <v>849</v>
      </c>
      <c r="W177" s="345">
        <v>161.54</v>
      </c>
      <c r="X177" s="348">
        <v>101</v>
      </c>
      <c r="Y177" s="345">
        <v>634</v>
      </c>
      <c r="Z177" s="345">
        <v>62</v>
      </c>
      <c r="AA177" s="345">
        <v>6</v>
      </c>
      <c r="AB177" s="345">
        <v>7</v>
      </c>
      <c r="AC177" s="345">
        <v>3</v>
      </c>
      <c r="AD177" s="345">
        <v>13076</v>
      </c>
      <c r="AE177" s="345">
        <v>69</v>
      </c>
      <c r="AF177" s="345">
        <v>334</v>
      </c>
      <c r="AG177" s="345">
        <v>403</v>
      </c>
    </row>
    <row r="178" spans="1:33" x14ac:dyDescent="0.2">
      <c r="A178" s="344" t="s">
        <v>412</v>
      </c>
      <c r="B178" s="344" t="s">
        <v>413</v>
      </c>
      <c r="C178" s="345">
        <v>9000</v>
      </c>
      <c r="D178" s="345">
        <v>161</v>
      </c>
      <c r="E178" s="345">
        <v>618</v>
      </c>
      <c r="F178" s="345">
        <v>585</v>
      </c>
      <c r="G178" s="345">
        <v>5993</v>
      </c>
      <c r="H178" s="345">
        <v>16357</v>
      </c>
      <c r="I178" s="345">
        <v>10364</v>
      </c>
      <c r="J178" s="345">
        <v>8</v>
      </c>
      <c r="K178" s="345">
        <v>101.77</v>
      </c>
      <c r="L178" s="345">
        <v>98.9</v>
      </c>
      <c r="M178" s="345">
        <v>7.1</v>
      </c>
      <c r="N178" s="345">
        <v>106.58</v>
      </c>
      <c r="O178" s="348">
        <v>6522</v>
      </c>
      <c r="P178" s="345">
        <v>108.47</v>
      </c>
      <c r="Q178" s="345">
        <v>96.56</v>
      </c>
      <c r="R178" s="345">
        <v>46.59</v>
      </c>
      <c r="S178" s="345">
        <v>153.63999999999999</v>
      </c>
      <c r="T178" s="348">
        <v>886</v>
      </c>
      <c r="U178" s="345">
        <v>157.46</v>
      </c>
      <c r="V178" s="348">
        <v>1781</v>
      </c>
      <c r="W178" s="345">
        <v>211.01</v>
      </c>
      <c r="X178" s="348">
        <v>210</v>
      </c>
      <c r="Y178" s="345">
        <v>235</v>
      </c>
      <c r="Z178" s="345">
        <v>0</v>
      </c>
      <c r="AA178" s="345">
        <v>52</v>
      </c>
      <c r="AB178" s="345">
        <v>323</v>
      </c>
      <c r="AC178" s="345">
        <v>90</v>
      </c>
      <c r="AD178" s="345">
        <v>8725</v>
      </c>
      <c r="AE178" s="345">
        <v>113</v>
      </c>
      <c r="AF178" s="345">
        <v>34</v>
      </c>
      <c r="AG178" s="345">
        <v>147</v>
      </c>
    </row>
    <row r="179" spans="1:33" x14ac:dyDescent="0.2">
      <c r="A179" s="344" t="s">
        <v>414</v>
      </c>
      <c r="B179" s="344" t="s">
        <v>415</v>
      </c>
      <c r="C179" s="345">
        <v>3535</v>
      </c>
      <c r="D179" s="345">
        <v>11</v>
      </c>
      <c r="E179" s="345">
        <v>241</v>
      </c>
      <c r="F179" s="345">
        <v>629</v>
      </c>
      <c r="G179" s="345">
        <v>302</v>
      </c>
      <c r="H179" s="345">
        <v>4718</v>
      </c>
      <c r="I179" s="345">
        <v>4416</v>
      </c>
      <c r="J179" s="345">
        <v>1</v>
      </c>
      <c r="K179" s="345">
        <v>115.41</v>
      </c>
      <c r="L179" s="345">
        <v>117.32</v>
      </c>
      <c r="M179" s="345">
        <v>6.24</v>
      </c>
      <c r="N179" s="345">
        <v>120.09</v>
      </c>
      <c r="O179" s="348">
        <v>3014</v>
      </c>
      <c r="P179" s="345">
        <v>104.23</v>
      </c>
      <c r="Q179" s="345">
        <v>97.8</v>
      </c>
      <c r="R179" s="345">
        <v>46.13</v>
      </c>
      <c r="S179" s="345">
        <v>147.51</v>
      </c>
      <c r="T179" s="348">
        <v>695</v>
      </c>
      <c r="U179" s="345">
        <v>168.35</v>
      </c>
      <c r="V179" s="348">
        <v>490</v>
      </c>
      <c r="W179" s="345">
        <v>0</v>
      </c>
      <c r="X179" s="348">
        <v>0</v>
      </c>
      <c r="Y179" s="345">
        <v>0</v>
      </c>
      <c r="Z179" s="345">
        <v>5</v>
      </c>
      <c r="AA179" s="345">
        <v>1</v>
      </c>
      <c r="AB179" s="345">
        <v>1</v>
      </c>
      <c r="AC179" s="345">
        <v>14</v>
      </c>
      <c r="AD179" s="345">
        <v>3529</v>
      </c>
      <c r="AE179" s="345">
        <v>85</v>
      </c>
      <c r="AF179" s="345">
        <v>0</v>
      </c>
      <c r="AG179" s="345">
        <v>85</v>
      </c>
    </row>
    <row r="180" spans="1:33" x14ac:dyDescent="0.2">
      <c r="A180" s="344" t="s">
        <v>416</v>
      </c>
      <c r="B180" s="344" t="s">
        <v>417</v>
      </c>
      <c r="C180" s="345">
        <v>2868</v>
      </c>
      <c r="D180" s="345">
        <v>8</v>
      </c>
      <c r="E180" s="345">
        <v>181</v>
      </c>
      <c r="F180" s="345">
        <v>412</v>
      </c>
      <c r="G180" s="345">
        <v>408</v>
      </c>
      <c r="H180" s="345">
        <v>3877</v>
      </c>
      <c r="I180" s="345">
        <v>3469</v>
      </c>
      <c r="J180" s="345">
        <v>1</v>
      </c>
      <c r="K180" s="345">
        <v>115.16</v>
      </c>
      <c r="L180" s="345">
        <v>111.53</v>
      </c>
      <c r="M180" s="345">
        <v>4.0999999999999996</v>
      </c>
      <c r="N180" s="345">
        <v>118.07</v>
      </c>
      <c r="O180" s="348">
        <v>2389</v>
      </c>
      <c r="P180" s="345">
        <v>105.37</v>
      </c>
      <c r="Q180" s="345">
        <v>90.98</v>
      </c>
      <c r="R180" s="345">
        <v>38.799999999999997</v>
      </c>
      <c r="S180" s="345">
        <v>142.91999999999999</v>
      </c>
      <c r="T180" s="348">
        <v>463</v>
      </c>
      <c r="U180" s="345">
        <v>150.52000000000001</v>
      </c>
      <c r="V180" s="348">
        <v>317</v>
      </c>
      <c r="W180" s="345">
        <v>144.66</v>
      </c>
      <c r="X180" s="348">
        <v>4</v>
      </c>
      <c r="Y180" s="345">
        <v>0</v>
      </c>
      <c r="Z180" s="345">
        <v>0</v>
      </c>
      <c r="AA180" s="345">
        <v>1</v>
      </c>
      <c r="AB180" s="345">
        <v>27</v>
      </c>
      <c r="AC180" s="345">
        <v>14</v>
      </c>
      <c r="AD180" s="345">
        <v>2776</v>
      </c>
      <c r="AE180" s="345">
        <v>8</v>
      </c>
      <c r="AF180" s="345">
        <v>12</v>
      </c>
      <c r="AG180" s="345">
        <v>20</v>
      </c>
    </row>
    <row r="181" spans="1:33" x14ac:dyDescent="0.2">
      <c r="A181" s="344" t="s">
        <v>418</v>
      </c>
      <c r="B181" s="344" t="s">
        <v>419</v>
      </c>
      <c r="C181" s="345">
        <v>2061</v>
      </c>
      <c r="D181" s="345">
        <v>0</v>
      </c>
      <c r="E181" s="345">
        <v>326</v>
      </c>
      <c r="F181" s="345">
        <v>264</v>
      </c>
      <c r="G181" s="345">
        <v>396</v>
      </c>
      <c r="H181" s="345">
        <v>3047</v>
      </c>
      <c r="I181" s="345">
        <v>2651</v>
      </c>
      <c r="J181" s="345">
        <v>1</v>
      </c>
      <c r="K181" s="345">
        <v>89.26</v>
      </c>
      <c r="L181" s="345">
        <v>86.06</v>
      </c>
      <c r="M181" s="345">
        <v>4.79</v>
      </c>
      <c r="N181" s="345">
        <v>91.97</v>
      </c>
      <c r="O181" s="348">
        <v>1562</v>
      </c>
      <c r="P181" s="345">
        <v>110.03</v>
      </c>
      <c r="Q181" s="345">
        <v>79.17</v>
      </c>
      <c r="R181" s="345">
        <v>72.19</v>
      </c>
      <c r="S181" s="345">
        <v>182.06</v>
      </c>
      <c r="T181" s="348">
        <v>439</v>
      </c>
      <c r="U181" s="345">
        <v>101.38</v>
      </c>
      <c r="V181" s="348">
        <v>413</v>
      </c>
      <c r="W181" s="345">
        <v>163.95</v>
      </c>
      <c r="X181" s="348">
        <v>5</v>
      </c>
      <c r="Y181" s="345">
        <v>0</v>
      </c>
      <c r="Z181" s="345">
        <v>0</v>
      </c>
      <c r="AA181" s="345">
        <v>5</v>
      </c>
      <c r="AB181" s="345">
        <v>24</v>
      </c>
      <c r="AC181" s="345">
        <v>9</v>
      </c>
      <c r="AD181" s="345">
        <v>2061</v>
      </c>
      <c r="AE181" s="345">
        <v>21</v>
      </c>
      <c r="AF181" s="345">
        <v>40</v>
      </c>
      <c r="AG181" s="345">
        <v>61</v>
      </c>
    </row>
    <row r="182" spans="1:33" x14ac:dyDescent="0.2">
      <c r="A182" s="344" t="s">
        <v>420</v>
      </c>
      <c r="B182" s="344" t="s">
        <v>421</v>
      </c>
      <c r="C182" s="345">
        <v>7323</v>
      </c>
      <c r="D182" s="345">
        <v>137</v>
      </c>
      <c r="E182" s="345">
        <v>1502</v>
      </c>
      <c r="F182" s="345">
        <v>1615</v>
      </c>
      <c r="G182" s="345">
        <v>412</v>
      </c>
      <c r="H182" s="345">
        <v>10989</v>
      </c>
      <c r="I182" s="345">
        <v>10577</v>
      </c>
      <c r="J182" s="345">
        <v>0</v>
      </c>
      <c r="K182" s="345">
        <v>80.09</v>
      </c>
      <c r="L182" s="345">
        <v>78.08</v>
      </c>
      <c r="M182" s="345">
        <v>9.94</v>
      </c>
      <c r="N182" s="345">
        <v>88.25</v>
      </c>
      <c r="O182" s="348">
        <v>5650</v>
      </c>
      <c r="P182" s="345">
        <v>87.61</v>
      </c>
      <c r="Q182" s="345">
        <v>74.41</v>
      </c>
      <c r="R182" s="345">
        <v>66.37</v>
      </c>
      <c r="S182" s="345">
        <v>152.36000000000001</v>
      </c>
      <c r="T182" s="348">
        <v>2306</v>
      </c>
      <c r="U182" s="345">
        <v>104.73</v>
      </c>
      <c r="V182" s="348">
        <v>1274</v>
      </c>
      <c r="W182" s="345">
        <v>206.04</v>
      </c>
      <c r="X182" s="348">
        <v>361</v>
      </c>
      <c r="Y182" s="345">
        <v>0</v>
      </c>
      <c r="Z182" s="345">
        <v>10</v>
      </c>
      <c r="AA182" s="345">
        <v>2</v>
      </c>
      <c r="AB182" s="345">
        <v>14</v>
      </c>
      <c r="AC182" s="345">
        <v>17</v>
      </c>
      <c r="AD182" s="345">
        <v>6751</v>
      </c>
      <c r="AE182" s="345">
        <v>69</v>
      </c>
      <c r="AF182" s="345">
        <v>52</v>
      </c>
      <c r="AG182" s="345">
        <v>121</v>
      </c>
    </row>
    <row r="183" spans="1:33" x14ac:dyDescent="0.2">
      <c r="A183" s="344" t="s">
        <v>422</v>
      </c>
      <c r="B183" s="344" t="s">
        <v>423</v>
      </c>
      <c r="C183" s="345">
        <v>8687</v>
      </c>
      <c r="D183" s="345">
        <v>0</v>
      </c>
      <c r="E183" s="345">
        <v>120</v>
      </c>
      <c r="F183" s="345">
        <v>828</v>
      </c>
      <c r="G183" s="345">
        <v>274</v>
      </c>
      <c r="H183" s="345">
        <v>9909</v>
      </c>
      <c r="I183" s="345">
        <v>9635</v>
      </c>
      <c r="J183" s="345">
        <v>35</v>
      </c>
      <c r="K183" s="345">
        <v>79.62</v>
      </c>
      <c r="L183" s="345">
        <v>80.89</v>
      </c>
      <c r="M183" s="345">
        <v>4.55</v>
      </c>
      <c r="N183" s="345">
        <v>83.95</v>
      </c>
      <c r="O183" s="348">
        <v>8030</v>
      </c>
      <c r="P183" s="345">
        <v>81.92</v>
      </c>
      <c r="Q183" s="345">
        <v>77.959999999999994</v>
      </c>
      <c r="R183" s="345">
        <v>29.26</v>
      </c>
      <c r="S183" s="345">
        <v>111.18</v>
      </c>
      <c r="T183" s="348">
        <v>794</v>
      </c>
      <c r="U183" s="345">
        <v>99.65</v>
      </c>
      <c r="V183" s="348">
        <v>552</v>
      </c>
      <c r="W183" s="345">
        <v>256.68</v>
      </c>
      <c r="X183" s="348">
        <v>70</v>
      </c>
      <c r="Y183" s="345">
        <v>0</v>
      </c>
      <c r="Z183" s="345">
        <v>17</v>
      </c>
      <c r="AA183" s="345">
        <v>17</v>
      </c>
      <c r="AB183" s="345">
        <v>29</v>
      </c>
      <c r="AC183" s="345">
        <v>3</v>
      </c>
      <c r="AD183" s="345">
        <v>8687</v>
      </c>
      <c r="AE183" s="345">
        <v>108</v>
      </c>
      <c r="AF183" s="345">
        <v>50</v>
      </c>
      <c r="AG183" s="345">
        <v>158</v>
      </c>
    </row>
    <row r="184" spans="1:33" x14ac:dyDescent="0.2">
      <c r="A184" s="344" t="s">
        <v>424</v>
      </c>
      <c r="B184" s="344" t="s">
        <v>425</v>
      </c>
      <c r="C184" s="345">
        <v>12888</v>
      </c>
      <c r="D184" s="345">
        <v>22</v>
      </c>
      <c r="E184" s="345">
        <v>915</v>
      </c>
      <c r="F184" s="345">
        <v>917</v>
      </c>
      <c r="G184" s="345">
        <v>2825</v>
      </c>
      <c r="H184" s="345">
        <v>17567</v>
      </c>
      <c r="I184" s="345">
        <v>14742</v>
      </c>
      <c r="J184" s="345">
        <v>129</v>
      </c>
      <c r="K184" s="345">
        <v>122.52</v>
      </c>
      <c r="L184" s="345">
        <v>123.14</v>
      </c>
      <c r="M184" s="345">
        <v>11.75</v>
      </c>
      <c r="N184" s="345">
        <v>130.09</v>
      </c>
      <c r="O184" s="348">
        <v>9524</v>
      </c>
      <c r="P184" s="345">
        <v>106.63</v>
      </c>
      <c r="Q184" s="345">
        <v>99.16</v>
      </c>
      <c r="R184" s="345">
        <v>63.96</v>
      </c>
      <c r="S184" s="345">
        <v>168.01</v>
      </c>
      <c r="T184" s="348">
        <v>1561</v>
      </c>
      <c r="U184" s="345">
        <v>213.12</v>
      </c>
      <c r="V184" s="348">
        <v>1524</v>
      </c>
      <c r="W184" s="345">
        <v>200.11</v>
      </c>
      <c r="X184" s="348">
        <v>53</v>
      </c>
      <c r="Y184" s="345">
        <v>0</v>
      </c>
      <c r="Z184" s="345">
        <v>10</v>
      </c>
      <c r="AA184" s="345">
        <v>2</v>
      </c>
      <c r="AB184" s="345">
        <v>218</v>
      </c>
      <c r="AC184" s="345">
        <v>116</v>
      </c>
      <c r="AD184" s="345">
        <v>12269</v>
      </c>
      <c r="AE184" s="345">
        <v>505</v>
      </c>
      <c r="AF184" s="345">
        <v>37</v>
      </c>
      <c r="AG184" s="345">
        <v>542</v>
      </c>
    </row>
    <row r="185" spans="1:33" x14ac:dyDescent="0.2">
      <c r="A185" s="344" t="s">
        <v>426</v>
      </c>
      <c r="B185" s="344" t="s">
        <v>427</v>
      </c>
      <c r="C185" s="345">
        <v>4086</v>
      </c>
      <c r="D185" s="345">
        <v>0</v>
      </c>
      <c r="E185" s="345">
        <v>73</v>
      </c>
      <c r="F185" s="345">
        <v>795</v>
      </c>
      <c r="G185" s="345">
        <v>445</v>
      </c>
      <c r="H185" s="345">
        <v>5399</v>
      </c>
      <c r="I185" s="345">
        <v>4954</v>
      </c>
      <c r="J185" s="345">
        <v>3</v>
      </c>
      <c r="K185" s="345">
        <v>87.51</v>
      </c>
      <c r="L185" s="345">
        <v>86.82</v>
      </c>
      <c r="M185" s="345">
        <v>3.97</v>
      </c>
      <c r="N185" s="345">
        <v>90.2</v>
      </c>
      <c r="O185" s="348">
        <v>3529</v>
      </c>
      <c r="P185" s="345">
        <v>78</v>
      </c>
      <c r="Q185" s="345">
        <v>76.17</v>
      </c>
      <c r="R185" s="345">
        <v>22.82</v>
      </c>
      <c r="S185" s="345">
        <v>100.76</v>
      </c>
      <c r="T185" s="348">
        <v>758</v>
      </c>
      <c r="U185" s="345">
        <v>118.28</v>
      </c>
      <c r="V185" s="348">
        <v>488</v>
      </c>
      <c r="W185" s="345">
        <v>135.83000000000001</v>
      </c>
      <c r="X185" s="348">
        <v>31</v>
      </c>
      <c r="Y185" s="345">
        <v>37</v>
      </c>
      <c r="Z185" s="345">
        <v>7</v>
      </c>
      <c r="AA185" s="345">
        <v>3</v>
      </c>
      <c r="AB185" s="345">
        <v>36</v>
      </c>
      <c r="AC185" s="345">
        <v>12</v>
      </c>
      <c r="AD185" s="345">
        <v>4049</v>
      </c>
      <c r="AE185" s="345">
        <v>9</v>
      </c>
      <c r="AF185" s="345">
        <v>29</v>
      </c>
      <c r="AG185" s="345">
        <v>38</v>
      </c>
    </row>
    <row r="186" spans="1:33" x14ac:dyDescent="0.2">
      <c r="A186" s="344" t="s">
        <v>428</v>
      </c>
      <c r="B186" s="344" t="s">
        <v>429</v>
      </c>
      <c r="C186" s="345">
        <v>937</v>
      </c>
      <c r="D186" s="345">
        <v>1</v>
      </c>
      <c r="E186" s="345">
        <v>90</v>
      </c>
      <c r="F186" s="345">
        <v>117</v>
      </c>
      <c r="G186" s="345">
        <v>258</v>
      </c>
      <c r="H186" s="345">
        <v>1403</v>
      </c>
      <c r="I186" s="345">
        <v>1145</v>
      </c>
      <c r="J186" s="345">
        <v>2</v>
      </c>
      <c r="K186" s="345">
        <v>92.47</v>
      </c>
      <c r="L186" s="345">
        <v>90.57</v>
      </c>
      <c r="M186" s="345">
        <v>3.19</v>
      </c>
      <c r="N186" s="345">
        <v>93.92</v>
      </c>
      <c r="O186" s="348">
        <v>538</v>
      </c>
      <c r="P186" s="345">
        <v>107.68</v>
      </c>
      <c r="Q186" s="345">
        <v>88.8</v>
      </c>
      <c r="R186" s="345">
        <v>41.06</v>
      </c>
      <c r="S186" s="345">
        <v>146.74</v>
      </c>
      <c r="T186" s="348">
        <v>205</v>
      </c>
      <c r="U186" s="345">
        <v>106.28</v>
      </c>
      <c r="V186" s="348">
        <v>375</v>
      </c>
      <c r="W186" s="345">
        <v>0</v>
      </c>
      <c r="X186" s="348">
        <v>0</v>
      </c>
      <c r="Y186" s="345">
        <v>0</v>
      </c>
      <c r="Z186" s="345">
        <v>1</v>
      </c>
      <c r="AA186" s="345">
        <v>0</v>
      </c>
      <c r="AB186" s="345">
        <v>49</v>
      </c>
      <c r="AC186" s="345">
        <v>6</v>
      </c>
      <c r="AD186" s="345">
        <v>750</v>
      </c>
      <c r="AE186" s="345">
        <v>2</v>
      </c>
      <c r="AF186" s="345">
        <v>2</v>
      </c>
      <c r="AG186" s="345">
        <v>4</v>
      </c>
    </row>
    <row r="187" spans="1:33" x14ac:dyDescent="0.2">
      <c r="A187" s="344" t="s">
        <v>430</v>
      </c>
      <c r="B187" s="344" t="s">
        <v>431</v>
      </c>
      <c r="C187" s="345">
        <v>7924</v>
      </c>
      <c r="D187" s="345">
        <v>0</v>
      </c>
      <c r="E187" s="345">
        <v>548</v>
      </c>
      <c r="F187" s="345">
        <v>1096</v>
      </c>
      <c r="G187" s="345">
        <v>247</v>
      </c>
      <c r="H187" s="345">
        <v>9815</v>
      </c>
      <c r="I187" s="345">
        <v>9568</v>
      </c>
      <c r="J187" s="345">
        <v>73</v>
      </c>
      <c r="K187" s="345">
        <v>80.680000000000007</v>
      </c>
      <c r="L187" s="345">
        <v>79.69</v>
      </c>
      <c r="M187" s="345">
        <v>2.84</v>
      </c>
      <c r="N187" s="345">
        <v>82.76</v>
      </c>
      <c r="O187" s="348">
        <v>7841</v>
      </c>
      <c r="P187" s="345">
        <v>98.5</v>
      </c>
      <c r="Q187" s="345">
        <v>69.75</v>
      </c>
      <c r="R187" s="345">
        <v>37.770000000000003</v>
      </c>
      <c r="S187" s="345">
        <v>131.41999999999999</v>
      </c>
      <c r="T187" s="348">
        <v>1386</v>
      </c>
      <c r="U187" s="345">
        <v>95.6</v>
      </c>
      <c r="V187" s="348">
        <v>61</v>
      </c>
      <c r="W187" s="345">
        <v>281.77999999999997</v>
      </c>
      <c r="X187" s="348">
        <v>60</v>
      </c>
      <c r="Y187" s="345">
        <v>0</v>
      </c>
      <c r="Z187" s="345">
        <v>18</v>
      </c>
      <c r="AA187" s="345">
        <v>1</v>
      </c>
      <c r="AB187" s="345">
        <v>3</v>
      </c>
      <c r="AC187" s="345">
        <v>5</v>
      </c>
      <c r="AD187" s="345">
        <v>7922</v>
      </c>
      <c r="AE187" s="345">
        <v>61</v>
      </c>
      <c r="AF187" s="345">
        <v>46</v>
      </c>
      <c r="AG187" s="345">
        <v>107</v>
      </c>
    </row>
    <row r="188" spans="1:33" x14ac:dyDescent="0.2">
      <c r="A188" s="344" t="s">
        <v>432</v>
      </c>
      <c r="B188" s="344" t="s">
        <v>433</v>
      </c>
      <c r="C188" s="345">
        <v>9491</v>
      </c>
      <c r="D188" s="345">
        <v>5</v>
      </c>
      <c r="E188" s="345">
        <v>222</v>
      </c>
      <c r="F188" s="345">
        <v>1024</v>
      </c>
      <c r="G188" s="345">
        <v>611</v>
      </c>
      <c r="H188" s="345">
        <v>11353</v>
      </c>
      <c r="I188" s="345">
        <v>10742</v>
      </c>
      <c r="J188" s="345">
        <v>1</v>
      </c>
      <c r="K188" s="345">
        <v>112.17</v>
      </c>
      <c r="L188" s="345">
        <v>118.15</v>
      </c>
      <c r="M188" s="345">
        <v>5.4</v>
      </c>
      <c r="N188" s="345">
        <v>113.89</v>
      </c>
      <c r="O188" s="348">
        <v>9066</v>
      </c>
      <c r="P188" s="345">
        <v>101.4</v>
      </c>
      <c r="Q188" s="345">
        <v>100.14</v>
      </c>
      <c r="R188" s="345">
        <v>27.15</v>
      </c>
      <c r="S188" s="345">
        <v>128.32</v>
      </c>
      <c r="T188" s="348">
        <v>1208</v>
      </c>
      <c r="U188" s="345">
        <v>152.4</v>
      </c>
      <c r="V188" s="348">
        <v>363</v>
      </c>
      <c r="W188" s="345">
        <v>0</v>
      </c>
      <c r="X188" s="348">
        <v>0</v>
      </c>
      <c r="Y188" s="345">
        <v>0</v>
      </c>
      <c r="Z188" s="345">
        <v>19</v>
      </c>
      <c r="AA188" s="345">
        <v>3</v>
      </c>
      <c r="AB188" s="345">
        <v>25</v>
      </c>
      <c r="AC188" s="345">
        <v>15</v>
      </c>
      <c r="AD188" s="345">
        <v>9450</v>
      </c>
      <c r="AE188" s="345">
        <v>66</v>
      </c>
      <c r="AF188" s="345">
        <v>13</v>
      </c>
      <c r="AG188" s="345">
        <v>79</v>
      </c>
    </row>
    <row r="189" spans="1:33" x14ac:dyDescent="0.2">
      <c r="A189" s="344" t="s">
        <v>434</v>
      </c>
      <c r="B189" s="344" t="s">
        <v>435</v>
      </c>
      <c r="C189" s="345">
        <v>1225</v>
      </c>
      <c r="D189" s="345">
        <v>0</v>
      </c>
      <c r="E189" s="345">
        <v>146</v>
      </c>
      <c r="F189" s="345">
        <v>98</v>
      </c>
      <c r="G189" s="345">
        <v>508</v>
      </c>
      <c r="H189" s="345">
        <v>1977</v>
      </c>
      <c r="I189" s="345">
        <v>1469</v>
      </c>
      <c r="J189" s="345">
        <v>4</v>
      </c>
      <c r="K189" s="345">
        <v>90.12</v>
      </c>
      <c r="L189" s="345">
        <v>88.29</v>
      </c>
      <c r="M189" s="345">
        <v>5.07</v>
      </c>
      <c r="N189" s="345">
        <v>94.26</v>
      </c>
      <c r="O189" s="348">
        <v>749</v>
      </c>
      <c r="P189" s="345">
        <v>115.84</v>
      </c>
      <c r="Q189" s="345">
        <v>80.66</v>
      </c>
      <c r="R189" s="345">
        <v>71.319999999999993</v>
      </c>
      <c r="S189" s="345">
        <v>187.17</v>
      </c>
      <c r="T189" s="348">
        <v>230</v>
      </c>
      <c r="U189" s="345">
        <v>106.49</v>
      </c>
      <c r="V189" s="348">
        <v>351</v>
      </c>
      <c r="W189" s="345">
        <v>119.09</v>
      </c>
      <c r="X189" s="348">
        <v>1</v>
      </c>
      <c r="Y189" s="345">
        <v>14</v>
      </c>
      <c r="Z189" s="345">
        <v>1</v>
      </c>
      <c r="AA189" s="345">
        <v>0</v>
      </c>
      <c r="AB189" s="345">
        <v>36</v>
      </c>
      <c r="AC189" s="345">
        <v>5</v>
      </c>
      <c r="AD189" s="345">
        <v>1142</v>
      </c>
      <c r="AE189" s="345">
        <v>6</v>
      </c>
      <c r="AF189" s="345">
        <v>5</v>
      </c>
      <c r="AG189" s="345">
        <v>11</v>
      </c>
    </row>
    <row r="190" spans="1:33" x14ac:dyDescent="0.2">
      <c r="A190" s="344" t="s">
        <v>436</v>
      </c>
      <c r="B190" s="344" t="s">
        <v>437</v>
      </c>
      <c r="C190" s="345">
        <v>11025</v>
      </c>
      <c r="D190" s="345">
        <v>2</v>
      </c>
      <c r="E190" s="345">
        <v>274</v>
      </c>
      <c r="F190" s="345">
        <v>308</v>
      </c>
      <c r="G190" s="345">
        <v>80</v>
      </c>
      <c r="H190" s="345">
        <v>11689</v>
      </c>
      <c r="I190" s="345">
        <v>11609</v>
      </c>
      <c r="J190" s="345">
        <v>1</v>
      </c>
      <c r="K190" s="345">
        <v>81.61</v>
      </c>
      <c r="L190" s="345">
        <v>81.38</v>
      </c>
      <c r="M190" s="345">
        <v>3.48</v>
      </c>
      <c r="N190" s="345">
        <v>83.52</v>
      </c>
      <c r="O190" s="348">
        <v>10266</v>
      </c>
      <c r="P190" s="345">
        <v>103.62</v>
      </c>
      <c r="Q190" s="345">
        <v>80.19</v>
      </c>
      <c r="R190" s="345">
        <v>62.39</v>
      </c>
      <c r="S190" s="345">
        <v>160.04</v>
      </c>
      <c r="T190" s="348">
        <v>481</v>
      </c>
      <c r="U190" s="345">
        <v>102.51</v>
      </c>
      <c r="V190" s="348">
        <v>677</v>
      </c>
      <c r="W190" s="345">
        <v>210.26</v>
      </c>
      <c r="X190" s="348">
        <v>73</v>
      </c>
      <c r="Y190" s="345">
        <v>0</v>
      </c>
      <c r="Z190" s="345">
        <v>41</v>
      </c>
      <c r="AA190" s="345">
        <v>7</v>
      </c>
      <c r="AB190" s="345">
        <v>0</v>
      </c>
      <c r="AC190" s="345">
        <v>0</v>
      </c>
      <c r="AD190" s="345">
        <v>10986</v>
      </c>
      <c r="AE190" s="345">
        <v>107</v>
      </c>
      <c r="AF190" s="345">
        <v>18</v>
      </c>
      <c r="AG190" s="345">
        <v>125</v>
      </c>
    </row>
    <row r="191" spans="1:33" x14ac:dyDescent="0.2">
      <c r="A191" s="344" t="s">
        <v>438</v>
      </c>
      <c r="B191" s="344" t="s">
        <v>439</v>
      </c>
      <c r="C191" s="345">
        <v>5445</v>
      </c>
      <c r="D191" s="345">
        <v>0</v>
      </c>
      <c r="E191" s="345">
        <v>139</v>
      </c>
      <c r="F191" s="345">
        <v>675</v>
      </c>
      <c r="G191" s="345">
        <v>299</v>
      </c>
      <c r="H191" s="345">
        <v>6558</v>
      </c>
      <c r="I191" s="345">
        <v>6259</v>
      </c>
      <c r="J191" s="345">
        <v>0</v>
      </c>
      <c r="K191" s="345">
        <v>90.38</v>
      </c>
      <c r="L191" s="345">
        <v>89.41</v>
      </c>
      <c r="M191" s="345">
        <v>2.75</v>
      </c>
      <c r="N191" s="345">
        <v>92.39</v>
      </c>
      <c r="O191" s="348">
        <v>4675</v>
      </c>
      <c r="P191" s="345">
        <v>91.47</v>
      </c>
      <c r="Q191" s="345">
        <v>79.92</v>
      </c>
      <c r="R191" s="345">
        <v>26.29</v>
      </c>
      <c r="S191" s="345">
        <v>117.76</v>
      </c>
      <c r="T191" s="348">
        <v>792</v>
      </c>
      <c r="U191" s="345">
        <v>110.63</v>
      </c>
      <c r="V191" s="348">
        <v>742</v>
      </c>
      <c r="W191" s="345">
        <v>96.89</v>
      </c>
      <c r="X191" s="348">
        <v>9</v>
      </c>
      <c r="Y191" s="345">
        <v>1</v>
      </c>
      <c r="Z191" s="345">
        <v>19</v>
      </c>
      <c r="AA191" s="345">
        <v>46</v>
      </c>
      <c r="AB191" s="345">
        <v>81</v>
      </c>
      <c r="AC191" s="345">
        <v>7</v>
      </c>
      <c r="AD191" s="345">
        <v>5423</v>
      </c>
      <c r="AE191" s="345">
        <v>16</v>
      </c>
      <c r="AF191" s="345">
        <v>35</v>
      </c>
      <c r="AG191" s="345">
        <v>51</v>
      </c>
    </row>
    <row r="192" spans="1:33" x14ac:dyDescent="0.2">
      <c r="A192" s="344" t="s">
        <v>799</v>
      </c>
      <c r="B192" s="344" t="s">
        <v>797</v>
      </c>
      <c r="C192" s="345">
        <v>14190</v>
      </c>
      <c r="D192" s="345">
        <v>215</v>
      </c>
      <c r="E192" s="345">
        <v>754</v>
      </c>
      <c r="F192" s="345">
        <v>992</v>
      </c>
      <c r="G192" s="345">
        <v>1639</v>
      </c>
      <c r="H192" s="345">
        <v>17790</v>
      </c>
      <c r="I192" s="345">
        <v>16151</v>
      </c>
      <c r="J192" s="345">
        <v>4</v>
      </c>
      <c r="K192" s="345">
        <v>92.91</v>
      </c>
      <c r="L192" s="345">
        <v>91.2</v>
      </c>
      <c r="M192" s="345">
        <v>6.97</v>
      </c>
      <c r="N192" s="345">
        <v>96.17</v>
      </c>
      <c r="O192" s="348">
        <v>11928</v>
      </c>
      <c r="P192" s="345">
        <v>92.79</v>
      </c>
      <c r="Q192" s="345">
        <v>79.75</v>
      </c>
      <c r="R192" s="345">
        <v>49.56</v>
      </c>
      <c r="S192" s="345">
        <v>139.54</v>
      </c>
      <c r="T192" s="348">
        <v>1635</v>
      </c>
      <c r="U192" s="345">
        <v>113.02</v>
      </c>
      <c r="V192" s="348">
        <v>1852</v>
      </c>
      <c r="W192" s="345">
        <v>161.02000000000001</v>
      </c>
      <c r="X192" s="348">
        <v>7</v>
      </c>
      <c r="Y192" s="345">
        <v>1</v>
      </c>
      <c r="Z192" s="345">
        <v>34</v>
      </c>
      <c r="AA192" s="345">
        <v>6</v>
      </c>
      <c r="AB192" s="345">
        <v>70</v>
      </c>
      <c r="AC192" s="345">
        <v>45</v>
      </c>
      <c r="AD192" s="345">
        <v>14101</v>
      </c>
      <c r="AE192" s="345">
        <v>146</v>
      </c>
      <c r="AF192" s="345">
        <v>82</v>
      </c>
      <c r="AG192" s="345">
        <v>228</v>
      </c>
    </row>
    <row r="193" spans="1:33" x14ac:dyDescent="0.2">
      <c r="A193" s="344" t="s">
        <v>440</v>
      </c>
      <c r="B193" s="344" t="s">
        <v>441</v>
      </c>
      <c r="C193" s="345">
        <v>8544</v>
      </c>
      <c r="D193" s="345">
        <v>66</v>
      </c>
      <c r="E193" s="345">
        <v>380</v>
      </c>
      <c r="F193" s="345">
        <v>651</v>
      </c>
      <c r="G193" s="345">
        <v>650</v>
      </c>
      <c r="H193" s="345">
        <v>10291</v>
      </c>
      <c r="I193" s="345">
        <v>9641</v>
      </c>
      <c r="J193" s="345">
        <v>67</v>
      </c>
      <c r="K193" s="345">
        <v>96.91</v>
      </c>
      <c r="L193" s="345">
        <v>96.72</v>
      </c>
      <c r="M193" s="345">
        <v>5.21</v>
      </c>
      <c r="N193" s="345">
        <v>101.96</v>
      </c>
      <c r="O193" s="348">
        <v>7487</v>
      </c>
      <c r="P193" s="345">
        <v>109.23</v>
      </c>
      <c r="Q193" s="345">
        <v>92.44</v>
      </c>
      <c r="R193" s="345">
        <v>74.55</v>
      </c>
      <c r="S193" s="345">
        <v>181.7</v>
      </c>
      <c r="T193" s="348">
        <v>861</v>
      </c>
      <c r="U193" s="345">
        <v>131.93</v>
      </c>
      <c r="V193" s="348">
        <v>928</v>
      </c>
      <c r="W193" s="345">
        <v>127.38</v>
      </c>
      <c r="X193" s="348">
        <v>40</v>
      </c>
      <c r="Y193" s="345">
        <v>0</v>
      </c>
      <c r="Z193" s="345">
        <v>11</v>
      </c>
      <c r="AA193" s="345">
        <v>12</v>
      </c>
      <c r="AB193" s="345">
        <v>70</v>
      </c>
      <c r="AC193" s="345">
        <v>17</v>
      </c>
      <c r="AD193" s="345">
        <v>8422</v>
      </c>
      <c r="AE193" s="345">
        <v>40</v>
      </c>
      <c r="AF193" s="345">
        <v>120</v>
      </c>
      <c r="AG193" s="345">
        <v>160</v>
      </c>
    </row>
    <row r="194" spans="1:33" x14ac:dyDescent="0.2">
      <c r="A194" s="344" t="s">
        <v>442</v>
      </c>
      <c r="B194" s="344" t="s">
        <v>443</v>
      </c>
      <c r="C194" s="345">
        <v>4354</v>
      </c>
      <c r="D194" s="345">
        <v>0</v>
      </c>
      <c r="E194" s="345">
        <v>609</v>
      </c>
      <c r="F194" s="345">
        <v>1385</v>
      </c>
      <c r="G194" s="345">
        <v>422</v>
      </c>
      <c r="H194" s="345">
        <v>6770</v>
      </c>
      <c r="I194" s="345">
        <v>6348</v>
      </c>
      <c r="J194" s="345">
        <v>0</v>
      </c>
      <c r="K194" s="345">
        <v>83.92</v>
      </c>
      <c r="L194" s="345">
        <v>80.510000000000005</v>
      </c>
      <c r="M194" s="345">
        <v>7.98</v>
      </c>
      <c r="N194" s="345">
        <v>90.09</v>
      </c>
      <c r="O194" s="348">
        <v>3166</v>
      </c>
      <c r="P194" s="345">
        <v>95.85</v>
      </c>
      <c r="Q194" s="345">
        <v>78.14</v>
      </c>
      <c r="R194" s="345">
        <v>55.49</v>
      </c>
      <c r="S194" s="345">
        <v>150.80000000000001</v>
      </c>
      <c r="T194" s="348">
        <v>1762</v>
      </c>
      <c r="U194" s="345">
        <v>104.69</v>
      </c>
      <c r="V194" s="348">
        <v>975</v>
      </c>
      <c r="W194" s="345">
        <v>145.1</v>
      </c>
      <c r="X194" s="348">
        <v>73</v>
      </c>
      <c r="Y194" s="345">
        <v>0</v>
      </c>
      <c r="Z194" s="345">
        <v>1</v>
      </c>
      <c r="AA194" s="345">
        <v>0</v>
      </c>
      <c r="AB194" s="345">
        <v>19</v>
      </c>
      <c r="AC194" s="345">
        <v>9</v>
      </c>
      <c r="AD194" s="345">
        <v>4161</v>
      </c>
      <c r="AE194" s="345">
        <v>44</v>
      </c>
      <c r="AF194" s="345">
        <v>28</v>
      </c>
      <c r="AG194" s="345">
        <v>72</v>
      </c>
    </row>
    <row r="195" spans="1:33" x14ac:dyDescent="0.2">
      <c r="A195" s="344" t="s">
        <v>444</v>
      </c>
      <c r="B195" s="344" t="s">
        <v>445</v>
      </c>
      <c r="C195" s="345">
        <v>1187</v>
      </c>
      <c r="D195" s="345">
        <v>0</v>
      </c>
      <c r="E195" s="345">
        <v>9</v>
      </c>
      <c r="F195" s="345">
        <v>47</v>
      </c>
      <c r="G195" s="345">
        <v>301</v>
      </c>
      <c r="H195" s="345">
        <v>1544</v>
      </c>
      <c r="I195" s="345">
        <v>1243</v>
      </c>
      <c r="J195" s="345">
        <v>0</v>
      </c>
      <c r="K195" s="345">
        <v>100.13</v>
      </c>
      <c r="L195" s="345">
        <v>98.02</v>
      </c>
      <c r="M195" s="345">
        <v>4.8</v>
      </c>
      <c r="N195" s="345">
        <v>103.56</v>
      </c>
      <c r="O195" s="348">
        <v>845</v>
      </c>
      <c r="P195" s="345">
        <v>88.84</v>
      </c>
      <c r="Q195" s="345">
        <v>84.37</v>
      </c>
      <c r="R195" s="345">
        <v>26.04</v>
      </c>
      <c r="S195" s="345">
        <v>114.89</v>
      </c>
      <c r="T195" s="348">
        <v>53</v>
      </c>
      <c r="U195" s="345">
        <v>123.14</v>
      </c>
      <c r="V195" s="348">
        <v>340</v>
      </c>
      <c r="W195" s="345">
        <v>0</v>
      </c>
      <c r="X195" s="348">
        <v>0</v>
      </c>
      <c r="Y195" s="345">
        <v>63</v>
      </c>
      <c r="Z195" s="345">
        <v>1</v>
      </c>
      <c r="AA195" s="345">
        <v>0</v>
      </c>
      <c r="AB195" s="345">
        <v>58</v>
      </c>
      <c r="AC195" s="345">
        <v>4</v>
      </c>
      <c r="AD195" s="345">
        <v>1185</v>
      </c>
      <c r="AE195" s="345">
        <v>16</v>
      </c>
      <c r="AF195" s="345">
        <v>0</v>
      </c>
      <c r="AG195" s="345">
        <v>16</v>
      </c>
    </row>
    <row r="196" spans="1:33" x14ac:dyDescent="0.2">
      <c r="A196" s="344" t="s">
        <v>446</v>
      </c>
      <c r="B196" s="344" t="s">
        <v>447</v>
      </c>
      <c r="C196" s="345">
        <v>2202</v>
      </c>
      <c r="D196" s="345">
        <v>2</v>
      </c>
      <c r="E196" s="345">
        <v>116</v>
      </c>
      <c r="F196" s="345">
        <v>126</v>
      </c>
      <c r="G196" s="345">
        <v>558</v>
      </c>
      <c r="H196" s="345">
        <v>3004</v>
      </c>
      <c r="I196" s="345">
        <v>2446</v>
      </c>
      <c r="J196" s="345">
        <v>0</v>
      </c>
      <c r="K196" s="345">
        <v>90.13</v>
      </c>
      <c r="L196" s="345">
        <v>89.7</v>
      </c>
      <c r="M196" s="345">
        <v>6.97</v>
      </c>
      <c r="N196" s="345">
        <v>95.9</v>
      </c>
      <c r="O196" s="348">
        <v>1408</v>
      </c>
      <c r="P196" s="345">
        <v>93.49</v>
      </c>
      <c r="Q196" s="345">
        <v>92.98</v>
      </c>
      <c r="R196" s="345">
        <v>55.54</v>
      </c>
      <c r="S196" s="345">
        <v>134.43</v>
      </c>
      <c r="T196" s="348">
        <v>213</v>
      </c>
      <c r="U196" s="345">
        <v>113.05</v>
      </c>
      <c r="V196" s="348">
        <v>775</v>
      </c>
      <c r="W196" s="345">
        <v>147.77000000000001</v>
      </c>
      <c r="X196" s="348">
        <v>6</v>
      </c>
      <c r="Y196" s="345">
        <v>0</v>
      </c>
      <c r="Z196" s="345">
        <v>2</v>
      </c>
      <c r="AA196" s="345">
        <v>2</v>
      </c>
      <c r="AB196" s="345">
        <v>32</v>
      </c>
      <c r="AC196" s="345">
        <v>7</v>
      </c>
      <c r="AD196" s="345">
        <v>2202</v>
      </c>
      <c r="AE196" s="345">
        <v>17</v>
      </c>
      <c r="AF196" s="345">
        <v>18</v>
      </c>
      <c r="AG196" s="345">
        <v>35</v>
      </c>
    </row>
    <row r="197" spans="1:33" x14ac:dyDescent="0.2">
      <c r="A197" s="344" t="s">
        <v>448</v>
      </c>
      <c r="B197" s="344" t="s">
        <v>449</v>
      </c>
      <c r="C197" s="345">
        <v>14589</v>
      </c>
      <c r="D197" s="345">
        <v>0</v>
      </c>
      <c r="E197" s="345">
        <v>489</v>
      </c>
      <c r="F197" s="345">
        <v>2990</v>
      </c>
      <c r="G197" s="345">
        <v>699</v>
      </c>
      <c r="H197" s="345">
        <v>18767</v>
      </c>
      <c r="I197" s="345">
        <v>18068</v>
      </c>
      <c r="J197" s="345">
        <v>0</v>
      </c>
      <c r="K197" s="345">
        <v>77.209999999999994</v>
      </c>
      <c r="L197" s="345">
        <v>74.459999999999994</v>
      </c>
      <c r="M197" s="345">
        <v>2.1800000000000002</v>
      </c>
      <c r="N197" s="345">
        <v>78.3</v>
      </c>
      <c r="O197" s="348">
        <v>12849</v>
      </c>
      <c r="P197" s="345">
        <v>79.45</v>
      </c>
      <c r="Q197" s="345">
        <v>68.27</v>
      </c>
      <c r="R197" s="345">
        <v>31.27</v>
      </c>
      <c r="S197" s="345">
        <v>107.45</v>
      </c>
      <c r="T197" s="348">
        <v>3183</v>
      </c>
      <c r="U197" s="345">
        <v>102.18</v>
      </c>
      <c r="V197" s="348">
        <v>1483</v>
      </c>
      <c r="W197" s="345">
        <v>139.81</v>
      </c>
      <c r="X197" s="348">
        <v>192</v>
      </c>
      <c r="Y197" s="345">
        <v>12</v>
      </c>
      <c r="Z197" s="345">
        <v>59</v>
      </c>
      <c r="AA197" s="345">
        <v>0</v>
      </c>
      <c r="AB197" s="345">
        <v>38</v>
      </c>
      <c r="AC197" s="345">
        <v>5</v>
      </c>
      <c r="AD197" s="345">
        <v>14350</v>
      </c>
      <c r="AE197" s="345">
        <v>123</v>
      </c>
      <c r="AF197" s="345">
        <v>73</v>
      </c>
      <c r="AG197" s="345">
        <v>196</v>
      </c>
    </row>
    <row r="198" spans="1:33" x14ac:dyDescent="0.2">
      <c r="A198" s="344" t="s">
        <v>450</v>
      </c>
      <c r="B198" s="344" t="s">
        <v>451</v>
      </c>
      <c r="C198" s="345">
        <v>4143</v>
      </c>
      <c r="D198" s="345">
        <v>0</v>
      </c>
      <c r="E198" s="345">
        <v>509</v>
      </c>
      <c r="F198" s="345">
        <v>1173</v>
      </c>
      <c r="G198" s="345">
        <v>304</v>
      </c>
      <c r="H198" s="345">
        <v>6129</v>
      </c>
      <c r="I198" s="345">
        <v>5825</v>
      </c>
      <c r="J198" s="345">
        <v>6</v>
      </c>
      <c r="K198" s="345">
        <v>90.76</v>
      </c>
      <c r="L198" s="345">
        <v>89.44</v>
      </c>
      <c r="M198" s="345">
        <v>6.53</v>
      </c>
      <c r="N198" s="345">
        <v>96</v>
      </c>
      <c r="O198" s="348">
        <v>3504</v>
      </c>
      <c r="P198" s="345">
        <v>91.29</v>
      </c>
      <c r="Q198" s="345">
        <v>82.11</v>
      </c>
      <c r="R198" s="345">
        <v>51.15</v>
      </c>
      <c r="S198" s="345">
        <v>142.22999999999999</v>
      </c>
      <c r="T198" s="348">
        <v>990</v>
      </c>
      <c r="U198" s="345">
        <v>117.21</v>
      </c>
      <c r="V198" s="348">
        <v>547</v>
      </c>
      <c r="W198" s="345">
        <v>123.97</v>
      </c>
      <c r="X198" s="348">
        <v>19</v>
      </c>
      <c r="Y198" s="345">
        <v>2</v>
      </c>
      <c r="Z198" s="345">
        <v>2</v>
      </c>
      <c r="AA198" s="345">
        <v>0</v>
      </c>
      <c r="AB198" s="345">
        <v>28</v>
      </c>
      <c r="AC198" s="345">
        <v>9</v>
      </c>
      <c r="AD198" s="345">
        <v>4127</v>
      </c>
      <c r="AE198" s="345">
        <v>37</v>
      </c>
      <c r="AF198" s="345">
        <v>9</v>
      </c>
      <c r="AG198" s="345">
        <v>46</v>
      </c>
    </row>
    <row r="199" spans="1:33" x14ac:dyDescent="0.2">
      <c r="A199" s="344" t="s">
        <v>452</v>
      </c>
      <c r="B199" s="344" t="s">
        <v>453</v>
      </c>
      <c r="C199" s="345">
        <v>6664</v>
      </c>
      <c r="D199" s="345">
        <v>218</v>
      </c>
      <c r="E199" s="345">
        <v>1411</v>
      </c>
      <c r="F199" s="345">
        <v>2122</v>
      </c>
      <c r="G199" s="345">
        <v>313</v>
      </c>
      <c r="H199" s="345">
        <v>10728</v>
      </c>
      <c r="I199" s="345">
        <v>10415</v>
      </c>
      <c r="J199" s="345">
        <v>33</v>
      </c>
      <c r="K199" s="345">
        <v>87.07</v>
      </c>
      <c r="L199" s="345">
        <v>84.45</v>
      </c>
      <c r="M199" s="345">
        <v>6.74</v>
      </c>
      <c r="N199" s="345">
        <v>91.45</v>
      </c>
      <c r="O199" s="348">
        <v>5711</v>
      </c>
      <c r="P199" s="345">
        <v>87.06</v>
      </c>
      <c r="Q199" s="345">
        <v>78.040000000000006</v>
      </c>
      <c r="R199" s="345">
        <v>82.49</v>
      </c>
      <c r="S199" s="345">
        <v>166.86</v>
      </c>
      <c r="T199" s="348">
        <v>2915</v>
      </c>
      <c r="U199" s="345">
        <v>105.15</v>
      </c>
      <c r="V199" s="348">
        <v>513</v>
      </c>
      <c r="W199" s="345">
        <v>204.42</v>
      </c>
      <c r="X199" s="348">
        <v>167</v>
      </c>
      <c r="Y199" s="345">
        <v>0</v>
      </c>
      <c r="Z199" s="345">
        <v>4</v>
      </c>
      <c r="AA199" s="345">
        <v>30</v>
      </c>
      <c r="AB199" s="345">
        <v>20</v>
      </c>
      <c r="AC199" s="345">
        <v>8</v>
      </c>
      <c r="AD199" s="345">
        <v>6606</v>
      </c>
      <c r="AE199" s="345">
        <v>36</v>
      </c>
      <c r="AF199" s="345">
        <v>33</v>
      </c>
      <c r="AG199" s="345">
        <v>69</v>
      </c>
    </row>
    <row r="200" spans="1:33" x14ac:dyDescent="0.2">
      <c r="A200" s="344" t="s">
        <v>454</v>
      </c>
      <c r="B200" s="344" t="s">
        <v>455</v>
      </c>
      <c r="C200" s="345">
        <v>2396</v>
      </c>
      <c r="D200" s="345">
        <v>0</v>
      </c>
      <c r="E200" s="345">
        <v>270</v>
      </c>
      <c r="F200" s="345">
        <v>360</v>
      </c>
      <c r="G200" s="345">
        <v>534</v>
      </c>
      <c r="H200" s="345">
        <v>3560</v>
      </c>
      <c r="I200" s="345">
        <v>3026</v>
      </c>
      <c r="J200" s="345">
        <v>0</v>
      </c>
      <c r="K200" s="345">
        <v>98.09</v>
      </c>
      <c r="L200" s="345">
        <v>94.3</v>
      </c>
      <c r="M200" s="345">
        <v>6.99</v>
      </c>
      <c r="N200" s="345">
        <v>104.19</v>
      </c>
      <c r="O200" s="348">
        <v>1673</v>
      </c>
      <c r="P200" s="345">
        <v>126.99</v>
      </c>
      <c r="Q200" s="345">
        <v>87.54</v>
      </c>
      <c r="R200" s="345">
        <v>65.430000000000007</v>
      </c>
      <c r="S200" s="345">
        <v>191.31</v>
      </c>
      <c r="T200" s="348">
        <v>536</v>
      </c>
      <c r="U200" s="345">
        <v>120.33</v>
      </c>
      <c r="V200" s="348">
        <v>706</v>
      </c>
      <c r="W200" s="345">
        <v>0</v>
      </c>
      <c r="X200" s="348">
        <v>0</v>
      </c>
      <c r="Y200" s="345">
        <v>29</v>
      </c>
      <c r="Z200" s="345">
        <v>3</v>
      </c>
      <c r="AA200" s="345">
        <v>1</v>
      </c>
      <c r="AB200" s="345">
        <v>65</v>
      </c>
      <c r="AC200" s="345">
        <v>12</v>
      </c>
      <c r="AD200" s="345">
        <v>2396</v>
      </c>
      <c r="AE200" s="345">
        <v>80</v>
      </c>
      <c r="AF200" s="345">
        <v>4</v>
      </c>
      <c r="AG200" s="345">
        <v>84</v>
      </c>
    </row>
    <row r="201" spans="1:33" x14ac:dyDescent="0.2">
      <c r="A201" s="344" t="s">
        <v>456</v>
      </c>
      <c r="B201" s="344" t="s">
        <v>457</v>
      </c>
      <c r="C201" s="345">
        <v>553</v>
      </c>
      <c r="D201" s="345">
        <v>0</v>
      </c>
      <c r="E201" s="345">
        <v>63</v>
      </c>
      <c r="F201" s="345">
        <v>95</v>
      </c>
      <c r="G201" s="345">
        <v>161</v>
      </c>
      <c r="H201" s="345">
        <v>872</v>
      </c>
      <c r="I201" s="345">
        <v>711</v>
      </c>
      <c r="J201" s="345">
        <v>0</v>
      </c>
      <c r="K201" s="345">
        <v>94.02</v>
      </c>
      <c r="L201" s="345">
        <v>91.69</v>
      </c>
      <c r="M201" s="345">
        <v>6.37</v>
      </c>
      <c r="N201" s="345">
        <v>97.58</v>
      </c>
      <c r="O201" s="348">
        <v>279</v>
      </c>
      <c r="P201" s="345">
        <v>111.92</v>
      </c>
      <c r="Q201" s="345">
        <v>73.89</v>
      </c>
      <c r="R201" s="345">
        <v>48.77</v>
      </c>
      <c r="S201" s="345">
        <v>157.19999999999999</v>
      </c>
      <c r="T201" s="348">
        <v>140</v>
      </c>
      <c r="U201" s="345">
        <v>115.09</v>
      </c>
      <c r="V201" s="348">
        <v>181</v>
      </c>
      <c r="W201" s="345">
        <v>0</v>
      </c>
      <c r="X201" s="348">
        <v>0</v>
      </c>
      <c r="Y201" s="345">
        <v>13</v>
      </c>
      <c r="Z201" s="345">
        <v>0</v>
      </c>
      <c r="AA201" s="345">
        <v>0</v>
      </c>
      <c r="AB201" s="345">
        <v>39</v>
      </c>
      <c r="AC201" s="345">
        <v>8</v>
      </c>
      <c r="AD201" s="345">
        <v>505</v>
      </c>
      <c r="AE201" s="345">
        <v>6</v>
      </c>
      <c r="AF201" s="345">
        <v>1</v>
      </c>
      <c r="AG201" s="345">
        <v>7</v>
      </c>
    </row>
    <row r="202" spans="1:33" x14ac:dyDescent="0.2">
      <c r="A202" s="344" t="s">
        <v>458</v>
      </c>
      <c r="B202" s="344" t="s">
        <v>459</v>
      </c>
      <c r="C202" s="345">
        <v>17120</v>
      </c>
      <c r="D202" s="345">
        <v>5</v>
      </c>
      <c r="E202" s="345">
        <v>563</v>
      </c>
      <c r="F202" s="345">
        <v>791</v>
      </c>
      <c r="G202" s="345">
        <v>351</v>
      </c>
      <c r="H202" s="345">
        <v>18830</v>
      </c>
      <c r="I202" s="345">
        <v>18479</v>
      </c>
      <c r="J202" s="345">
        <v>29</v>
      </c>
      <c r="K202" s="345">
        <v>79.66</v>
      </c>
      <c r="L202" s="345">
        <v>79.599999999999994</v>
      </c>
      <c r="M202" s="345">
        <v>4.71</v>
      </c>
      <c r="N202" s="345">
        <v>82.12</v>
      </c>
      <c r="O202" s="348">
        <v>15362</v>
      </c>
      <c r="P202" s="345">
        <v>79.400000000000006</v>
      </c>
      <c r="Q202" s="345">
        <v>75.97</v>
      </c>
      <c r="R202" s="345">
        <v>37.340000000000003</v>
      </c>
      <c r="S202" s="345">
        <v>114.06</v>
      </c>
      <c r="T202" s="348">
        <v>1307</v>
      </c>
      <c r="U202" s="345">
        <v>103.4</v>
      </c>
      <c r="V202" s="348">
        <v>1583</v>
      </c>
      <c r="W202" s="345">
        <v>0</v>
      </c>
      <c r="X202" s="348">
        <v>0</v>
      </c>
      <c r="Y202" s="345">
        <v>0</v>
      </c>
      <c r="Z202" s="345">
        <v>116</v>
      </c>
      <c r="AA202" s="345">
        <v>1</v>
      </c>
      <c r="AB202" s="345">
        <v>80</v>
      </c>
      <c r="AC202" s="345">
        <v>9</v>
      </c>
      <c r="AD202" s="345">
        <v>17118</v>
      </c>
      <c r="AE202" s="345">
        <v>28</v>
      </c>
      <c r="AF202" s="345">
        <v>102</v>
      </c>
      <c r="AG202" s="345">
        <v>130</v>
      </c>
    </row>
    <row r="203" spans="1:33" x14ac:dyDescent="0.2">
      <c r="A203" s="344" t="s">
        <v>460</v>
      </c>
      <c r="B203" s="344" t="s">
        <v>461</v>
      </c>
      <c r="C203" s="345">
        <v>3111</v>
      </c>
      <c r="D203" s="345">
        <v>2</v>
      </c>
      <c r="E203" s="345">
        <v>414</v>
      </c>
      <c r="F203" s="345">
        <v>860</v>
      </c>
      <c r="G203" s="345">
        <v>728</v>
      </c>
      <c r="H203" s="345">
        <v>5115</v>
      </c>
      <c r="I203" s="345">
        <v>4387</v>
      </c>
      <c r="J203" s="345">
        <v>0</v>
      </c>
      <c r="K203" s="345">
        <v>116.34</v>
      </c>
      <c r="L203" s="345">
        <v>112.87</v>
      </c>
      <c r="M203" s="345">
        <v>8.34</v>
      </c>
      <c r="N203" s="345">
        <v>122.62</v>
      </c>
      <c r="O203" s="348">
        <v>2920</v>
      </c>
      <c r="P203" s="345">
        <v>106.87</v>
      </c>
      <c r="Q203" s="345">
        <v>97.95</v>
      </c>
      <c r="R203" s="345">
        <v>50.54</v>
      </c>
      <c r="S203" s="345">
        <v>156.79</v>
      </c>
      <c r="T203" s="348">
        <v>1225</v>
      </c>
      <c r="U203" s="345">
        <v>178.6</v>
      </c>
      <c r="V203" s="348">
        <v>89</v>
      </c>
      <c r="W203" s="345">
        <v>0</v>
      </c>
      <c r="X203" s="348">
        <v>0</v>
      </c>
      <c r="Y203" s="345">
        <v>0</v>
      </c>
      <c r="Z203" s="345">
        <v>0</v>
      </c>
      <c r="AA203" s="345">
        <v>9</v>
      </c>
      <c r="AB203" s="345">
        <v>40</v>
      </c>
      <c r="AC203" s="345">
        <v>19</v>
      </c>
      <c r="AD203" s="345">
        <v>3111</v>
      </c>
      <c r="AE203" s="345">
        <v>29</v>
      </c>
      <c r="AF203" s="345">
        <v>89</v>
      </c>
      <c r="AG203" s="345">
        <v>118</v>
      </c>
    </row>
    <row r="204" spans="1:33" x14ac:dyDescent="0.2">
      <c r="A204" s="344" t="s">
        <v>462</v>
      </c>
      <c r="B204" s="344" t="s">
        <v>463</v>
      </c>
      <c r="C204" s="345">
        <v>4205</v>
      </c>
      <c r="D204" s="345">
        <v>0</v>
      </c>
      <c r="E204" s="345">
        <v>289</v>
      </c>
      <c r="F204" s="345">
        <v>198</v>
      </c>
      <c r="G204" s="345">
        <v>16</v>
      </c>
      <c r="H204" s="345">
        <v>4708</v>
      </c>
      <c r="I204" s="345">
        <v>4692</v>
      </c>
      <c r="J204" s="345">
        <v>2</v>
      </c>
      <c r="K204" s="345">
        <v>75.209999999999994</v>
      </c>
      <c r="L204" s="345">
        <v>72.010000000000005</v>
      </c>
      <c r="M204" s="345">
        <v>1.78</v>
      </c>
      <c r="N204" s="345">
        <v>76.84</v>
      </c>
      <c r="O204" s="348">
        <v>3708</v>
      </c>
      <c r="P204" s="345">
        <v>108.07</v>
      </c>
      <c r="Q204" s="345">
        <v>72.709999999999994</v>
      </c>
      <c r="R204" s="345">
        <v>72.239999999999995</v>
      </c>
      <c r="S204" s="345">
        <v>180.1</v>
      </c>
      <c r="T204" s="348">
        <v>340</v>
      </c>
      <c r="U204" s="345">
        <v>97.71</v>
      </c>
      <c r="V204" s="348">
        <v>486</v>
      </c>
      <c r="W204" s="345">
        <v>170.39</v>
      </c>
      <c r="X204" s="348">
        <v>39</v>
      </c>
      <c r="Y204" s="345">
        <v>4</v>
      </c>
      <c r="Z204" s="345">
        <v>15</v>
      </c>
      <c r="AA204" s="345">
        <v>3</v>
      </c>
      <c r="AB204" s="345">
        <v>1</v>
      </c>
      <c r="AC204" s="345">
        <v>0</v>
      </c>
      <c r="AD204" s="345">
        <v>4204</v>
      </c>
      <c r="AE204" s="345">
        <v>27</v>
      </c>
      <c r="AF204" s="345">
        <v>17</v>
      </c>
      <c r="AG204" s="345">
        <v>44</v>
      </c>
    </row>
    <row r="205" spans="1:33" x14ac:dyDescent="0.2">
      <c r="A205" s="344" t="s">
        <v>464</v>
      </c>
      <c r="B205" s="344" t="s">
        <v>465</v>
      </c>
      <c r="C205" s="345">
        <v>13149</v>
      </c>
      <c r="D205" s="345">
        <v>29</v>
      </c>
      <c r="E205" s="345">
        <v>552</v>
      </c>
      <c r="F205" s="345">
        <v>2308</v>
      </c>
      <c r="G205" s="345">
        <v>1121</v>
      </c>
      <c r="H205" s="345">
        <v>17159</v>
      </c>
      <c r="I205" s="345">
        <v>16038</v>
      </c>
      <c r="J205" s="345">
        <v>14</v>
      </c>
      <c r="K205" s="345">
        <v>88.54</v>
      </c>
      <c r="L205" s="345">
        <v>87.88</v>
      </c>
      <c r="M205" s="345">
        <v>6.79</v>
      </c>
      <c r="N205" s="345">
        <v>91.99</v>
      </c>
      <c r="O205" s="348">
        <v>11016</v>
      </c>
      <c r="P205" s="345">
        <v>93.04</v>
      </c>
      <c r="Q205" s="345">
        <v>85.3</v>
      </c>
      <c r="R205" s="345">
        <v>36.65</v>
      </c>
      <c r="S205" s="345">
        <v>127.93</v>
      </c>
      <c r="T205" s="348">
        <v>2567</v>
      </c>
      <c r="U205" s="345">
        <v>114.38</v>
      </c>
      <c r="V205" s="348">
        <v>1839</v>
      </c>
      <c r="W205" s="345">
        <v>208.09</v>
      </c>
      <c r="X205" s="348">
        <v>87</v>
      </c>
      <c r="Y205" s="345">
        <v>35</v>
      </c>
      <c r="Z205" s="345">
        <v>52</v>
      </c>
      <c r="AA205" s="345">
        <v>1</v>
      </c>
      <c r="AB205" s="345">
        <v>30</v>
      </c>
      <c r="AC205" s="345">
        <v>23</v>
      </c>
      <c r="AD205" s="345">
        <v>13148</v>
      </c>
      <c r="AE205" s="345">
        <v>67</v>
      </c>
      <c r="AF205" s="345">
        <v>31</v>
      </c>
      <c r="AG205" s="345">
        <v>98</v>
      </c>
    </row>
    <row r="206" spans="1:33" x14ac:dyDescent="0.2">
      <c r="A206" s="344" t="s">
        <v>466</v>
      </c>
      <c r="B206" s="344" t="s">
        <v>467</v>
      </c>
      <c r="C206" s="345">
        <v>18845</v>
      </c>
      <c r="D206" s="345">
        <v>0</v>
      </c>
      <c r="E206" s="345">
        <v>2411</v>
      </c>
      <c r="F206" s="345">
        <v>1062</v>
      </c>
      <c r="G206" s="345">
        <v>1187</v>
      </c>
      <c r="H206" s="345">
        <v>23505</v>
      </c>
      <c r="I206" s="345">
        <v>22318</v>
      </c>
      <c r="J206" s="345">
        <v>90</v>
      </c>
      <c r="K206" s="345">
        <v>77.77</v>
      </c>
      <c r="L206" s="345">
        <v>77.010000000000005</v>
      </c>
      <c r="M206" s="345">
        <v>7.03</v>
      </c>
      <c r="N206" s="345">
        <v>82.21</v>
      </c>
      <c r="O206" s="348">
        <v>13688</v>
      </c>
      <c r="P206" s="345">
        <v>74.209999999999994</v>
      </c>
      <c r="Q206" s="345">
        <v>71.650000000000006</v>
      </c>
      <c r="R206" s="345">
        <v>31.27</v>
      </c>
      <c r="S206" s="345">
        <v>103.29</v>
      </c>
      <c r="T206" s="348">
        <v>2795</v>
      </c>
      <c r="U206" s="345">
        <v>103.45</v>
      </c>
      <c r="V206" s="348">
        <v>4593</v>
      </c>
      <c r="W206" s="345">
        <v>93.55</v>
      </c>
      <c r="X206" s="348">
        <v>573</v>
      </c>
      <c r="Y206" s="345">
        <v>78</v>
      </c>
      <c r="Z206" s="345">
        <v>60</v>
      </c>
      <c r="AA206" s="345">
        <v>98</v>
      </c>
      <c r="AB206" s="345">
        <v>23</v>
      </c>
      <c r="AC206" s="345">
        <v>36</v>
      </c>
      <c r="AD206" s="345">
        <v>18364</v>
      </c>
      <c r="AE206" s="345">
        <v>95</v>
      </c>
      <c r="AF206" s="345">
        <v>188</v>
      </c>
      <c r="AG206" s="345">
        <v>283</v>
      </c>
    </row>
    <row r="207" spans="1:33" x14ac:dyDescent="0.2">
      <c r="A207" s="344" t="s">
        <v>468</v>
      </c>
      <c r="B207" s="344" t="s">
        <v>469</v>
      </c>
      <c r="C207" s="345">
        <v>4819</v>
      </c>
      <c r="D207" s="345">
        <v>27</v>
      </c>
      <c r="E207" s="345">
        <v>499</v>
      </c>
      <c r="F207" s="345">
        <v>1066</v>
      </c>
      <c r="G207" s="345">
        <v>684</v>
      </c>
      <c r="H207" s="345">
        <v>7095</v>
      </c>
      <c r="I207" s="345">
        <v>6411</v>
      </c>
      <c r="J207" s="345">
        <v>18</v>
      </c>
      <c r="K207" s="345">
        <v>101.45</v>
      </c>
      <c r="L207" s="345">
        <v>98.05</v>
      </c>
      <c r="M207" s="345">
        <v>8.9499999999999993</v>
      </c>
      <c r="N207" s="345">
        <v>108.51</v>
      </c>
      <c r="O207" s="348">
        <v>3723</v>
      </c>
      <c r="P207" s="345">
        <v>97.34</v>
      </c>
      <c r="Q207" s="345">
        <v>89.51</v>
      </c>
      <c r="R207" s="345">
        <v>31.97</v>
      </c>
      <c r="S207" s="345">
        <v>128.61000000000001</v>
      </c>
      <c r="T207" s="348">
        <v>735</v>
      </c>
      <c r="U207" s="345">
        <v>135.03</v>
      </c>
      <c r="V207" s="348">
        <v>837</v>
      </c>
      <c r="W207" s="345">
        <v>185.7</v>
      </c>
      <c r="X207" s="348">
        <v>83</v>
      </c>
      <c r="Y207" s="345">
        <v>0</v>
      </c>
      <c r="Z207" s="345">
        <v>2</v>
      </c>
      <c r="AA207" s="345">
        <v>2</v>
      </c>
      <c r="AB207" s="345">
        <v>14</v>
      </c>
      <c r="AC207" s="345">
        <v>28</v>
      </c>
      <c r="AD207" s="345">
        <v>4738</v>
      </c>
      <c r="AE207" s="345">
        <v>20</v>
      </c>
      <c r="AF207" s="345">
        <v>12</v>
      </c>
      <c r="AG207" s="345">
        <v>32</v>
      </c>
    </row>
    <row r="208" spans="1:33" x14ac:dyDescent="0.2">
      <c r="A208" s="344" t="s">
        <v>470</v>
      </c>
      <c r="B208" s="344" t="s">
        <v>471</v>
      </c>
      <c r="C208" s="345">
        <v>10235</v>
      </c>
      <c r="D208" s="345">
        <v>0</v>
      </c>
      <c r="E208" s="345">
        <v>679</v>
      </c>
      <c r="F208" s="345">
        <v>1104</v>
      </c>
      <c r="G208" s="345">
        <v>677</v>
      </c>
      <c r="H208" s="345">
        <v>12695</v>
      </c>
      <c r="I208" s="345">
        <v>12018</v>
      </c>
      <c r="J208" s="345">
        <v>1</v>
      </c>
      <c r="K208" s="345">
        <v>80.72</v>
      </c>
      <c r="L208" s="345">
        <v>79.790000000000006</v>
      </c>
      <c r="M208" s="345">
        <v>5.71</v>
      </c>
      <c r="N208" s="345">
        <v>83.9</v>
      </c>
      <c r="O208" s="348">
        <v>8756</v>
      </c>
      <c r="P208" s="345">
        <v>82.62</v>
      </c>
      <c r="Q208" s="345">
        <v>72.11</v>
      </c>
      <c r="R208" s="345">
        <v>52.04</v>
      </c>
      <c r="S208" s="345">
        <v>130.30000000000001</v>
      </c>
      <c r="T208" s="348">
        <v>1599</v>
      </c>
      <c r="U208" s="345">
        <v>108.31</v>
      </c>
      <c r="V208" s="348">
        <v>1448</v>
      </c>
      <c r="W208" s="345">
        <v>252.96</v>
      </c>
      <c r="X208" s="348">
        <v>98</v>
      </c>
      <c r="Y208" s="345">
        <v>5</v>
      </c>
      <c r="Z208" s="345">
        <v>52</v>
      </c>
      <c r="AA208" s="345">
        <v>9</v>
      </c>
      <c r="AB208" s="345">
        <v>99</v>
      </c>
      <c r="AC208" s="345">
        <v>11</v>
      </c>
      <c r="AD208" s="345">
        <v>10213</v>
      </c>
      <c r="AE208" s="345">
        <v>76</v>
      </c>
      <c r="AF208" s="345">
        <v>141</v>
      </c>
      <c r="AG208" s="345">
        <v>217</v>
      </c>
    </row>
    <row r="209" spans="1:33" x14ac:dyDescent="0.2">
      <c r="A209" s="344" t="s">
        <v>472</v>
      </c>
      <c r="B209" s="344" t="s">
        <v>473</v>
      </c>
      <c r="C209" s="345">
        <v>3755</v>
      </c>
      <c r="D209" s="345">
        <v>16</v>
      </c>
      <c r="E209" s="345">
        <v>307</v>
      </c>
      <c r="F209" s="345">
        <v>561</v>
      </c>
      <c r="G209" s="345">
        <v>956</v>
      </c>
      <c r="H209" s="345">
        <v>5595</v>
      </c>
      <c r="I209" s="345">
        <v>4639</v>
      </c>
      <c r="J209" s="345">
        <v>3</v>
      </c>
      <c r="K209" s="345">
        <v>121.35</v>
      </c>
      <c r="L209" s="345">
        <v>118.15</v>
      </c>
      <c r="M209" s="345">
        <v>9.58</v>
      </c>
      <c r="N209" s="345">
        <v>130.18</v>
      </c>
      <c r="O209" s="348">
        <v>2865</v>
      </c>
      <c r="P209" s="345">
        <v>107.72</v>
      </c>
      <c r="Q209" s="345">
        <v>100.63</v>
      </c>
      <c r="R209" s="345">
        <v>79.7</v>
      </c>
      <c r="S209" s="345">
        <v>185.15</v>
      </c>
      <c r="T209" s="348">
        <v>632</v>
      </c>
      <c r="U209" s="345">
        <v>174.31</v>
      </c>
      <c r="V209" s="348">
        <v>515</v>
      </c>
      <c r="W209" s="345">
        <v>263.85000000000002</v>
      </c>
      <c r="X209" s="348">
        <v>104</v>
      </c>
      <c r="Y209" s="345">
        <v>20</v>
      </c>
      <c r="Z209" s="345">
        <v>3</v>
      </c>
      <c r="AA209" s="345">
        <v>3</v>
      </c>
      <c r="AB209" s="345">
        <v>44</v>
      </c>
      <c r="AC209" s="345">
        <v>41</v>
      </c>
      <c r="AD209" s="345">
        <v>3600</v>
      </c>
      <c r="AE209" s="345">
        <v>46</v>
      </c>
      <c r="AF209" s="345">
        <v>7</v>
      </c>
      <c r="AG209" s="345">
        <v>53</v>
      </c>
    </row>
    <row r="210" spans="1:33" x14ac:dyDescent="0.2">
      <c r="A210" s="344" t="s">
        <v>474</v>
      </c>
      <c r="B210" s="344" t="s">
        <v>475</v>
      </c>
      <c r="C210" s="345">
        <v>3515</v>
      </c>
      <c r="D210" s="345">
        <v>0</v>
      </c>
      <c r="E210" s="345">
        <v>309</v>
      </c>
      <c r="F210" s="345">
        <v>1094</v>
      </c>
      <c r="G210" s="345">
        <v>790</v>
      </c>
      <c r="H210" s="345">
        <v>5708</v>
      </c>
      <c r="I210" s="345">
        <v>4918</v>
      </c>
      <c r="J210" s="345">
        <v>36</v>
      </c>
      <c r="K210" s="345">
        <v>126.82</v>
      </c>
      <c r="L210" s="345">
        <v>126.14</v>
      </c>
      <c r="M210" s="345">
        <v>12.46</v>
      </c>
      <c r="N210" s="345">
        <v>134.44999999999999</v>
      </c>
      <c r="O210" s="348">
        <v>2846</v>
      </c>
      <c r="P210" s="345">
        <v>106.16</v>
      </c>
      <c r="Q210" s="345">
        <v>97.94</v>
      </c>
      <c r="R210" s="345">
        <v>57.25</v>
      </c>
      <c r="S210" s="345">
        <v>163.04</v>
      </c>
      <c r="T210" s="348">
        <v>1229</v>
      </c>
      <c r="U210" s="345">
        <v>194.77</v>
      </c>
      <c r="V210" s="348">
        <v>389</v>
      </c>
      <c r="W210" s="345">
        <v>139.74</v>
      </c>
      <c r="X210" s="348">
        <v>53</v>
      </c>
      <c r="Y210" s="345">
        <v>0</v>
      </c>
      <c r="Z210" s="345">
        <v>2</v>
      </c>
      <c r="AA210" s="345">
        <v>0</v>
      </c>
      <c r="AB210" s="345">
        <v>39</v>
      </c>
      <c r="AC210" s="345">
        <v>33</v>
      </c>
      <c r="AD210" s="345">
        <v>3384</v>
      </c>
      <c r="AE210" s="345">
        <v>58</v>
      </c>
      <c r="AF210" s="345">
        <v>9</v>
      </c>
      <c r="AG210" s="345">
        <v>67</v>
      </c>
    </row>
    <row r="211" spans="1:33" x14ac:dyDescent="0.2">
      <c r="A211" s="344" t="s">
        <v>476</v>
      </c>
      <c r="B211" s="344" t="s">
        <v>477</v>
      </c>
      <c r="C211" s="345">
        <v>11452</v>
      </c>
      <c r="D211" s="345">
        <v>0</v>
      </c>
      <c r="E211" s="345">
        <v>289</v>
      </c>
      <c r="F211" s="345">
        <v>635</v>
      </c>
      <c r="G211" s="345">
        <v>316</v>
      </c>
      <c r="H211" s="345">
        <v>12692</v>
      </c>
      <c r="I211" s="345">
        <v>12376</v>
      </c>
      <c r="J211" s="345">
        <v>2</v>
      </c>
      <c r="K211" s="345">
        <v>89.47</v>
      </c>
      <c r="L211" s="345">
        <v>89.64</v>
      </c>
      <c r="M211" s="345">
        <v>4.82</v>
      </c>
      <c r="N211" s="345">
        <v>91.92</v>
      </c>
      <c r="O211" s="348">
        <v>10751</v>
      </c>
      <c r="P211" s="345">
        <v>87.32</v>
      </c>
      <c r="Q211" s="345">
        <v>77.27</v>
      </c>
      <c r="R211" s="345">
        <v>53.15</v>
      </c>
      <c r="S211" s="345">
        <v>139.80000000000001</v>
      </c>
      <c r="T211" s="348">
        <v>635</v>
      </c>
      <c r="U211" s="345">
        <v>109.91</v>
      </c>
      <c r="V211" s="348">
        <v>614</v>
      </c>
      <c r="W211" s="345">
        <v>135.78</v>
      </c>
      <c r="X211" s="348">
        <v>188</v>
      </c>
      <c r="Y211" s="345">
        <v>0</v>
      </c>
      <c r="Z211" s="345">
        <v>42</v>
      </c>
      <c r="AA211" s="345">
        <v>5</v>
      </c>
      <c r="AB211" s="345">
        <v>23</v>
      </c>
      <c r="AC211" s="345">
        <v>8</v>
      </c>
      <c r="AD211" s="345">
        <v>11452</v>
      </c>
      <c r="AE211" s="345">
        <v>66</v>
      </c>
      <c r="AF211" s="345">
        <v>112</v>
      </c>
      <c r="AG211" s="345">
        <v>178</v>
      </c>
    </row>
    <row r="212" spans="1:33" x14ac:dyDescent="0.2">
      <c r="A212" s="344" t="s">
        <v>478</v>
      </c>
      <c r="B212" s="344" t="s">
        <v>479</v>
      </c>
      <c r="C212" s="345">
        <v>1944</v>
      </c>
      <c r="D212" s="345">
        <v>0</v>
      </c>
      <c r="E212" s="345">
        <v>181</v>
      </c>
      <c r="F212" s="345">
        <v>180</v>
      </c>
      <c r="G212" s="345">
        <v>270</v>
      </c>
      <c r="H212" s="345">
        <v>2575</v>
      </c>
      <c r="I212" s="345">
        <v>2305</v>
      </c>
      <c r="J212" s="345">
        <v>0</v>
      </c>
      <c r="K212" s="345">
        <v>93.65</v>
      </c>
      <c r="L212" s="345">
        <v>92.2</v>
      </c>
      <c r="M212" s="345">
        <v>4.76</v>
      </c>
      <c r="N212" s="345">
        <v>97.77</v>
      </c>
      <c r="O212" s="348">
        <v>1532</v>
      </c>
      <c r="P212" s="345">
        <v>115.68</v>
      </c>
      <c r="Q212" s="345">
        <v>92.3</v>
      </c>
      <c r="R212" s="345">
        <v>66.66</v>
      </c>
      <c r="S212" s="345">
        <v>177.7</v>
      </c>
      <c r="T212" s="348">
        <v>259</v>
      </c>
      <c r="U212" s="345">
        <v>123.09</v>
      </c>
      <c r="V212" s="348">
        <v>202</v>
      </c>
      <c r="W212" s="345">
        <v>230.4</v>
      </c>
      <c r="X212" s="348">
        <v>44</v>
      </c>
      <c r="Y212" s="345">
        <v>5</v>
      </c>
      <c r="Z212" s="345">
        <v>0</v>
      </c>
      <c r="AA212" s="345">
        <v>0</v>
      </c>
      <c r="AB212" s="345">
        <v>19</v>
      </c>
      <c r="AC212" s="345">
        <v>3</v>
      </c>
      <c r="AD212" s="345">
        <v>1779</v>
      </c>
      <c r="AE212" s="345">
        <v>13</v>
      </c>
      <c r="AF212" s="345">
        <v>2</v>
      </c>
      <c r="AG212" s="345">
        <v>15</v>
      </c>
    </row>
    <row r="213" spans="1:33" x14ac:dyDescent="0.2">
      <c r="A213" s="344" t="s">
        <v>480</v>
      </c>
      <c r="B213" s="344" t="s">
        <v>481</v>
      </c>
      <c r="C213" s="345">
        <v>6254</v>
      </c>
      <c r="D213" s="345">
        <v>0</v>
      </c>
      <c r="E213" s="345">
        <v>436</v>
      </c>
      <c r="F213" s="345">
        <v>549</v>
      </c>
      <c r="G213" s="345">
        <v>974</v>
      </c>
      <c r="H213" s="345">
        <v>8213</v>
      </c>
      <c r="I213" s="345">
        <v>7239</v>
      </c>
      <c r="J213" s="345">
        <v>4</v>
      </c>
      <c r="K213" s="345">
        <v>121.32</v>
      </c>
      <c r="L213" s="345">
        <v>125.26</v>
      </c>
      <c r="M213" s="345">
        <v>4.9400000000000004</v>
      </c>
      <c r="N213" s="345">
        <v>126</v>
      </c>
      <c r="O213" s="348">
        <v>5189</v>
      </c>
      <c r="P213" s="345">
        <v>123.07</v>
      </c>
      <c r="Q213" s="345">
        <v>105.89</v>
      </c>
      <c r="R213" s="345">
        <v>36.61</v>
      </c>
      <c r="S213" s="345">
        <v>155.47999999999999</v>
      </c>
      <c r="T213" s="348">
        <v>680</v>
      </c>
      <c r="U213" s="345">
        <v>157.24</v>
      </c>
      <c r="V213" s="348">
        <v>948</v>
      </c>
      <c r="W213" s="345">
        <v>176.85</v>
      </c>
      <c r="X213" s="348">
        <v>18</v>
      </c>
      <c r="Y213" s="345">
        <v>1</v>
      </c>
      <c r="Z213" s="345">
        <v>14</v>
      </c>
      <c r="AA213" s="345">
        <v>2</v>
      </c>
      <c r="AB213" s="345">
        <v>61</v>
      </c>
      <c r="AC213" s="345">
        <v>31</v>
      </c>
      <c r="AD213" s="345">
        <v>6243</v>
      </c>
      <c r="AE213" s="345">
        <v>16</v>
      </c>
      <c r="AF213" s="345">
        <v>52</v>
      </c>
      <c r="AG213" s="345">
        <v>68</v>
      </c>
    </row>
    <row r="214" spans="1:33" x14ac:dyDescent="0.2">
      <c r="A214" s="344" t="s">
        <v>482</v>
      </c>
      <c r="B214" s="344" t="s">
        <v>483</v>
      </c>
      <c r="C214" s="345">
        <v>1382</v>
      </c>
      <c r="D214" s="345">
        <v>0</v>
      </c>
      <c r="E214" s="345">
        <v>85</v>
      </c>
      <c r="F214" s="345">
        <v>749</v>
      </c>
      <c r="G214" s="345">
        <v>520</v>
      </c>
      <c r="H214" s="345">
        <v>2736</v>
      </c>
      <c r="I214" s="345">
        <v>2216</v>
      </c>
      <c r="J214" s="345">
        <v>76</v>
      </c>
      <c r="K214" s="345">
        <v>87.54</v>
      </c>
      <c r="L214" s="345">
        <v>86.74</v>
      </c>
      <c r="M214" s="345">
        <v>4.08</v>
      </c>
      <c r="N214" s="345">
        <v>90.47</v>
      </c>
      <c r="O214" s="348">
        <v>955</v>
      </c>
      <c r="P214" s="345">
        <v>75.66</v>
      </c>
      <c r="Q214" s="345">
        <v>71.53</v>
      </c>
      <c r="R214" s="345">
        <v>21.67</v>
      </c>
      <c r="S214" s="345">
        <v>96.38</v>
      </c>
      <c r="T214" s="348">
        <v>775</v>
      </c>
      <c r="U214" s="345">
        <v>105.81</v>
      </c>
      <c r="V214" s="348">
        <v>425</v>
      </c>
      <c r="W214" s="345">
        <v>137.79</v>
      </c>
      <c r="X214" s="348">
        <v>12</v>
      </c>
      <c r="Y214" s="345">
        <v>16</v>
      </c>
      <c r="Z214" s="345">
        <v>4</v>
      </c>
      <c r="AA214" s="345">
        <v>1</v>
      </c>
      <c r="AB214" s="345">
        <v>102</v>
      </c>
      <c r="AC214" s="345">
        <v>20</v>
      </c>
      <c r="AD214" s="345">
        <v>1382</v>
      </c>
      <c r="AE214" s="345">
        <v>15</v>
      </c>
      <c r="AF214" s="345">
        <v>6</v>
      </c>
      <c r="AG214" s="345">
        <v>21</v>
      </c>
    </row>
    <row r="215" spans="1:33" x14ac:dyDescent="0.2">
      <c r="A215" s="344" t="s">
        <v>484</v>
      </c>
      <c r="B215" s="344" t="s">
        <v>485</v>
      </c>
      <c r="C215" s="345">
        <v>8812</v>
      </c>
      <c r="D215" s="345">
        <v>6</v>
      </c>
      <c r="E215" s="345">
        <v>270</v>
      </c>
      <c r="F215" s="345">
        <v>810</v>
      </c>
      <c r="G215" s="345">
        <v>453</v>
      </c>
      <c r="H215" s="345">
        <v>10351</v>
      </c>
      <c r="I215" s="345">
        <v>9898</v>
      </c>
      <c r="J215" s="345">
        <v>18</v>
      </c>
      <c r="K215" s="345">
        <v>125.94</v>
      </c>
      <c r="L215" s="345">
        <v>139.74</v>
      </c>
      <c r="M215" s="345">
        <v>10.98</v>
      </c>
      <c r="N215" s="345">
        <v>133.63999999999999</v>
      </c>
      <c r="O215" s="348">
        <v>7836</v>
      </c>
      <c r="P215" s="345">
        <v>124.34</v>
      </c>
      <c r="Q215" s="345">
        <v>120.62</v>
      </c>
      <c r="R215" s="345">
        <v>47.1</v>
      </c>
      <c r="S215" s="345">
        <v>168.48</v>
      </c>
      <c r="T215" s="348">
        <v>1000</v>
      </c>
      <c r="U215" s="345">
        <v>205.81</v>
      </c>
      <c r="V215" s="348">
        <v>840</v>
      </c>
      <c r="W215" s="345">
        <v>257.47000000000003</v>
      </c>
      <c r="X215" s="348">
        <v>4</v>
      </c>
      <c r="Y215" s="345">
        <v>0</v>
      </c>
      <c r="Z215" s="345">
        <v>16</v>
      </c>
      <c r="AA215" s="345">
        <v>9</v>
      </c>
      <c r="AB215" s="345">
        <v>0</v>
      </c>
      <c r="AC215" s="345">
        <v>18</v>
      </c>
      <c r="AD215" s="345">
        <v>8766</v>
      </c>
      <c r="AE215" s="345">
        <v>49</v>
      </c>
      <c r="AF215" s="345">
        <v>90</v>
      </c>
      <c r="AG215" s="345">
        <v>139</v>
      </c>
    </row>
    <row r="216" spans="1:33" x14ac:dyDescent="0.2">
      <c r="A216" s="344" t="s">
        <v>486</v>
      </c>
      <c r="B216" s="344" t="s">
        <v>487</v>
      </c>
      <c r="C216" s="345">
        <v>728</v>
      </c>
      <c r="D216" s="345">
        <v>0</v>
      </c>
      <c r="E216" s="345">
        <v>118</v>
      </c>
      <c r="F216" s="345">
        <v>96</v>
      </c>
      <c r="G216" s="345">
        <v>65</v>
      </c>
      <c r="H216" s="345">
        <v>1007</v>
      </c>
      <c r="I216" s="345">
        <v>942</v>
      </c>
      <c r="J216" s="345">
        <v>1</v>
      </c>
      <c r="K216" s="345">
        <v>93.7</v>
      </c>
      <c r="L216" s="345">
        <v>90.29</v>
      </c>
      <c r="M216" s="345">
        <v>3.47</v>
      </c>
      <c r="N216" s="345">
        <v>96.31</v>
      </c>
      <c r="O216" s="348">
        <v>531</v>
      </c>
      <c r="P216" s="345">
        <v>109.28</v>
      </c>
      <c r="Q216" s="345">
        <v>101.27</v>
      </c>
      <c r="R216" s="345">
        <v>83.06</v>
      </c>
      <c r="S216" s="345">
        <v>185.2</v>
      </c>
      <c r="T216" s="348">
        <v>151</v>
      </c>
      <c r="U216" s="345">
        <v>108.75</v>
      </c>
      <c r="V216" s="348">
        <v>179</v>
      </c>
      <c r="W216" s="345">
        <v>319.12</v>
      </c>
      <c r="X216" s="348">
        <v>53</v>
      </c>
      <c r="Y216" s="345">
        <v>0</v>
      </c>
      <c r="Z216" s="345">
        <v>0</v>
      </c>
      <c r="AA216" s="345">
        <v>4</v>
      </c>
      <c r="AB216" s="345">
        <v>4</v>
      </c>
      <c r="AC216" s="345">
        <v>0</v>
      </c>
      <c r="AD216" s="345">
        <v>728</v>
      </c>
      <c r="AE216" s="345">
        <v>2</v>
      </c>
      <c r="AF216" s="345">
        <v>6</v>
      </c>
      <c r="AG216" s="345">
        <v>8</v>
      </c>
    </row>
    <row r="217" spans="1:33" x14ac:dyDescent="0.2">
      <c r="A217" s="344" t="s">
        <v>488</v>
      </c>
      <c r="B217" s="344" t="s">
        <v>489</v>
      </c>
      <c r="C217" s="345">
        <v>18042</v>
      </c>
      <c r="D217" s="345">
        <v>0</v>
      </c>
      <c r="E217" s="345">
        <v>677</v>
      </c>
      <c r="F217" s="345">
        <v>2016</v>
      </c>
      <c r="G217" s="345">
        <v>288</v>
      </c>
      <c r="H217" s="345">
        <v>21023</v>
      </c>
      <c r="I217" s="345">
        <v>20735</v>
      </c>
      <c r="J217" s="345">
        <v>12</v>
      </c>
      <c r="K217" s="345">
        <v>78.13</v>
      </c>
      <c r="L217" s="345">
        <v>77.58</v>
      </c>
      <c r="M217" s="345">
        <v>4.8600000000000003</v>
      </c>
      <c r="N217" s="345">
        <v>82.47</v>
      </c>
      <c r="O217" s="348">
        <v>15830</v>
      </c>
      <c r="P217" s="345">
        <v>78.42</v>
      </c>
      <c r="Q217" s="345">
        <v>72.34</v>
      </c>
      <c r="R217" s="345">
        <v>44.43</v>
      </c>
      <c r="S217" s="345">
        <v>120.35</v>
      </c>
      <c r="T217" s="348">
        <v>2468</v>
      </c>
      <c r="U217" s="345">
        <v>99.76</v>
      </c>
      <c r="V217" s="348">
        <v>2123</v>
      </c>
      <c r="W217" s="345">
        <v>258.27999999999997</v>
      </c>
      <c r="X217" s="348">
        <v>37</v>
      </c>
      <c r="Y217" s="345">
        <v>0</v>
      </c>
      <c r="Z217" s="345">
        <v>142</v>
      </c>
      <c r="AA217" s="345">
        <v>6</v>
      </c>
      <c r="AB217" s="345">
        <v>32</v>
      </c>
      <c r="AC217" s="345">
        <v>5</v>
      </c>
      <c r="AD217" s="345">
        <v>17855</v>
      </c>
      <c r="AE217" s="345">
        <v>77</v>
      </c>
      <c r="AF217" s="345">
        <v>250</v>
      </c>
      <c r="AG217" s="345">
        <v>327</v>
      </c>
    </row>
    <row r="218" spans="1:33" x14ac:dyDescent="0.2">
      <c r="A218" s="344" t="s">
        <v>490</v>
      </c>
      <c r="B218" s="344" t="s">
        <v>491</v>
      </c>
      <c r="C218" s="345">
        <v>2433</v>
      </c>
      <c r="D218" s="345">
        <v>0</v>
      </c>
      <c r="E218" s="345">
        <v>63</v>
      </c>
      <c r="F218" s="345">
        <v>695</v>
      </c>
      <c r="G218" s="345">
        <v>327</v>
      </c>
      <c r="H218" s="345">
        <v>3518</v>
      </c>
      <c r="I218" s="345">
        <v>3191</v>
      </c>
      <c r="J218" s="345">
        <v>4</v>
      </c>
      <c r="K218" s="345">
        <v>102.2</v>
      </c>
      <c r="L218" s="345">
        <v>102.31</v>
      </c>
      <c r="M218" s="345">
        <v>8.24</v>
      </c>
      <c r="N218" s="345">
        <v>106.64</v>
      </c>
      <c r="O218" s="348">
        <v>1760</v>
      </c>
      <c r="P218" s="345">
        <v>90.73</v>
      </c>
      <c r="Q218" s="345">
        <v>87</v>
      </c>
      <c r="R218" s="345">
        <v>45.09</v>
      </c>
      <c r="S218" s="345">
        <v>135.63999999999999</v>
      </c>
      <c r="T218" s="348">
        <v>752</v>
      </c>
      <c r="U218" s="345">
        <v>153.57</v>
      </c>
      <c r="V218" s="348">
        <v>671</v>
      </c>
      <c r="W218" s="345">
        <v>0</v>
      </c>
      <c r="X218" s="348">
        <v>0</v>
      </c>
      <c r="Y218" s="345">
        <v>0</v>
      </c>
      <c r="Z218" s="345">
        <v>2</v>
      </c>
      <c r="AA218" s="345">
        <v>1</v>
      </c>
      <c r="AB218" s="345">
        <v>42</v>
      </c>
      <c r="AC218" s="345">
        <v>5</v>
      </c>
      <c r="AD218" s="345">
        <v>2433</v>
      </c>
      <c r="AE218" s="345">
        <v>12</v>
      </c>
      <c r="AF218" s="345">
        <v>14</v>
      </c>
      <c r="AG218" s="345">
        <v>26</v>
      </c>
    </row>
    <row r="219" spans="1:33" x14ac:dyDescent="0.2">
      <c r="A219" s="344" t="s">
        <v>492</v>
      </c>
      <c r="B219" s="344" t="s">
        <v>493</v>
      </c>
      <c r="C219" s="345">
        <v>4166</v>
      </c>
      <c r="D219" s="345">
        <v>0</v>
      </c>
      <c r="E219" s="345">
        <v>93</v>
      </c>
      <c r="F219" s="345">
        <v>378</v>
      </c>
      <c r="G219" s="345">
        <v>33</v>
      </c>
      <c r="H219" s="345">
        <v>4670</v>
      </c>
      <c r="I219" s="345">
        <v>4637</v>
      </c>
      <c r="J219" s="345">
        <v>4</v>
      </c>
      <c r="K219" s="345">
        <v>75.63</v>
      </c>
      <c r="L219" s="345">
        <v>73.19</v>
      </c>
      <c r="M219" s="345">
        <v>5.8</v>
      </c>
      <c r="N219" s="345">
        <v>76.25</v>
      </c>
      <c r="O219" s="348">
        <v>3607</v>
      </c>
      <c r="P219" s="345">
        <v>89.83</v>
      </c>
      <c r="Q219" s="345">
        <v>79.45</v>
      </c>
      <c r="R219" s="345">
        <v>42.77</v>
      </c>
      <c r="S219" s="345">
        <v>129.81</v>
      </c>
      <c r="T219" s="348">
        <v>430</v>
      </c>
      <c r="U219" s="345">
        <v>94.87</v>
      </c>
      <c r="V219" s="348">
        <v>549</v>
      </c>
      <c r="W219" s="345">
        <v>0</v>
      </c>
      <c r="X219" s="348">
        <v>0</v>
      </c>
      <c r="Y219" s="345">
        <v>0</v>
      </c>
      <c r="Z219" s="345">
        <v>21</v>
      </c>
      <c r="AA219" s="345">
        <v>1</v>
      </c>
      <c r="AB219" s="345">
        <v>0</v>
      </c>
      <c r="AC219" s="345">
        <v>7</v>
      </c>
      <c r="AD219" s="345">
        <v>4161</v>
      </c>
      <c r="AE219" s="345">
        <v>18</v>
      </c>
      <c r="AF219" s="345">
        <v>12</v>
      </c>
      <c r="AG219" s="345">
        <v>30</v>
      </c>
    </row>
    <row r="220" spans="1:33" x14ac:dyDescent="0.2">
      <c r="A220" s="344" t="s">
        <v>494</v>
      </c>
      <c r="B220" s="344" t="s">
        <v>495</v>
      </c>
      <c r="C220" s="345">
        <v>3773</v>
      </c>
      <c r="D220" s="345">
        <v>0</v>
      </c>
      <c r="E220" s="345">
        <v>72</v>
      </c>
      <c r="F220" s="345">
        <v>685</v>
      </c>
      <c r="G220" s="345">
        <v>416</v>
      </c>
      <c r="H220" s="345">
        <v>4946</v>
      </c>
      <c r="I220" s="345">
        <v>4530</v>
      </c>
      <c r="J220" s="345">
        <v>6</v>
      </c>
      <c r="K220" s="345">
        <v>98.15</v>
      </c>
      <c r="L220" s="345">
        <v>96.9</v>
      </c>
      <c r="M220" s="345">
        <v>3.21</v>
      </c>
      <c r="N220" s="345">
        <v>100.78</v>
      </c>
      <c r="O220" s="348">
        <v>3134</v>
      </c>
      <c r="P220" s="345">
        <v>86.86</v>
      </c>
      <c r="Q220" s="345">
        <v>80.88</v>
      </c>
      <c r="R220" s="345">
        <v>45.42</v>
      </c>
      <c r="S220" s="345">
        <v>131.69</v>
      </c>
      <c r="T220" s="348">
        <v>621</v>
      </c>
      <c r="U220" s="345">
        <v>128.09</v>
      </c>
      <c r="V220" s="348">
        <v>635</v>
      </c>
      <c r="W220" s="345">
        <v>99.64</v>
      </c>
      <c r="X220" s="348">
        <v>6</v>
      </c>
      <c r="Y220" s="345">
        <v>0</v>
      </c>
      <c r="Z220" s="345">
        <v>6</v>
      </c>
      <c r="AA220" s="345">
        <v>7</v>
      </c>
      <c r="AB220" s="345">
        <v>83</v>
      </c>
      <c r="AC220" s="345">
        <v>11</v>
      </c>
      <c r="AD220" s="345">
        <v>3773</v>
      </c>
      <c r="AE220" s="345">
        <v>17</v>
      </c>
      <c r="AF220" s="345">
        <v>12</v>
      </c>
      <c r="AG220" s="345">
        <v>29</v>
      </c>
    </row>
    <row r="221" spans="1:33" x14ac:dyDescent="0.2">
      <c r="A221" s="344" t="s">
        <v>496</v>
      </c>
      <c r="B221" s="344" t="s">
        <v>497</v>
      </c>
      <c r="C221" s="345">
        <v>3487</v>
      </c>
      <c r="D221" s="345">
        <v>0</v>
      </c>
      <c r="E221" s="345">
        <v>492</v>
      </c>
      <c r="F221" s="345">
        <v>858</v>
      </c>
      <c r="G221" s="345">
        <v>344</v>
      </c>
      <c r="H221" s="345">
        <v>5181</v>
      </c>
      <c r="I221" s="345">
        <v>4837</v>
      </c>
      <c r="J221" s="345">
        <v>1</v>
      </c>
      <c r="K221" s="345">
        <v>83.92</v>
      </c>
      <c r="L221" s="345">
        <v>81.069999999999993</v>
      </c>
      <c r="M221" s="345">
        <v>7.73</v>
      </c>
      <c r="N221" s="345">
        <v>88.08</v>
      </c>
      <c r="O221" s="348">
        <v>2782</v>
      </c>
      <c r="P221" s="345">
        <v>93.93</v>
      </c>
      <c r="Q221" s="345">
        <v>74.739999999999995</v>
      </c>
      <c r="R221" s="345">
        <v>45.16</v>
      </c>
      <c r="S221" s="345">
        <v>135.34</v>
      </c>
      <c r="T221" s="348">
        <v>1275</v>
      </c>
      <c r="U221" s="345">
        <v>103.61</v>
      </c>
      <c r="V221" s="348">
        <v>604</v>
      </c>
      <c r="W221" s="345">
        <v>168.35</v>
      </c>
      <c r="X221" s="348">
        <v>42</v>
      </c>
      <c r="Y221" s="345">
        <v>0</v>
      </c>
      <c r="Z221" s="345">
        <v>0</v>
      </c>
      <c r="AA221" s="345">
        <v>5</v>
      </c>
      <c r="AB221" s="345">
        <v>7</v>
      </c>
      <c r="AC221" s="345">
        <v>5</v>
      </c>
      <c r="AD221" s="345">
        <v>3431</v>
      </c>
      <c r="AE221" s="345">
        <v>41</v>
      </c>
      <c r="AF221" s="345">
        <v>18</v>
      </c>
      <c r="AG221" s="345">
        <v>59</v>
      </c>
    </row>
    <row r="222" spans="1:33" x14ac:dyDescent="0.2">
      <c r="A222" s="344" t="s">
        <v>498</v>
      </c>
      <c r="B222" s="344" t="s">
        <v>499</v>
      </c>
      <c r="C222" s="345">
        <v>2675</v>
      </c>
      <c r="D222" s="345">
        <v>0</v>
      </c>
      <c r="E222" s="345">
        <v>35</v>
      </c>
      <c r="F222" s="345">
        <v>239</v>
      </c>
      <c r="G222" s="345">
        <v>745</v>
      </c>
      <c r="H222" s="345">
        <v>3694</v>
      </c>
      <c r="I222" s="345">
        <v>2949</v>
      </c>
      <c r="J222" s="345">
        <v>1</v>
      </c>
      <c r="K222" s="345">
        <v>102.4</v>
      </c>
      <c r="L222" s="345">
        <v>100.1</v>
      </c>
      <c r="M222" s="345">
        <v>6.04</v>
      </c>
      <c r="N222" s="345">
        <v>106.93</v>
      </c>
      <c r="O222" s="348">
        <v>2261</v>
      </c>
      <c r="P222" s="345">
        <v>102.31</v>
      </c>
      <c r="Q222" s="345">
        <v>92.66</v>
      </c>
      <c r="R222" s="345">
        <v>45.62</v>
      </c>
      <c r="S222" s="345">
        <v>147.13999999999999</v>
      </c>
      <c r="T222" s="348">
        <v>231</v>
      </c>
      <c r="U222" s="345">
        <v>131.5</v>
      </c>
      <c r="V222" s="348">
        <v>363</v>
      </c>
      <c r="W222" s="345">
        <v>0</v>
      </c>
      <c r="X222" s="348">
        <v>0</v>
      </c>
      <c r="Y222" s="345">
        <v>0</v>
      </c>
      <c r="Z222" s="345">
        <v>2</v>
      </c>
      <c r="AA222" s="345">
        <v>0</v>
      </c>
      <c r="AB222" s="345">
        <v>71</v>
      </c>
      <c r="AC222" s="345">
        <v>17</v>
      </c>
      <c r="AD222" s="345">
        <v>2626</v>
      </c>
      <c r="AE222" s="345">
        <v>34</v>
      </c>
      <c r="AF222" s="345">
        <v>40</v>
      </c>
      <c r="AG222" s="345">
        <v>74</v>
      </c>
    </row>
    <row r="223" spans="1:33" x14ac:dyDescent="0.2">
      <c r="A223" s="344" t="s">
        <v>500</v>
      </c>
      <c r="B223" s="344" t="s">
        <v>501</v>
      </c>
      <c r="C223" s="345">
        <v>1374</v>
      </c>
      <c r="D223" s="345">
        <v>282</v>
      </c>
      <c r="E223" s="345">
        <v>91</v>
      </c>
      <c r="F223" s="345">
        <v>286</v>
      </c>
      <c r="G223" s="345">
        <v>399</v>
      </c>
      <c r="H223" s="345">
        <v>2432</v>
      </c>
      <c r="I223" s="345">
        <v>2033</v>
      </c>
      <c r="J223" s="345">
        <v>8</v>
      </c>
      <c r="K223" s="345">
        <v>123.5</v>
      </c>
      <c r="L223" s="345">
        <v>120.7</v>
      </c>
      <c r="M223" s="345">
        <v>10.78</v>
      </c>
      <c r="N223" s="345">
        <v>132.63999999999999</v>
      </c>
      <c r="O223" s="348">
        <v>858</v>
      </c>
      <c r="P223" s="345">
        <v>116.42</v>
      </c>
      <c r="Q223" s="345">
        <v>107.36</v>
      </c>
      <c r="R223" s="345">
        <v>25.46</v>
      </c>
      <c r="S223" s="345">
        <v>141.07</v>
      </c>
      <c r="T223" s="348">
        <v>311</v>
      </c>
      <c r="U223" s="345">
        <v>212.03</v>
      </c>
      <c r="V223" s="348">
        <v>314</v>
      </c>
      <c r="W223" s="345">
        <v>169.12</v>
      </c>
      <c r="X223" s="348">
        <v>39</v>
      </c>
      <c r="Y223" s="345">
        <v>0</v>
      </c>
      <c r="Z223" s="345">
        <v>0</v>
      </c>
      <c r="AA223" s="345">
        <v>3</v>
      </c>
      <c r="AB223" s="345">
        <v>7</v>
      </c>
      <c r="AC223" s="345">
        <v>15</v>
      </c>
      <c r="AD223" s="345">
        <v>1314</v>
      </c>
      <c r="AE223" s="345">
        <v>15</v>
      </c>
      <c r="AF223" s="345">
        <v>38</v>
      </c>
      <c r="AG223" s="345">
        <v>53</v>
      </c>
    </row>
    <row r="224" spans="1:33" x14ac:dyDescent="0.2">
      <c r="A224" s="344" t="s">
        <v>502</v>
      </c>
      <c r="B224" s="344" t="s">
        <v>503</v>
      </c>
      <c r="C224" s="345">
        <v>3102</v>
      </c>
      <c r="D224" s="345">
        <v>0</v>
      </c>
      <c r="E224" s="345">
        <v>100</v>
      </c>
      <c r="F224" s="345">
        <v>1398</v>
      </c>
      <c r="G224" s="345">
        <v>567</v>
      </c>
      <c r="H224" s="345">
        <v>5167</v>
      </c>
      <c r="I224" s="345">
        <v>4600</v>
      </c>
      <c r="J224" s="345">
        <v>4</v>
      </c>
      <c r="K224" s="345">
        <v>98.35</v>
      </c>
      <c r="L224" s="345">
        <v>98.07</v>
      </c>
      <c r="M224" s="345">
        <v>5.14</v>
      </c>
      <c r="N224" s="345">
        <v>100.42</v>
      </c>
      <c r="O224" s="348">
        <v>2698</v>
      </c>
      <c r="P224" s="345">
        <v>97.17</v>
      </c>
      <c r="Q224" s="345">
        <v>93.4</v>
      </c>
      <c r="R224" s="345">
        <v>21.88</v>
      </c>
      <c r="S224" s="345">
        <v>118.74</v>
      </c>
      <c r="T224" s="348">
        <v>1472</v>
      </c>
      <c r="U224" s="345">
        <v>117.6</v>
      </c>
      <c r="V224" s="348">
        <v>396</v>
      </c>
      <c r="W224" s="345">
        <v>124.08</v>
      </c>
      <c r="X224" s="348">
        <v>11</v>
      </c>
      <c r="Y224" s="345">
        <v>21</v>
      </c>
      <c r="Z224" s="345">
        <v>9</v>
      </c>
      <c r="AA224" s="345">
        <v>0</v>
      </c>
      <c r="AB224" s="345">
        <v>72</v>
      </c>
      <c r="AC224" s="345">
        <v>27</v>
      </c>
      <c r="AD224" s="345">
        <v>3102</v>
      </c>
      <c r="AE224" s="345">
        <v>43</v>
      </c>
      <c r="AF224" s="345">
        <v>26</v>
      </c>
      <c r="AG224" s="345">
        <v>69</v>
      </c>
    </row>
    <row r="225" spans="1:33" x14ac:dyDescent="0.2">
      <c r="A225" s="344" t="s">
        <v>504</v>
      </c>
      <c r="B225" s="344" t="s">
        <v>505</v>
      </c>
      <c r="C225" s="345">
        <v>5810</v>
      </c>
      <c r="D225" s="345">
        <v>11</v>
      </c>
      <c r="E225" s="345">
        <v>231</v>
      </c>
      <c r="F225" s="345">
        <v>648</v>
      </c>
      <c r="G225" s="345">
        <v>606</v>
      </c>
      <c r="H225" s="345">
        <v>7306</v>
      </c>
      <c r="I225" s="345">
        <v>6700</v>
      </c>
      <c r="J225" s="345">
        <v>8</v>
      </c>
      <c r="K225" s="345">
        <v>113.91</v>
      </c>
      <c r="L225" s="345">
        <v>110.11</v>
      </c>
      <c r="M225" s="345">
        <v>9.86</v>
      </c>
      <c r="N225" s="345">
        <v>119.26</v>
      </c>
      <c r="O225" s="348">
        <v>4485</v>
      </c>
      <c r="P225" s="345">
        <v>98.58</v>
      </c>
      <c r="Q225" s="345">
        <v>90.82</v>
      </c>
      <c r="R225" s="345">
        <v>47.21</v>
      </c>
      <c r="S225" s="345">
        <v>145.62</v>
      </c>
      <c r="T225" s="348">
        <v>832</v>
      </c>
      <c r="U225" s="345">
        <v>163.11000000000001</v>
      </c>
      <c r="V225" s="348">
        <v>1172</v>
      </c>
      <c r="W225" s="345">
        <v>161.66</v>
      </c>
      <c r="X225" s="348">
        <v>38</v>
      </c>
      <c r="Y225" s="345">
        <v>0</v>
      </c>
      <c r="Z225" s="345">
        <v>5</v>
      </c>
      <c r="AA225" s="345">
        <v>6</v>
      </c>
      <c r="AB225" s="345">
        <v>43</v>
      </c>
      <c r="AC225" s="345">
        <v>20</v>
      </c>
      <c r="AD225" s="345">
        <v>5473</v>
      </c>
      <c r="AE225" s="345">
        <v>30</v>
      </c>
      <c r="AF225" s="345">
        <v>44</v>
      </c>
      <c r="AG225" s="345">
        <v>74</v>
      </c>
    </row>
    <row r="226" spans="1:33" x14ac:dyDescent="0.2">
      <c r="A226" s="344" t="s">
        <v>506</v>
      </c>
      <c r="B226" s="344" t="s">
        <v>507</v>
      </c>
      <c r="C226" s="345">
        <v>1508</v>
      </c>
      <c r="D226" s="345">
        <v>0</v>
      </c>
      <c r="E226" s="345">
        <v>40</v>
      </c>
      <c r="F226" s="345">
        <v>288</v>
      </c>
      <c r="G226" s="345">
        <v>210</v>
      </c>
      <c r="H226" s="345">
        <v>2046</v>
      </c>
      <c r="I226" s="345">
        <v>1836</v>
      </c>
      <c r="J226" s="345">
        <v>7</v>
      </c>
      <c r="K226" s="345">
        <v>92.67</v>
      </c>
      <c r="L226" s="345">
        <v>95.46</v>
      </c>
      <c r="M226" s="345">
        <v>6.59</v>
      </c>
      <c r="N226" s="345">
        <v>95.45</v>
      </c>
      <c r="O226" s="348">
        <v>1244</v>
      </c>
      <c r="P226" s="345">
        <v>90.42</v>
      </c>
      <c r="Q226" s="345">
        <v>82.75</v>
      </c>
      <c r="R226" s="345">
        <v>40.1</v>
      </c>
      <c r="S226" s="345">
        <v>124.46</v>
      </c>
      <c r="T226" s="348">
        <v>225</v>
      </c>
      <c r="U226" s="345">
        <v>117.17</v>
      </c>
      <c r="V226" s="348">
        <v>233</v>
      </c>
      <c r="W226" s="345">
        <v>0</v>
      </c>
      <c r="X226" s="348">
        <v>0</v>
      </c>
      <c r="Y226" s="345">
        <v>0</v>
      </c>
      <c r="Z226" s="345">
        <v>7</v>
      </c>
      <c r="AA226" s="345">
        <v>5</v>
      </c>
      <c r="AB226" s="345">
        <v>2</v>
      </c>
      <c r="AC226" s="345">
        <v>9</v>
      </c>
      <c r="AD226" s="345">
        <v>1495</v>
      </c>
      <c r="AE226" s="345">
        <v>2</v>
      </c>
      <c r="AF226" s="345">
        <v>14</v>
      </c>
      <c r="AG226" s="345">
        <v>16</v>
      </c>
    </row>
    <row r="227" spans="1:33" x14ac:dyDescent="0.2">
      <c r="A227" s="344" t="s">
        <v>508</v>
      </c>
      <c r="B227" s="344" t="s">
        <v>509</v>
      </c>
      <c r="C227" s="345">
        <v>3216</v>
      </c>
      <c r="D227" s="345">
        <v>8</v>
      </c>
      <c r="E227" s="345">
        <v>30</v>
      </c>
      <c r="F227" s="345">
        <v>145</v>
      </c>
      <c r="G227" s="345">
        <v>142</v>
      </c>
      <c r="H227" s="345">
        <v>3541</v>
      </c>
      <c r="I227" s="345">
        <v>3399</v>
      </c>
      <c r="J227" s="345">
        <v>2</v>
      </c>
      <c r="K227" s="345">
        <v>92.2</v>
      </c>
      <c r="L227" s="345">
        <v>88.42</v>
      </c>
      <c r="M227" s="345">
        <v>4</v>
      </c>
      <c r="N227" s="345">
        <v>93.8</v>
      </c>
      <c r="O227" s="348">
        <v>2040</v>
      </c>
      <c r="P227" s="345">
        <v>84.46</v>
      </c>
      <c r="Q227" s="345">
        <v>81.2</v>
      </c>
      <c r="R227" s="345">
        <v>54.75</v>
      </c>
      <c r="S227" s="345">
        <v>138.52000000000001</v>
      </c>
      <c r="T227" s="348">
        <v>159</v>
      </c>
      <c r="U227" s="345">
        <v>102.95</v>
      </c>
      <c r="V227" s="348">
        <v>1116</v>
      </c>
      <c r="W227" s="345">
        <v>0</v>
      </c>
      <c r="X227" s="348">
        <v>0</v>
      </c>
      <c r="Y227" s="345">
        <v>0</v>
      </c>
      <c r="Z227" s="345">
        <v>1</v>
      </c>
      <c r="AA227" s="345">
        <v>6</v>
      </c>
      <c r="AB227" s="345">
        <v>11</v>
      </c>
      <c r="AC227" s="345">
        <v>0</v>
      </c>
      <c r="AD227" s="345">
        <v>3191</v>
      </c>
      <c r="AE227" s="345">
        <v>47</v>
      </c>
      <c r="AF227" s="345">
        <v>10</v>
      </c>
      <c r="AG227" s="345">
        <v>57</v>
      </c>
    </row>
    <row r="228" spans="1:33" x14ac:dyDescent="0.2">
      <c r="A228" s="344" t="s">
        <v>510</v>
      </c>
      <c r="B228" s="344" t="s">
        <v>511</v>
      </c>
      <c r="C228" s="345">
        <v>26903</v>
      </c>
      <c r="D228" s="345">
        <v>14</v>
      </c>
      <c r="E228" s="345">
        <v>1598</v>
      </c>
      <c r="F228" s="345">
        <v>1357</v>
      </c>
      <c r="G228" s="345">
        <v>397</v>
      </c>
      <c r="H228" s="345">
        <v>30269</v>
      </c>
      <c r="I228" s="345">
        <v>29872</v>
      </c>
      <c r="J228" s="345">
        <v>3</v>
      </c>
      <c r="K228" s="345">
        <v>80.180000000000007</v>
      </c>
      <c r="L228" s="345">
        <v>80.150000000000006</v>
      </c>
      <c r="M228" s="345">
        <v>8.94</v>
      </c>
      <c r="N228" s="345">
        <v>84.34</v>
      </c>
      <c r="O228" s="348">
        <v>24214</v>
      </c>
      <c r="P228" s="345">
        <v>82.66</v>
      </c>
      <c r="Q228" s="345">
        <v>75.28</v>
      </c>
      <c r="R228" s="345">
        <v>39.06</v>
      </c>
      <c r="S228" s="345">
        <v>120.67</v>
      </c>
      <c r="T228" s="348">
        <v>2661</v>
      </c>
      <c r="U228" s="345">
        <v>113.38</v>
      </c>
      <c r="V228" s="348">
        <v>2366</v>
      </c>
      <c r="W228" s="345">
        <v>167.42</v>
      </c>
      <c r="X228" s="348">
        <v>65</v>
      </c>
      <c r="Y228" s="345">
        <v>0</v>
      </c>
      <c r="Z228" s="345">
        <v>143</v>
      </c>
      <c r="AA228" s="345">
        <v>29</v>
      </c>
      <c r="AB228" s="345">
        <v>11</v>
      </c>
      <c r="AC228" s="345">
        <v>23</v>
      </c>
      <c r="AD228" s="345">
        <v>26799</v>
      </c>
      <c r="AE228" s="345">
        <v>78</v>
      </c>
      <c r="AF228" s="345">
        <v>164</v>
      </c>
      <c r="AG228" s="345">
        <v>242</v>
      </c>
    </row>
    <row r="229" spans="1:33" x14ac:dyDescent="0.2">
      <c r="A229" s="344" t="s">
        <v>512</v>
      </c>
      <c r="B229" s="344" t="s">
        <v>513</v>
      </c>
      <c r="C229" s="345">
        <v>5983</v>
      </c>
      <c r="D229" s="345">
        <v>11</v>
      </c>
      <c r="E229" s="345">
        <v>481</v>
      </c>
      <c r="F229" s="345">
        <v>1039</v>
      </c>
      <c r="G229" s="345">
        <v>582</v>
      </c>
      <c r="H229" s="345">
        <v>8096</v>
      </c>
      <c r="I229" s="345">
        <v>7514</v>
      </c>
      <c r="J229" s="345">
        <v>1</v>
      </c>
      <c r="K229" s="345">
        <v>91.46</v>
      </c>
      <c r="L229" s="345">
        <v>89.41</v>
      </c>
      <c r="M229" s="345">
        <v>7.76</v>
      </c>
      <c r="N229" s="345">
        <v>97.55</v>
      </c>
      <c r="O229" s="348">
        <v>4483</v>
      </c>
      <c r="P229" s="345">
        <v>99.79</v>
      </c>
      <c r="Q229" s="345">
        <v>87.99</v>
      </c>
      <c r="R229" s="345">
        <v>50.82</v>
      </c>
      <c r="S229" s="345">
        <v>148.63</v>
      </c>
      <c r="T229" s="348">
        <v>1260</v>
      </c>
      <c r="U229" s="345">
        <v>116</v>
      </c>
      <c r="V229" s="348">
        <v>997</v>
      </c>
      <c r="W229" s="345">
        <v>246.45</v>
      </c>
      <c r="X229" s="348">
        <v>97</v>
      </c>
      <c r="Y229" s="345">
        <v>0</v>
      </c>
      <c r="Z229" s="345">
        <v>5</v>
      </c>
      <c r="AA229" s="345">
        <v>9</v>
      </c>
      <c r="AB229" s="345">
        <v>0</v>
      </c>
      <c r="AC229" s="345">
        <v>15</v>
      </c>
      <c r="AD229" s="345">
        <v>5754</v>
      </c>
      <c r="AE229" s="345">
        <v>27</v>
      </c>
      <c r="AF229" s="345">
        <v>23</v>
      </c>
      <c r="AG229" s="345">
        <v>50</v>
      </c>
    </row>
    <row r="230" spans="1:33" x14ac:dyDescent="0.2">
      <c r="A230" s="344" t="s">
        <v>514</v>
      </c>
      <c r="B230" s="344" t="s">
        <v>515</v>
      </c>
      <c r="C230" s="345">
        <v>6245</v>
      </c>
      <c r="D230" s="345">
        <v>0</v>
      </c>
      <c r="E230" s="345">
        <v>214</v>
      </c>
      <c r="F230" s="345">
        <v>670</v>
      </c>
      <c r="G230" s="345">
        <v>525</v>
      </c>
      <c r="H230" s="345">
        <v>7654</v>
      </c>
      <c r="I230" s="345">
        <v>7129</v>
      </c>
      <c r="J230" s="345">
        <v>1</v>
      </c>
      <c r="K230" s="345">
        <v>86.09</v>
      </c>
      <c r="L230" s="345">
        <v>85.46</v>
      </c>
      <c r="M230" s="345">
        <v>3.94</v>
      </c>
      <c r="N230" s="345">
        <v>87.74</v>
      </c>
      <c r="O230" s="348">
        <v>5383</v>
      </c>
      <c r="P230" s="345">
        <v>91.51</v>
      </c>
      <c r="Q230" s="345">
        <v>85.78</v>
      </c>
      <c r="R230" s="345">
        <v>39.340000000000003</v>
      </c>
      <c r="S230" s="345">
        <v>130.24</v>
      </c>
      <c r="T230" s="348">
        <v>647</v>
      </c>
      <c r="U230" s="345">
        <v>106.99</v>
      </c>
      <c r="V230" s="348">
        <v>837</v>
      </c>
      <c r="W230" s="345">
        <v>151.32</v>
      </c>
      <c r="X230" s="348">
        <v>150</v>
      </c>
      <c r="Y230" s="345">
        <v>0</v>
      </c>
      <c r="Z230" s="345">
        <v>19</v>
      </c>
      <c r="AA230" s="345">
        <v>0</v>
      </c>
      <c r="AB230" s="345">
        <v>62</v>
      </c>
      <c r="AC230" s="345">
        <v>9</v>
      </c>
      <c r="AD230" s="345">
        <v>6190</v>
      </c>
      <c r="AE230" s="345">
        <v>48</v>
      </c>
      <c r="AF230" s="345">
        <v>37</v>
      </c>
      <c r="AG230" s="345">
        <v>85</v>
      </c>
    </row>
    <row r="231" spans="1:33" x14ac:dyDescent="0.2">
      <c r="A231" s="344" t="s">
        <v>516</v>
      </c>
      <c r="B231" s="344" t="s">
        <v>517</v>
      </c>
      <c r="C231" s="345">
        <v>3014</v>
      </c>
      <c r="D231" s="345">
        <v>0</v>
      </c>
      <c r="E231" s="345">
        <v>279</v>
      </c>
      <c r="F231" s="345">
        <v>97</v>
      </c>
      <c r="G231" s="345">
        <v>369</v>
      </c>
      <c r="H231" s="345">
        <v>3759</v>
      </c>
      <c r="I231" s="345">
        <v>3390</v>
      </c>
      <c r="J231" s="345">
        <v>0</v>
      </c>
      <c r="K231" s="345">
        <v>94.23</v>
      </c>
      <c r="L231" s="345">
        <v>91.2</v>
      </c>
      <c r="M231" s="345">
        <v>4.75</v>
      </c>
      <c r="N231" s="345">
        <v>98.36</v>
      </c>
      <c r="O231" s="348">
        <v>1531</v>
      </c>
      <c r="P231" s="345">
        <v>93.58</v>
      </c>
      <c r="Q231" s="345">
        <v>78.040000000000006</v>
      </c>
      <c r="R231" s="345">
        <v>53.99</v>
      </c>
      <c r="S231" s="345">
        <v>147.57</v>
      </c>
      <c r="T231" s="348">
        <v>210</v>
      </c>
      <c r="U231" s="345">
        <v>121.47</v>
      </c>
      <c r="V231" s="348">
        <v>711</v>
      </c>
      <c r="W231" s="345">
        <v>0</v>
      </c>
      <c r="X231" s="348">
        <v>0</v>
      </c>
      <c r="Y231" s="345">
        <v>7</v>
      </c>
      <c r="Z231" s="345">
        <v>0</v>
      </c>
      <c r="AA231" s="345">
        <v>2</v>
      </c>
      <c r="AB231" s="345">
        <v>50</v>
      </c>
      <c r="AC231" s="345">
        <v>10</v>
      </c>
      <c r="AD231" s="345">
        <v>2126</v>
      </c>
      <c r="AE231" s="345">
        <v>5</v>
      </c>
      <c r="AF231" s="345">
        <v>3</v>
      </c>
      <c r="AG231" s="345">
        <v>8</v>
      </c>
    </row>
    <row r="232" spans="1:33" x14ac:dyDescent="0.2">
      <c r="A232" s="344" t="s">
        <v>518</v>
      </c>
      <c r="B232" s="344" t="s">
        <v>519</v>
      </c>
      <c r="C232" s="345">
        <v>15474</v>
      </c>
      <c r="D232" s="345">
        <v>0</v>
      </c>
      <c r="E232" s="345">
        <v>1706</v>
      </c>
      <c r="F232" s="345">
        <v>1619</v>
      </c>
      <c r="G232" s="345">
        <v>791</v>
      </c>
      <c r="H232" s="345">
        <v>19590</v>
      </c>
      <c r="I232" s="345">
        <v>18799</v>
      </c>
      <c r="J232" s="345">
        <v>19</v>
      </c>
      <c r="K232" s="345">
        <v>88.62</v>
      </c>
      <c r="L232" s="345">
        <v>86.07</v>
      </c>
      <c r="M232" s="345">
        <v>11.77</v>
      </c>
      <c r="N232" s="345">
        <v>92.86</v>
      </c>
      <c r="O232" s="348">
        <v>13547</v>
      </c>
      <c r="P232" s="345">
        <v>82.67</v>
      </c>
      <c r="Q232" s="345">
        <v>77.03</v>
      </c>
      <c r="R232" s="345">
        <v>37.94</v>
      </c>
      <c r="S232" s="345">
        <v>119.09</v>
      </c>
      <c r="T232" s="348">
        <v>2979</v>
      </c>
      <c r="U232" s="345">
        <v>107.13</v>
      </c>
      <c r="V232" s="348">
        <v>1341</v>
      </c>
      <c r="W232" s="345">
        <v>129.52000000000001</v>
      </c>
      <c r="X232" s="348">
        <v>18</v>
      </c>
      <c r="Y232" s="345">
        <v>0</v>
      </c>
      <c r="Z232" s="345">
        <v>71</v>
      </c>
      <c r="AA232" s="345">
        <v>4</v>
      </c>
      <c r="AB232" s="345">
        <v>28</v>
      </c>
      <c r="AC232" s="345">
        <v>8</v>
      </c>
      <c r="AD232" s="345">
        <v>15066</v>
      </c>
      <c r="AE232" s="345">
        <v>55</v>
      </c>
      <c r="AF232" s="345">
        <v>31</v>
      </c>
      <c r="AG232" s="345">
        <v>86</v>
      </c>
    </row>
    <row r="233" spans="1:33" x14ac:dyDescent="0.2">
      <c r="A233" s="344" t="s">
        <v>520</v>
      </c>
      <c r="B233" s="344" t="s">
        <v>521</v>
      </c>
      <c r="C233" s="345">
        <v>1892</v>
      </c>
      <c r="D233" s="345">
        <v>0</v>
      </c>
      <c r="E233" s="345">
        <v>38</v>
      </c>
      <c r="F233" s="345">
        <v>195</v>
      </c>
      <c r="G233" s="345">
        <v>477</v>
      </c>
      <c r="H233" s="345">
        <v>2602</v>
      </c>
      <c r="I233" s="345">
        <v>2125</v>
      </c>
      <c r="J233" s="345">
        <v>0</v>
      </c>
      <c r="K233" s="345">
        <v>94.48</v>
      </c>
      <c r="L233" s="345">
        <v>87.43</v>
      </c>
      <c r="M233" s="345">
        <v>5.68</v>
      </c>
      <c r="N233" s="345">
        <v>98.32</v>
      </c>
      <c r="O233" s="348">
        <v>1104</v>
      </c>
      <c r="P233" s="345">
        <v>106.4</v>
      </c>
      <c r="Q233" s="345">
        <v>95.15</v>
      </c>
      <c r="R233" s="345">
        <v>59.96</v>
      </c>
      <c r="S233" s="345">
        <v>165.84</v>
      </c>
      <c r="T233" s="348">
        <v>233</v>
      </c>
      <c r="U233" s="345">
        <v>116.21</v>
      </c>
      <c r="V233" s="348">
        <v>588</v>
      </c>
      <c r="W233" s="345">
        <v>0</v>
      </c>
      <c r="X233" s="348">
        <v>0</v>
      </c>
      <c r="Y233" s="345">
        <v>2</v>
      </c>
      <c r="Z233" s="345">
        <v>0</v>
      </c>
      <c r="AA233" s="345">
        <v>3</v>
      </c>
      <c r="AB233" s="345">
        <v>65</v>
      </c>
      <c r="AC233" s="345">
        <v>12</v>
      </c>
      <c r="AD233" s="345">
        <v>1852</v>
      </c>
      <c r="AE233" s="345">
        <v>13</v>
      </c>
      <c r="AF233" s="345">
        <v>4</v>
      </c>
      <c r="AG233" s="345">
        <v>17</v>
      </c>
    </row>
    <row r="234" spans="1:33" x14ac:dyDescent="0.2">
      <c r="A234" s="344" t="s">
        <v>522</v>
      </c>
      <c r="B234" s="344" t="s">
        <v>523</v>
      </c>
      <c r="C234" s="345">
        <v>5532</v>
      </c>
      <c r="D234" s="345">
        <v>0</v>
      </c>
      <c r="E234" s="345">
        <v>84</v>
      </c>
      <c r="F234" s="345">
        <v>1072</v>
      </c>
      <c r="G234" s="345">
        <v>893</v>
      </c>
      <c r="H234" s="345">
        <v>7581</v>
      </c>
      <c r="I234" s="345">
        <v>6688</v>
      </c>
      <c r="J234" s="345">
        <v>207</v>
      </c>
      <c r="K234" s="345">
        <v>109.66</v>
      </c>
      <c r="L234" s="345">
        <v>106.1</v>
      </c>
      <c r="M234" s="345">
        <v>4.33</v>
      </c>
      <c r="N234" s="345">
        <v>112.41</v>
      </c>
      <c r="O234" s="348">
        <v>5180</v>
      </c>
      <c r="P234" s="345">
        <v>94.71</v>
      </c>
      <c r="Q234" s="345">
        <v>89.97</v>
      </c>
      <c r="R234" s="345">
        <v>23.65</v>
      </c>
      <c r="S234" s="345">
        <v>117.91</v>
      </c>
      <c r="T234" s="348">
        <v>903</v>
      </c>
      <c r="U234" s="345">
        <v>166.2</v>
      </c>
      <c r="V234" s="348">
        <v>318</v>
      </c>
      <c r="W234" s="345">
        <v>144.11000000000001</v>
      </c>
      <c r="X234" s="348">
        <v>102</v>
      </c>
      <c r="Y234" s="345">
        <v>0</v>
      </c>
      <c r="Z234" s="345">
        <v>2</v>
      </c>
      <c r="AA234" s="345">
        <v>0</v>
      </c>
      <c r="AB234" s="345">
        <v>14</v>
      </c>
      <c r="AC234" s="345">
        <v>17</v>
      </c>
      <c r="AD234" s="345">
        <v>5520</v>
      </c>
      <c r="AE234" s="345">
        <v>23</v>
      </c>
      <c r="AF234" s="345">
        <v>13</v>
      </c>
      <c r="AG234" s="345">
        <v>36</v>
      </c>
    </row>
    <row r="235" spans="1:33" x14ac:dyDescent="0.2">
      <c r="A235" s="344" t="s">
        <v>524</v>
      </c>
      <c r="B235" s="344" t="s">
        <v>525</v>
      </c>
      <c r="C235" s="345">
        <v>15420</v>
      </c>
      <c r="D235" s="345">
        <v>2</v>
      </c>
      <c r="E235" s="345">
        <v>1375</v>
      </c>
      <c r="F235" s="345">
        <v>1123</v>
      </c>
      <c r="G235" s="345">
        <v>477</v>
      </c>
      <c r="H235" s="345">
        <v>18397</v>
      </c>
      <c r="I235" s="345">
        <v>17920</v>
      </c>
      <c r="J235" s="345">
        <v>2</v>
      </c>
      <c r="K235" s="345">
        <v>82.08</v>
      </c>
      <c r="L235" s="345">
        <v>80.52</v>
      </c>
      <c r="M235" s="345">
        <v>8.3800000000000008</v>
      </c>
      <c r="N235" s="345">
        <v>84.85</v>
      </c>
      <c r="O235" s="348">
        <v>12824</v>
      </c>
      <c r="P235" s="345">
        <v>88.01</v>
      </c>
      <c r="Q235" s="345">
        <v>77.72</v>
      </c>
      <c r="R235" s="345">
        <v>55.2</v>
      </c>
      <c r="S235" s="345">
        <v>142.25</v>
      </c>
      <c r="T235" s="348">
        <v>2188</v>
      </c>
      <c r="U235" s="345">
        <v>101.2</v>
      </c>
      <c r="V235" s="348">
        <v>2327</v>
      </c>
      <c r="W235" s="345">
        <v>140.41999999999999</v>
      </c>
      <c r="X235" s="348">
        <v>13</v>
      </c>
      <c r="Y235" s="345">
        <v>0</v>
      </c>
      <c r="Z235" s="345">
        <v>41</v>
      </c>
      <c r="AA235" s="345">
        <v>12</v>
      </c>
      <c r="AB235" s="345">
        <v>33</v>
      </c>
      <c r="AC235" s="345">
        <v>4</v>
      </c>
      <c r="AD235" s="345">
        <v>15314</v>
      </c>
      <c r="AE235" s="345">
        <v>104</v>
      </c>
      <c r="AF235" s="345">
        <v>87</v>
      </c>
      <c r="AG235" s="345">
        <v>191</v>
      </c>
    </row>
    <row r="236" spans="1:33" x14ac:dyDescent="0.2">
      <c r="A236" s="344" t="s">
        <v>526</v>
      </c>
      <c r="B236" s="344" t="s">
        <v>527</v>
      </c>
      <c r="C236" s="345">
        <v>12755</v>
      </c>
      <c r="D236" s="345">
        <v>24</v>
      </c>
      <c r="E236" s="345">
        <v>401</v>
      </c>
      <c r="F236" s="345">
        <v>1742</v>
      </c>
      <c r="G236" s="345">
        <v>1103</v>
      </c>
      <c r="H236" s="345">
        <v>16025</v>
      </c>
      <c r="I236" s="345">
        <v>14922</v>
      </c>
      <c r="J236" s="345">
        <v>0</v>
      </c>
      <c r="K236" s="345">
        <v>90.36</v>
      </c>
      <c r="L236" s="345">
        <v>88.29</v>
      </c>
      <c r="M236" s="345">
        <v>3.52</v>
      </c>
      <c r="N236" s="345">
        <v>92.26</v>
      </c>
      <c r="O236" s="348">
        <v>9959</v>
      </c>
      <c r="P236" s="345">
        <v>87.5</v>
      </c>
      <c r="Q236" s="345">
        <v>80.89</v>
      </c>
      <c r="R236" s="345">
        <v>25.43</v>
      </c>
      <c r="S236" s="345">
        <v>112.73</v>
      </c>
      <c r="T236" s="348">
        <v>1628</v>
      </c>
      <c r="U236" s="345">
        <v>110.56</v>
      </c>
      <c r="V236" s="348">
        <v>1994</v>
      </c>
      <c r="W236" s="345">
        <v>199.33</v>
      </c>
      <c r="X236" s="348">
        <v>411</v>
      </c>
      <c r="Y236" s="345">
        <v>0</v>
      </c>
      <c r="Z236" s="345">
        <v>25</v>
      </c>
      <c r="AA236" s="345">
        <v>12</v>
      </c>
      <c r="AB236" s="345">
        <v>73</v>
      </c>
      <c r="AC236" s="345">
        <v>13</v>
      </c>
      <c r="AD236" s="345">
        <v>12463</v>
      </c>
      <c r="AE236" s="345">
        <v>62</v>
      </c>
      <c r="AF236" s="345">
        <v>162</v>
      </c>
      <c r="AG236" s="345">
        <v>224</v>
      </c>
    </row>
    <row r="237" spans="1:33" x14ac:dyDescent="0.2">
      <c r="A237" s="344" t="s">
        <v>528</v>
      </c>
      <c r="B237" s="344" t="s">
        <v>529</v>
      </c>
      <c r="C237" s="345">
        <v>3562</v>
      </c>
      <c r="D237" s="345">
        <v>24</v>
      </c>
      <c r="E237" s="345">
        <v>363</v>
      </c>
      <c r="F237" s="345">
        <v>230</v>
      </c>
      <c r="G237" s="345">
        <v>442</v>
      </c>
      <c r="H237" s="345">
        <v>4621</v>
      </c>
      <c r="I237" s="345">
        <v>4179</v>
      </c>
      <c r="J237" s="345">
        <v>9</v>
      </c>
      <c r="K237" s="345">
        <v>123.47</v>
      </c>
      <c r="L237" s="345">
        <v>122.15</v>
      </c>
      <c r="M237" s="345">
        <v>8.4700000000000006</v>
      </c>
      <c r="N237" s="345">
        <v>130.72</v>
      </c>
      <c r="O237" s="348">
        <v>3191</v>
      </c>
      <c r="P237" s="345">
        <v>111.37</v>
      </c>
      <c r="Q237" s="345">
        <v>100.71</v>
      </c>
      <c r="R237" s="345">
        <v>59.9</v>
      </c>
      <c r="S237" s="345">
        <v>159.1</v>
      </c>
      <c r="T237" s="348">
        <v>482</v>
      </c>
      <c r="U237" s="345">
        <v>152.87</v>
      </c>
      <c r="V237" s="348">
        <v>177</v>
      </c>
      <c r="W237" s="345">
        <v>0</v>
      </c>
      <c r="X237" s="348">
        <v>0</v>
      </c>
      <c r="Y237" s="345">
        <v>282</v>
      </c>
      <c r="Z237" s="345">
        <v>5</v>
      </c>
      <c r="AA237" s="345">
        <v>0</v>
      </c>
      <c r="AB237" s="345">
        <v>0</v>
      </c>
      <c r="AC237" s="345">
        <v>18</v>
      </c>
      <c r="AD237" s="345">
        <v>3414</v>
      </c>
      <c r="AE237" s="345">
        <v>20</v>
      </c>
      <c r="AF237" s="345">
        <v>22</v>
      </c>
      <c r="AG237" s="345">
        <v>42</v>
      </c>
    </row>
    <row r="238" spans="1:33" x14ac:dyDescent="0.2">
      <c r="A238" s="344" t="s">
        <v>530</v>
      </c>
      <c r="B238" s="344" t="s">
        <v>531</v>
      </c>
      <c r="C238" s="345">
        <v>2719</v>
      </c>
      <c r="D238" s="345">
        <v>0</v>
      </c>
      <c r="E238" s="345">
        <v>238</v>
      </c>
      <c r="F238" s="345">
        <v>607</v>
      </c>
      <c r="G238" s="345">
        <v>615</v>
      </c>
      <c r="H238" s="345">
        <v>4179</v>
      </c>
      <c r="I238" s="345">
        <v>3564</v>
      </c>
      <c r="J238" s="345">
        <v>1</v>
      </c>
      <c r="K238" s="345">
        <v>106.55</v>
      </c>
      <c r="L238" s="345">
        <v>105</v>
      </c>
      <c r="M238" s="345">
        <v>5.63</v>
      </c>
      <c r="N238" s="345">
        <v>111.04</v>
      </c>
      <c r="O238" s="348">
        <v>2082</v>
      </c>
      <c r="P238" s="345">
        <v>94.87</v>
      </c>
      <c r="Q238" s="345">
        <v>86.64</v>
      </c>
      <c r="R238" s="345">
        <v>60.12</v>
      </c>
      <c r="S238" s="345">
        <v>152.57</v>
      </c>
      <c r="T238" s="348">
        <v>471</v>
      </c>
      <c r="U238" s="345">
        <v>117.04</v>
      </c>
      <c r="V238" s="348">
        <v>601</v>
      </c>
      <c r="W238" s="345">
        <v>228.23</v>
      </c>
      <c r="X238" s="348">
        <v>38</v>
      </c>
      <c r="Y238" s="345">
        <v>0</v>
      </c>
      <c r="Z238" s="345">
        <v>2</v>
      </c>
      <c r="AA238" s="345">
        <v>10</v>
      </c>
      <c r="AB238" s="345">
        <v>46</v>
      </c>
      <c r="AC238" s="345">
        <v>20</v>
      </c>
      <c r="AD238" s="345">
        <v>2682</v>
      </c>
      <c r="AE238" s="345">
        <v>11</v>
      </c>
      <c r="AF238" s="345">
        <v>1</v>
      </c>
      <c r="AG238" s="345">
        <v>12</v>
      </c>
    </row>
    <row r="239" spans="1:33" x14ac:dyDescent="0.2">
      <c r="A239" s="344" t="s">
        <v>532</v>
      </c>
      <c r="B239" s="344" t="s">
        <v>533</v>
      </c>
      <c r="C239" s="345">
        <v>4175</v>
      </c>
      <c r="D239" s="345">
        <v>0</v>
      </c>
      <c r="E239" s="345">
        <v>410</v>
      </c>
      <c r="F239" s="345">
        <v>883</v>
      </c>
      <c r="G239" s="345">
        <v>666</v>
      </c>
      <c r="H239" s="345">
        <v>6134</v>
      </c>
      <c r="I239" s="345">
        <v>5468</v>
      </c>
      <c r="J239" s="345">
        <v>1</v>
      </c>
      <c r="K239" s="345">
        <v>98.41</v>
      </c>
      <c r="L239" s="345">
        <v>96.74</v>
      </c>
      <c r="M239" s="345">
        <v>4.8</v>
      </c>
      <c r="N239" s="345">
        <v>102.4</v>
      </c>
      <c r="O239" s="348">
        <v>3374</v>
      </c>
      <c r="P239" s="345">
        <v>93.73</v>
      </c>
      <c r="Q239" s="345">
        <v>89.81</v>
      </c>
      <c r="R239" s="345">
        <v>40.56</v>
      </c>
      <c r="S239" s="345">
        <v>133.61000000000001</v>
      </c>
      <c r="T239" s="348">
        <v>1015</v>
      </c>
      <c r="U239" s="345">
        <v>117.46</v>
      </c>
      <c r="V239" s="348">
        <v>395</v>
      </c>
      <c r="W239" s="345">
        <v>181.19</v>
      </c>
      <c r="X239" s="348">
        <v>96</v>
      </c>
      <c r="Y239" s="345">
        <v>0</v>
      </c>
      <c r="Z239" s="345">
        <v>4</v>
      </c>
      <c r="AA239" s="345">
        <v>12</v>
      </c>
      <c r="AB239" s="345">
        <v>53</v>
      </c>
      <c r="AC239" s="345">
        <v>15</v>
      </c>
      <c r="AD239" s="345">
        <v>3775</v>
      </c>
      <c r="AE239" s="345">
        <v>8</v>
      </c>
      <c r="AF239" s="345">
        <v>10</v>
      </c>
      <c r="AG239" s="345">
        <v>18</v>
      </c>
    </row>
    <row r="240" spans="1:33" x14ac:dyDescent="0.2">
      <c r="A240" s="344" t="s">
        <v>534</v>
      </c>
      <c r="B240" s="344" t="s">
        <v>535</v>
      </c>
      <c r="C240" s="345">
        <v>3805</v>
      </c>
      <c r="D240" s="345">
        <v>0</v>
      </c>
      <c r="E240" s="345">
        <v>357</v>
      </c>
      <c r="F240" s="345">
        <v>206</v>
      </c>
      <c r="G240" s="345">
        <v>1389</v>
      </c>
      <c r="H240" s="345">
        <v>5757</v>
      </c>
      <c r="I240" s="345">
        <v>4368</v>
      </c>
      <c r="J240" s="345">
        <v>13</v>
      </c>
      <c r="K240" s="345">
        <v>114.42</v>
      </c>
      <c r="L240" s="345">
        <v>113.73</v>
      </c>
      <c r="M240" s="345">
        <v>3.62</v>
      </c>
      <c r="N240" s="345">
        <v>117.58</v>
      </c>
      <c r="O240" s="348">
        <v>2385</v>
      </c>
      <c r="P240" s="345">
        <v>106.89</v>
      </c>
      <c r="Q240" s="345">
        <v>102.03</v>
      </c>
      <c r="R240" s="345">
        <v>50.9</v>
      </c>
      <c r="S240" s="345">
        <v>157.79</v>
      </c>
      <c r="T240" s="348">
        <v>261</v>
      </c>
      <c r="U240" s="345">
        <v>162.31</v>
      </c>
      <c r="V240" s="348">
        <v>1050</v>
      </c>
      <c r="W240" s="345">
        <v>187.27</v>
      </c>
      <c r="X240" s="348">
        <v>79</v>
      </c>
      <c r="Y240" s="345">
        <v>10</v>
      </c>
      <c r="Z240" s="345">
        <v>2</v>
      </c>
      <c r="AA240" s="345">
        <v>1</v>
      </c>
      <c r="AB240" s="345">
        <v>110</v>
      </c>
      <c r="AC240" s="345">
        <v>33</v>
      </c>
      <c r="AD240" s="345">
        <v>3578</v>
      </c>
      <c r="AE240" s="345">
        <v>79</v>
      </c>
      <c r="AF240" s="345">
        <v>9</v>
      </c>
      <c r="AG240" s="345">
        <v>88</v>
      </c>
    </row>
    <row r="241" spans="1:33" x14ac:dyDescent="0.2">
      <c r="A241" s="344" t="s">
        <v>536</v>
      </c>
      <c r="B241" s="344" t="s">
        <v>537</v>
      </c>
      <c r="C241" s="345">
        <v>1859</v>
      </c>
      <c r="D241" s="345">
        <v>0</v>
      </c>
      <c r="E241" s="345">
        <v>93</v>
      </c>
      <c r="F241" s="345">
        <v>116</v>
      </c>
      <c r="G241" s="345">
        <v>427</v>
      </c>
      <c r="H241" s="345">
        <v>2495</v>
      </c>
      <c r="I241" s="345">
        <v>2068</v>
      </c>
      <c r="J241" s="345">
        <v>0</v>
      </c>
      <c r="K241" s="345">
        <v>96.12</v>
      </c>
      <c r="L241" s="345">
        <v>95.08</v>
      </c>
      <c r="M241" s="345">
        <v>4.41</v>
      </c>
      <c r="N241" s="345">
        <v>99.28</v>
      </c>
      <c r="O241" s="348">
        <v>1352</v>
      </c>
      <c r="P241" s="345">
        <v>110.53</v>
      </c>
      <c r="Q241" s="345">
        <v>94.39</v>
      </c>
      <c r="R241" s="345">
        <v>75.09</v>
      </c>
      <c r="S241" s="345">
        <v>184.75</v>
      </c>
      <c r="T241" s="348">
        <v>173</v>
      </c>
      <c r="U241" s="345">
        <v>112.86</v>
      </c>
      <c r="V241" s="348">
        <v>498</v>
      </c>
      <c r="W241" s="345">
        <v>273.45999999999998</v>
      </c>
      <c r="X241" s="348">
        <v>11</v>
      </c>
      <c r="Y241" s="345">
        <v>21</v>
      </c>
      <c r="Z241" s="345">
        <v>0</v>
      </c>
      <c r="AA241" s="345">
        <v>0</v>
      </c>
      <c r="AB241" s="345">
        <v>32</v>
      </c>
      <c r="AC241" s="345">
        <v>4</v>
      </c>
      <c r="AD241" s="345">
        <v>1843</v>
      </c>
      <c r="AE241" s="345">
        <v>20</v>
      </c>
      <c r="AF241" s="345">
        <v>4</v>
      </c>
      <c r="AG241" s="345">
        <v>24</v>
      </c>
    </row>
    <row r="242" spans="1:33" x14ac:dyDescent="0.2">
      <c r="A242" s="344" t="s">
        <v>538</v>
      </c>
      <c r="B242" s="344" t="s">
        <v>539</v>
      </c>
      <c r="C242" s="345">
        <v>11517</v>
      </c>
      <c r="D242" s="345">
        <v>0</v>
      </c>
      <c r="E242" s="345">
        <v>339</v>
      </c>
      <c r="F242" s="345">
        <v>1825</v>
      </c>
      <c r="G242" s="345">
        <v>1248</v>
      </c>
      <c r="H242" s="345">
        <v>14929</v>
      </c>
      <c r="I242" s="345">
        <v>13681</v>
      </c>
      <c r="J242" s="345">
        <v>2</v>
      </c>
      <c r="K242" s="345">
        <v>102.78</v>
      </c>
      <c r="L242" s="345">
        <v>103.03</v>
      </c>
      <c r="M242" s="345">
        <v>5.9</v>
      </c>
      <c r="N242" s="345">
        <v>106.39</v>
      </c>
      <c r="O242" s="348">
        <v>10456</v>
      </c>
      <c r="P242" s="345">
        <v>95.23</v>
      </c>
      <c r="Q242" s="345">
        <v>88.57</v>
      </c>
      <c r="R242" s="345">
        <v>37.32</v>
      </c>
      <c r="S242" s="345">
        <v>131.9</v>
      </c>
      <c r="T242" s="348">
        <v>2007</v>
      </c>
      <c r="U242" s="345">
        <v>146.97999999999999</v>
      </c>
      <c r="V242" s="348">
        <v>698</v>
      </c>
      <c r="W242" s="345">
        <v>109.83</v>
      </c>
      <c r="X242" s="348">
        <v>1</v>
      </c>
      <c r="Y242" s="345">
        <v>0</v>
      </c>
      <c r="Z242" s="345">
        <v>23</v>
      </c>
      <c r="AA242" s="345">
        <v>16</v>
      </c>
      <c r="AB242" s="345">
        <v>125</v>
      </c>
      <c r="AC242" s="345">
        <v>20</v>
      </c>
      <c r="AD242" s="345">
        <v>11198</v>
      </c>
      <c r="AE242" s="345">
        <v>98</v>
      </c>
      <c r="AF242" s="345">
        <v>54</v>
      </c>
      <c r="AG242" s="345">
        <v>152</v>
      </c>
    </row>
    <row r="243" spans="1:33" x14ac:dyDescent="0.2">
      <c r="A243" s="344" t="s">
        <v>540</v>
      </c>
      <c r="B243" s="344" t="s">
        <v>541</v>
      </c>
      <c r="C243" s="345">
        <v>4033</v>
      </c>
      <c r="D243" s="345">
        <v>0</v>
      </c>
      <c r="E243" s="345">
        <v>98</v>
      </c>
      <c r="F243" s="345">
        <v>596</v>
      </c>
      <c r="G243" s="345">
        <v>621</v>
      </c>
      <c r="H243" s="345">
        <v>5348</v>
      </c>
      <c r="I243" s="345">
        <v>4727</v>
      </c>
      <c r="J243" s="345">
        <v>0</v>
      </c>
      <c r="K243" s="345">
        <v>96.11</v>
      </c>
      <c r="L243" s="345">
        <v>92.53</v>
      </c>
      <c r="M243" s="345">
        <v>2.31</v>
      </c>
      <c r="N243" s="345">
        <v>98.29</v>
      </c>
      <c r="O243" s="348">
        <v>3283</v>
      </c>
      <c r="P243" s="345">
        <v>84.97</v>
      </c>
      <c r="Q243" s="345">
        <v>75.55</v>
      </c>
      <c r="R243" s="345">
        <v>38.020000000000003</v>
      </c>
      <c r="S243" s="345">
        <v>122.51</v>
      </c>
      <c r="T243" s="348">
        <v>555</v>
      </c>
      <c r="U243" s="345">
        <v>130.18</v>
      </c>
      <c r="V243" s="348">
        <v>418</v>
      </c>
      <c r="W243" s="345">
        <v>182.48</v>
      </c>
      <c r="X243" s="348">
        <v>52</v>
      </c>
      <c r="Y243" s="345">
        <v>0</v>
      </c>
      <c r="Z243" s="345">
        <v>12</v>
      </c>
      <c r="AA243" s="345">
        <v>1</v>
      </c>
      <c r="AB243" s="345">
        <v>56</v>
      </c>
      <c r="AC243" s="345">
        <v>21</v>
      </c>
      <c r="AD243" s="345">
        <v>3762</v>
      </c>
      <c r="AE243" s="345">
        <v>10</v>
      </c>
      <c r="AF243" s="345">
        <v>12</v>
      </c>
      <c r="AG243" s="345">
        <v>22</v>
      </c>
    </row>
    <row r="244" spans="1:33" x14ac:dyDescent="0.2">
      <c r="A244" s="344" t="s">
        <v>542</v>
      </c>
      <c r="B244" s="344" t="s">
        <v>543</v>
      </c>
      <c r="C244" s="345">
        <v>1213</v>
      </c>
      <c r="D244" s="345">
        <v>0</v>
      </c>
      <c r="E244" s="345">
        <v>107</v>
      </c>
      <c r="F244" s="345">
        <v>0</v>
      </c>
      <c r="G244" s="345">
        <v>483</v>
      </c>
      <c r="H244" s="345">
        <v>1803</v>
      </c>
      <c r="I244" s="345">
        <v>1320</v>
      </c>
      <c r="J244" s="345">
        <v>6</v>
      </c>
      <c r="K244" s="345">
        <v>87.62</v>
      </c>
      <c r="L244" s="345">
        <v>85.73</v>
      </c>
      <c r="M244" s="345">
        <v>4.9800000000000004</v>
      </c>
      <c r="N244" s="345">
        <v>91.64</v>
      </c>
      <c r="O244" s="348">
        <v>749</v>
      </c>
      <c r="P244" s="345">
        <v>134.57</v>
      </c>
      <c r="Q244" s="345">
        <v>70.760000000000005</v>
      </c>
      <c r="R244" s="345">
        <v>99.16</v>
      </c>
      <c r="S244" s="345">
        <v>233.73</v>
      </c>
      <c r="T244" s="348">
        <v>98</v>
      </c>
      <c r="U244" s="345">
        <v>116.39</v>
      </c>
      <c r="V244" s="348">
        <v>345</v>
      </c>
      <c r="W244" s="345">
        <v>0</v>
      </c>
      <c r="X244" s="348">
        <v>0</v>
      </c>
      <c r="Y244" s="345">
        <v>0</v>
      </c>
      <c r="Z244" s="345">
        <v>1</v>
      </c>
      <c r="AA244" s="345">
        <v>0</v>
      </c>
      <c r="AB244" s="345">
        <v>116</v>
      </c>
      <c r="AC244" s="345">
        <v>4</v>
      </c>
      <c r="AD244" s="345">
        <v>1148</v>
      </c>
      <c r="AE244" s="345">
        <v>2</v>
      </c>
      <c r="AF244" s="345">
        <v>4</v>
      </c>
      <c r="AG244" s="345">
        <v>6</v>
      </c>
    </row>
    <row r="245" spans="1:33" x14ac:dyDescent="0.2">
      <c r="A245" s="344" t="s">
        <v>544</v>
      </c>
      <c r="B245" s="344" t="s">
        <v>545</v>
      </c>
      <c r="C245" s="345">
        <v>1858</v>
      </c>
      <c r="D245" s="345">
        <v>0</v>
      </c>
      <c r="E245" s="345">
        <v>141</v>
      </c>
      <c r="F245" s="345">
        <v>268</v>
      </c>
      <c r="G245" s="345">
        <v>568</v>
      </c>
      <c r="H245" s="345">
        <v>2835</v>
      </c>
      <c r="I245" s="345">
        <v>2267</v>
      </c>
      <c r="J245" s="345">
        <v>1</v>
      </c>
      <c r="K245" s="345">
        <v>90.96</v>
      </c>
      <c r="L245" s="345">
        <v>88.9</v>
      </c>
      <c r="M245" s="345">
        <v>5.81</v>
      </c>
      <c r="N245" s="345">
        <v>96.01</v>
      </c>
      <c r="O245" s="348">
        <v>1244</v>
      </c>
      <c r="P245" s="345">
        <v>98.09</v>
      </c>
      <c r="Q245" s="345">
        <v>72.599999999999994</v>
      </c>
      <c r="R245" s="345">
        <v>49.21</v>
      </c>
      <c r="S245" s="345">
        <v>147.31</v>
      </c>
      <c r="T245" s="348">
        <v>276</v>
      </c>
      <c r="U245" s="345">
        <v>112.14</v>
      </c>
      <c r="V245" s="348">
        <v>317</v>
      </c>
      <c r="W245" s="345">
        <v>0</v>
      </c>
      <c r="X245" s="348">
        <v>0</v>
      </c>
      <c r="Y245" s="345">
        <v>55</v>
      </c>
      <c r="Z245" s="345">
        <v>1</v>
      </c>
      <c r="AA245" s="345">
        <v>2</v>
      </c>
      <c r="AB245" s="345">
        <v>49</v>
      </c>
      <c r="AC245" s="345">
        <v>12</v>
      </c>
      <c r="AD245" s="345">
        <v>1768</v>
      </c>
      <c r="AE245" s="345">
        <v>8</v>
      </c>
      <c r="AF245" s="345">
        <v>17</v>
      </c>
      <c r="AG245" s="345">
        <v>25</v>
      </c>
    </row>
    <row r="246" spans="1:33" x14ac:dyDescent="0.2">
      <c r="A246" s="344" t="s">
        <v>546</v>
      </c>
      <c r="B246" s="344" t="s">
        <v>547</v>
      </c>
      <c r="C246" s="345">
        <v>4109</v>
      </c>
      <c r="D246" s="345">
        <v>0</v>
      </c>
      <c r="E246" s="345">
        <v>212</v>
      </c>
      <c r="F246" s="345">
        <v>536</v>
      </c>
      <c r="G246" s="345">
        <v>239</v>
      </c>
      <c r="H246" s="345">
        <v>5096</v>
      </c>
      <c r="I246" s="345">
        <v>4857</v>
      </c>
      <c r="J246" s="345">
        <v>7</v>
      </c>
      <c r="K246" s="345">
        <v>94.68</v>
      </c>
      <c r="L246" s="345">
        <v>94.14</v>
      </c>
      <c r="M246" s="345">
        <v>4.3099999999999996</v>
      </c>
      <c r="N246" s="345">
        <v>95.96</v>
      </c>
      <c r="O246" s="348">
        <v>3510</v>
      </c>
      <c r="P246" s="345">
        <v>87.5</v>
      </c>
      <c r="Q246" s="345">
        <v>83.68</v>
      </c>
      <c r="R246" s="345">
        <v>41.9</v>
      </c>
      <c r="S246" s="345">
        <v>128.83000000000001</v>
      </c>
      <c r="T246" s="348">
        <v>658</v>
      </c>
      <c r="U246" s="345">
        <v>116.47</v>
      </c>
      <c r="V246" s="348">
        <v>493</v>
      </c>
      <c r="W246" s="345">
        <v>210</v>
      </c>
      <c r="X246" s="348">
        <v>24</v>
      </c>
      <c r="Y246" s="345">
        <v>0</v>
      </c>
      <c r="Z246" s="345">
        <v>20</v>
      </c>
      <c r="AA246" s="345">
        <v>0</v>
      </c>
      <c r="AB246" s="345">
        <v>11</v>
      </c>
      <c r="AC246" s="345">
        <v>3</v>
      </c>
      <c r="AD246" s="345">
        <v>4023</v>
      </c>
      <c r="AE246" s="345">
        <v>20</v>
      </c>
      <c r="AF246" s="345">
        <v>9</v>
      </c>
      <c r="AG246" s="345">
        <v>29</v>
      </c>
    </row>
    <row r="247" spans="1:33" x14ac:dyDescent="0.2">
      <c r="A247" s="344" t="s">
        <v>548</v>
      </c>
      <c r="B247" s="344" t="s">
        <v>549</v>
      </c>
      <c r="C247" s="345">
        <v>6716</v>
      </c>
      <c r="D247" s="345">
        <v>0</v>
      </c>
      <c r="E247" s="345">
        <v>215</v>
      </c>
      <c r="F247" s="345">
        <v>819</v>
      </c>
      <c r="G247" s="345">
        <v>721</v>
      </c>
      <c r="H247" s="345">
        <v>8471</v>
      </c>
      <c r="I247" s="345">
        <v>7750</v>
      </c>
      <c r="J247" s="345">
        <v>3</v>
      </c>
      <c r="K247" s="345">
        <v>90.71</v>
      </c>
      <c r="L247" s="345">
        <v>89.97</v>
      </c>
      <c r="M247" s="345">
        <v>5.19</v>
      </c>
      <c r="N247" s="345">
        <v>92.29</v>
      </c>
      <c r="O247" s="348">
        <v>4465</v>
      </c>
      <c r="P247" s="345">
        <v>91.92</v>
      </c>
      <c r="Q247" s="345">
        <v>82.68</v>
      </c>
      <c r="R247" s="345">
        <v>43.94</v>
      </c>
      <c r="S247" s="345">
        <v>135.86000000000001</v>
      </c>
      <c r="T247" s="348">
        <v>987</v>
      </c>
      <c r="U247" s="345">
        <v>118.76</v>
      </c>
      <c r="V247" s="348">
        <v>2033</v>
      </c>
      <c r="W247" s="345">
        <v>0</v>
      </c>
      <c r="X247" s="348">
        <v>0</v>
      </c>
      <c r="Y247" s="345">
        <v>6</v>
      </c>
      <c r="Z247" s="345">
        <v>8</v>
      </c>
      <c r="AA247" s="345">
        <v>22</v>
      </c>
      <c r="AB247" s="345">
        <v>30</v>
      </c>
      <c r="AC247" s="345">
        <v>12</v>
      </c>
      <c r="AD247" s="345">
        <v>6710</v>
      </c>
      <c r="AE247" s="345">
        <v>57</v>
      </c>
      <c r="AF247" s="345">
        <v>12</v>
      </c>
      <c r="AG247" s="345">
        <v>69</v>
      </c>
    </row>
    <row r="248" spans="1:33" x14ac:dyDescent="0.2">
      <c r="A248" s="344" t="s">
        <v>550</v>
      </c>
      <c r="B248" s="344" t="s">
        <v>551</v>
      </c>
      <c r="C248" s="345">
        <v>6733</v>
      </c>
      <c r="D248" s="345">
        <v>2</v>
      </c>
      <c r="E248" s="345">
        <v>244</v>
      </c>
      <c r="F248" s="345">
        <v>787</v>
      </c>
      <c r="G248" s="345">
        <v>1099</v>
      </c>
      <c r="H248" s="345">
        <v>8865</v>
      </c>
      <c r="I248" s="345">
        <v>7766</v>
      </c>
      <c r="J248" s="345">
        <v>0</v>
      </c>
      <c r="K248" s="345">
        <v>114.9</v>
      </c>
      <c r="L248" s="345">
        <v>113.13</v>
      </c>
      <c r="M248" s="345">
        <v>5.51</v>
      </c>
      <c r="N248" s="345">
        <v>117.02</v>
      </c>
      <c r="O248" s="348">
        <v>5370</v>
      </c>
      <c r="P248" s="345">
        <v>98.15</v>
      </c>
      <c r="Q248" s="345">
        <v>94.11</v>
      </c>
      <c r="R248" s="345">
        <v>30.17</v>
      </c>
      <c r="S248" s="345">
        <v>126.52</v>
      </c>
      <c r="T248" s="348">
        <v>824</v>
      </c>
      <c r="U248" s="345">
        <v>184.95</v>
      </c>
      <c r="V248" s="348">
        <v>1255</v>
      </c>
      <c r="W248" s="345">
        <v>168.09</v>
      </c>
      <c r="X248" s="348">
        <v>76</v>
      </c>
      <c r="Y248" s="345">
        <v>3</v>
      </c>
      <c r="Z248" s="345">
        <v>5</v>
      </c>
      <c r="AA248" s="345">
        <v>1</v>
      </c>
      <c r="AB248" s="345">
        <v>109</v>
      </c>
      <c r="AC248" s="345">
        <v>29</v>
      </c>
      <c r="AD248" s="345">
        <v>6654</v>
      </c>
      <c r="AE248" s="345">
        <v>34</v>
      </c>
      <c r="AF248" s="345">
        <v>25</v>
      </c>
      <c r="AG248" s="345">
        <v>59</v>
      </c>
    </row>
    <row r="249" spans="1:33" x14ac:dyDescent="0.2">
      <c r="A249" s="344" t="s">
        <v>552</v>
      </c>
      <c r="B249" s="344" t="s">
        <v>553</v>
      </c>
      <c r="C249" s="345">
        <v>4034</v>
      </c>
      <c r="D249" s="345">
        <v>3</v>
      </c>
      <c r="E249" s="345">
        <v>267</v>
      </c>
      <c r="F249" s="345">
        <v>1048</v>
      </c>
      <c r="G249" s="345">
        <v>277</v>
      </c>
      <c r="H249" s="345">
        <v>5629</v>
      </c>
      <c r="I249" s="345">
        <v>5352</v>
      </c>
      <c r="J249" s="345">
        <v>4</v>
      </c>
      <c r="K249" s="345">
        <v>89.42</v>
      </c>
      <c r="L249" s="345">
        <v>85.7</v>
      </c>
      <c r="M249" s="345">
        <v>2.64</v>
      </c>
      <c r="N249" s="345">
        <v>91.97</v>
      </c>
      <c r="O249" s="348">
        <v>3564</v>
      </c>
      <c r="P249" s="345">
        <v>91.9</v>
      </c>
      <c r="Q249" s="345">
        <v>82.59</v>
      </c>
      <c r="R249" s="345">
        <v>26.18</v>
      </c>
      <c r="S249" s="345">
        <v>117.61</v>
      </c>
      <c r="T249" s="348">
        <v>1231</v>
      </c>
      <c r="U249" s="345">
        <v>107.56</v>
      </c>
      <c r="V249" s="348">
        <v>456</v>
      </c>
      <c r="W249" s="345">
        <v>0</v>
      </c>
      <c r="X249" s="348">
        <v>0</v>
      </c>
      <c r="Y249" s="345">
        <v>0</v>
      </c>
      <c r="Z249" s="345">
        <v>6</v>
      </c>
      <c r="AA249" s="345">
        <v>1</v>
      </c>
      <c r="AB249" s="345">
        <v>30</v>
      </c>
      <c r="AC249" s="345">
        <v>4</v>
      </c>
      <c r="AD249" s="345">
        <v>4032</v>
      </c>
      <c r="AE249" s="345">
        <v>10</v>
      </c>
      <c r="AF249" s="345">
        <v>4</v>
      </c>
      <c r="AG249" s="345">
        <v>14</v>
      </c>
    </row>
    <row r="250" spans="1:33" x14ac:dyDescent="0.2">
      <c r="A250" s="344" t="s">
        <v>554</v>
      </c>
      <c r="B250" s="344" t="s">
        <v>555</v>
      </c>
      <c r="C250" s="345">
        <v>9399</v>
      </c>
      <c r="D250" s="345">
        <v>63</v>
      </c>
      <c r="E250" s="345">
        <v>319</v>
      </c>
      <c r="F250" s="345">
        <v>1698</v>
      </c>
      <c r="G250" s="345">
        <v>810</v>
      </c>
      <c r="H250" s="345">
        <v>12289</v>
      </c>
      <c r="I250" s="345">
        <v>11479</v>
      </c>
      <c r="J250" s="345">
        <v>9</v>
      </c>
      <c r="K250" s="345">
        <v>94.69</v>
      </c>
      <c r="L250" s="345">
        <v>90.86</v>
      </c>
      <c r="M250" s="345">
        <v>4.07</v>
      </c>
      <c r="N250" s="345">
        <v>96.02</v>
      </c>
      <c r="O250" s="348">
        <v>8362</v>
      </c>
      <c r="P250" s="345">
        <v>89.66</v>
      </c>
      <c r="Q250" s="345">
        <v>80.06</v>
      </c>
      <c r="R250" s="345">
        <v>29.82</v>
      </c>
      <c r="S250" s="345">
        <v>119.41</v>
      </c>
      <c r="T250" s="348">
        <v>1964</v>
      </c>
      <c r="U250" s="345">
        <v>123.55</v>
      </c>
      <c r="V250" s="348">
        <v>738</v>
      </c>
      <c r="W250" s="345">
        <v>156.99</v>
      </c>
      <c r="X250" s="348">
        <v>14</v>
      </c>
      <c r="Y250" s="345">
        <v>15</v>
      </c>
      <c r="Z250" s="345">
        <v>44</v>
      </c>
      <c r="AA250" s="345">
        <v>6</v>
      </c>
      <c r="AB250" s="345">
        <v>98</v>
      </c>
      <c r="AC250" s="345">
        <v>25</v>
      </c>
      <c r="AD250" s="345">
        <v>9298</v>
      </c>
      <c r="AE250" s="345">
        <v>39</v>
      </c>
      <c r="AF250" s="345">
        <v>105</v>
      </c>
      <c r="AG250" s="345">
        <v>144</v>
      </c>
    </row>
    <row r="251" spans="1:33" x14ac:dyDescent="0.2">
      <c r="A251" s="344" t="s">
        <v>556</v>
      </c>
      <c r="B251" s="344" t="s">
        <v>557</v>
      </c>
      <c r="C251" s="345">
        <v>5847</v>
      </c>
      <c r="D251" s="345">
        <v>0</v>
      </c>
      <c r="E251" s="345">
        <v>279</v>
      </c>
      <c r="F251" s="345">
        <v>664</v>
      </c>
      <c r="G251" s="345">
        <v>498</v>
      </c>
      <c r="H251" s="345">
        <v>7288</v>
      </c>
      <c r="I251" s="345">
        <v>6790</v>
      </c>
      <c r="J251" s="345">
        <v>0</v>
      </c>
      <c r="K251" s="345">
        <v>90.59</v>
      </c>
      <c r="L251" s="345">
        <v>87.06</v>
      </c>
      <c r="M251" s="345">
        <v>5.54</v>
      </c>
      <c r="N251" s="345">
        <v>92.26</v>
      </c>
      <c r="O251" s="348">
        <v>5689</v>
      </c>
      <c r="P251" s="345">
        <v>85.77</v>
      </c>
      <c r="Q251" s="345">
        <v>78.31</v>
      </c>
      <c r="R251" s="345">
        <v>42.7</v>
      </c>
      <c r="S251" s="345">
        <v>127.08</v>
      </c>
      <c r="T251" s="348">
        <v>793</v>
      </c>
      <c r="U251" s="345">
        <v>107.94</v>
      </c>
      <c r="V251" s="348">
        <v>121</v>
      </c>
      <c r="W251" s="345">
        <v>187.12</v>
      </c>
      <c r="X251" s="348">
        <v>139</v>
      </c>
      <c r="Y251" s="345">
        <v>6</v>
      </c>
      <c r="Z251" s="345">
        <v>6</v>
      </c>
      <c r="AA251" s="345">
        <v>0</v>
      </c>
      <c r="AB251" s="345">
        <v>75</v>
      </c>
      <c r="AC251" s="345">
        <v>4</v>
      </c>
      <c r="AD251" s="345">
        <v>5847</v>
      </c>
      <c r="AE251" s="345">
        <v>27</v>
      </c>
      <c r="AF251" s="345">
        <v>36</v>
      </c>
      <c r="AG251" s="345">
        <v>63</v>
      </c>
    </row>
    <row r="252" spans="1:33" x14ac:dyDescent="0.2">
      <c r="A252" s="344" t="s">
        <v>558</v>
      </c>
      <c r="B252" s="344" t="s">
        <v>559</v>
      </c>
      <c r="C252" s="345">
        <v>3879</v>
      </c>
      <c r="D252" s="345">
        <v>0</v>
      </c>
      <c r="E252" s="345">
        <v>438</v>
      </c>
      <c r="F252" s="345">
        <v>1002</v>
      </c>
      <c r="G252" s="345">
        <v>227</v>
      </c>
      <c r="H252" s="345">
        <v>5546</v>
      </c>
      <c r="I252" s="345">
        <v>5319</v>
      </c>
      <c r="J252" s="345">
        <v>14</v>
      </c>
      <c r="K252" s="345">
        <v>82.14</v>
      </c>
      <c r="L252" s="345">
        <v>79.09</v>
      </c>
      <c r="M252" s="345">
        <v>3.17</v>
      </c>
      <c r="N252" s="345">
        <v>84.27</v>
      </c>
      <c r="O252" s="348">
        <v>3133</v>
      </c>
      <c r="P252" s="345">
        <v>86.38</v>
      </c>
      <c r="Q252" s="345">
        <v>76.62</v>
      </c>
      <c r="R252" s="345">
        <v>65.94</v>
      </c>
      <c r="S252" s="345">
        <v>151.82</v>
      </c>
      <c r="T252" s="348">
        <v>943</v>
      </c>
      <c r="U252" s="345">
        <v>99.58</v>
      </c>
      <c r="V252" s="348">
        <v>660</v>
      </c>
      <c r="W252" s="345">
        <v>125.21</v>
      </c>
      <c r="X252" s="348">
        <v>322</v>
      </c>
      <c r="Y252" s="345">
        <v>0</v>
      </c>
      <c r="Z252" s="345">
        <v>3</v>
      </c>
      <c r="AA252" s="345">
        <v>0</v>
      </c>
      <c r="AB252" s="345">
        <v>4</v>
      </c>
      <c r="AC252" s="345">
        <v>6</v>
      </c>
      <c r="AD252" s="345">
        <v>3678</v>
      </c>
      <c r="AE252" s="345">
        <v>50</v>
      </c>
      <c r="AF252" s="345">
        <v>66</v>
      </c>
      <c r="AG252" s="345">
        <v>116</v>
      </c>
    </row>
    <row r="253" spans="1:33" x14ac:dyDescent="0.2">
      <c r="A253" s="344" t="s">
        <v>560</v>
      </c>
      <c r="B253" s="344" t="s">
        <v>561</v>
      </c>
      <c r="C253" s="345">
        <v>5882</v>
      </c>
      <c r="D253" s="345">
        <v>102</v>
      </c>
      <c r="E253" s="345">
        <v>830</v>
      </c>
      <c r="F253" s="345">
        <v>1087</v>
      </c>
      <c r="G253" s="345">
        <v>990</v>
      </c>
      <c r="H253" s="345">
        <v>8891</v>
      </c>
      <c r="I253" s="345">
        <v>7901</v>
      </c>
      <c r="J253" s="345">
        <v>4</v>
      </c>
      <c r="K253" s="345">
        <v>107.45</v>
      </c>
      <c r="L253" s="345">
        <v>104.88</v>
      </c>
      <c r="M253" s="345">
        <v>7.06</v>
      </c>
      <c r="N253" s="345">
        <v>113.59</v>
      </c>
      <c r="O253" s="348">
        <v>4665</v>
      </c>
      <c r="P253" s="345">
        <v>96.77</v>
      </c>
      <c r="Q253" s="345">
        <v>87.48</v>
      </c>
      <c r="R253" s="345">
        <v>40.520000000000003</v>
      </c>
      <c r="S253" s="345">
        <v>137.07</v>
      </c>
      <c r="T253" s="348">
        <v>1455</v>
      </c>
      <c r="U253" s="345">
        <v>146.07</v>
      </c>
      <c r="V253" s="348">
        <v>816</v>
      </c>
      <c r="W253" s="345">
        <v>149.88999999999999</v>
      </c>
      <c r="X253" s="348">
        <v>24</v>
      </c>
      <c r="Y253" s="345">
        <v>62</v>
      </c>
      <c r="Z253" s="345">
        <v>1</v>
      </c>
      <c r="AA253" s="345">
        <v>12</v>
      </c>
      <c r="AB253" s="345">
        <v>36</v>
      </c>
      <c r="AC253" s="345">
        <v>32</v>
      </c>
      <c r="AD253" s="345">
        <v>5743</v>
      </c>
      <c r="AE253" s="345">
        <v>21</v>
      </c>
      <c r="AF253" s="345">
        <v>24</v>
      </c>
      <c r="AG253" s="345">
        <v>45</v>
      </c>
    </row>
    <row r="254" spans="1:33" x14ac:dyDescent="0.2">
      <c r="A254" s="344" t="s">
        <v>562</v>
      </c>
      <c r="B254" s="344" t="s">
        <v>563</v>
      </c>
      <c r="C254" s="345">
        <v>2850</v>
      </c>
      <c r="D254" s="345">
        <v>0</v>
      </c>
      <c r="E254" s="345">
        <v>559</v>
      </c>
      <c r="F254" s="345">
        <v>318</v>
      </c>
      <c r="G254" s="345">
        <v>451</v>
      </c>
      <c r="H254" s="345">
        <v>4178</v>
      </c>
      <c r="I254" s="345">
        <v>3727</v>
      </c>
      <c r="J254" s="345">
        <v>32</v>
      </c>
      <c r="K254" s="345">
        <v>99.79</v>
      </c>
      <c r="L254" s="345">
        <v>98.09</v>
      </c>
      <c r="M254" s="345">
        <v>14.28</v>
      </c>
      <c r="N254" s="345">
        <v>111.01</v>
      </c>
      <c r="O254" s="348">
        <v>2443</v>
      </c>
      <c r="P254" s="345">
        <v>92.27</v>
      </c>
      <c r="Q254" s="345">
        <v>84.61</v>
      </c>
      <c r="R254" s="345">
        <v>64.19</v>
      </c>
      <c r="S254" s="345">
        <v>154.69</v>
      </c>
      <c r="T254" s="348">
        <v>508</v>
      </c>
      <c r="U254" s="345">
        <v>152.27000000000001</v>
      </c>
      <c r="V254" s="348">
        <v>366</v>
      </c>
      <c r="W254" s="345">
        <v>329.58</v>
      </c>
      <c r="X254" s="348">
        <v>115</v>
      </c>
      <c r="Y254" s="345">
        <v>0</v>
      </c>
      <c r="Z254" s="345">
        <v>0</v>
      </c>
      <c r="AA254" s="345">
        <v>1</v>
      </c>
      <c r="AB254" s="345">
        <v>11</v>
      </c>
      <c r="AC254" s="345">
        <v>7</v>
      </c>
      <c r="AD254" s="345">
        <v>2850</v>
      </c>
      <c r="AE254" s="345">
        <v>15</v>
      </c>
      <c r="AF254" s="345">
        <v>2</v>
      </c>
      <c r="AG254" s="345">
        <v>17</v>
      </c>
    </row>
    <row r="255" spans="1:33" x14ac:dyDescent="0.2">
      <c r="A255" s="344" t="s">
        <v>564</v>
      </c>
      <c r="B255" s="344" t="s">
        <v>565</v>
      </c>
      <c r="C255" s="345">
        <v>14832</v>
      </c>
      <c r="D255" s="345">
        <v>447</v>
      </c>
      <c r="E255" s="345">
        <v>1461</v>
      </c>
      <c r="F255" s="345">
        <v>715</v>
      </c>
      <c r="G255" s="345">
        <v>3070</v>
      </c>
      <c r="H255" s="345">
        <v>20525</v>
      </c>
      <c r="I255" s="345">
        <v>17455</v>
      </c>
      <c r="J255" s="345">
        <v>164</v>
      </c>
      <c r="K255" s="345">
        <v>125.52</v>
      </c>
      <c r="L255" s="345">
        <v>127.27</v>
      </c>
      <c r="M255" s="345">
        <v>15.11</v>
      </c>
      <c r="N255" s="345">
        <v>137.57</v>
      </c>
      <c r="O255" s="348">
        <v>12175</v>
      </c>
      <c r="P255" s="345">
        <v>110.59</v>
      </c>
      <c r="Q255" s="345">
        <v>104.36</v>
      </c>
      <c r="R255" s="345">
        <v>58.07</v>
      </c>
      <c r="S255" s="345">
        <v>165.01</v>
      </c>
      <c r="T255" s="348">
        <v>1830</v>
      </c>
      <c r="U255" s="345">
        <v>206.08</v>
      </c>
      <c r="V255" s="348">
        <v>1206</v>
      </c>
      <c r="W255" s="345">
        <v>213.93</v>
      </c>
      <c r="X255" s="348">
        <v>24</v>
      </c>
      <c r="Y255" s="345">
        <v>0</v>
      </c>
      <c r="Z255" s="345">
        <v>3</v>
      </c>
      <c r="AA255" s="345">
        <v>26</v>
      </c>
      <c r="AB255" s="345">
        <v>102</v>
      </c>
      <c r="AC255" s="345">
        <v>126</v>
      </c>
      <c r="AD255" s="345">
        <v>14134</v>
      </c>
      <c r="AE255" s="345">
        <v>155</v>
      </c>
      <c r="AF255" s="345">
        <v>88</v>
      </c>
      <c r="AG255" s="345">
        <v>243</v>
      </c>
    </row>
    <row r="256" spans="1:33" x14ac:dyDescent="0.2">
      <c r="A256" s="344" t="s">
        <v>566</v>
      </c>
      <c r="B256" s="344" t="s">
        <v>567</v>
      </c>
      <c r="C256" s="345">
        <v>4919</v>
      </c>
      <c r="D256" s="345">
        <v>3</v>
      </c>
      <c r="E256" s="345">
        <v>112</v>
      </c>
      <c r="F256" s="345">
        <v>338</v>
      </c>
      <c r="G256" s="345">
        <v>483</v>
      </c>
      <c r="H256" s="345">
        <v>5855</v>
      </c>
      <c r="I256" s="345">
        <v>5372</v>
      </c>
      <c r="J256" s="345">
        <v>9</v>
      </c>
      <c r="K256" s="345">
        <v>119.3</v>
      </c>
      <c r="L256" s="345">
        <v>113.95</v>
      </c>
      <c r="M256" s="345">
        <v>6</v>
      </c>
      <c r="N256" s="345">
        <v>124.66</v>
      </c>
      <c r="O256" s="348">
        <v>4716</v>
      </c>
      <c r="P256" s="345">
        <v>112.46</v>
      </c>
      <c r="Q256" s="345">
        <v>104.83</v>
      </c>
      <c r="R256" s="345">
        <v>77.099999999999994</v>
      </c>
      <c r="S256" s="345">
        <v>189.11</v>
      </c>
      <c r="T256" s="348">
        <v>346</v>
      </c>
      <c r="U256" s="345">
        <v>219.45</v>
      </c>
      <c r="V256" s="348">
        <v>185</v>
      </c>
      <c r="W256" s="345">
        <v>152.51</v>
      </c>
      <c r="X256" s="348">
        <v>11</v>
      </c>
      <c r="Y256" s="345">
        <v>0</v>
      </c>
      <c r="Z256" s="345">
        <v>2</v>
      </c>
      <c r="AA256" s="345">
        <v>0</v>
      </c>
      <c r="AB256" s="345">
        <v>34</v>
      </c>
      <c r="AC256" s="345">
        <v>14</v>
      </c>
      <c r="AD256" s="345">
        <v>4919</v>
      </c>
      <c r="AE256" s="345">
        <v>42</v>
      </c>
      <c r="AF256" s="345">
        <v>7</v>
      </c>
      <c r="AG256" s="345">
        <v>49</v>
      </c>
    </row>
    <row r="257" spans="1:33" x14ac:dyDescent="0.2">
      <c r="A257" s="344" t="s">
        <v>568</v>
      </c>
      <c r="B257" s="344" t="s">
        <v>569</v>
      </c>
      <c r="C257" s="345">
        <v>2244</v>
      </c>
      <c r="D257" s="345">
        <v>0</v>
      </c>
      <c r="E257" s="345">
        <v>276</v>
      </c>
      <c r="F257" s="345">
        <v>206</v>
      </c>
      <c r="G257" s="345">
        <v>289</v>
      </c>
      <c r="H257" s="345">
        <v>3015</v>
      </c>
      <c r="I257" s="345">
        <v>2726</v>
      </c>
      <c r="J257" s="345">
        <v>3</v>
      </c>
      <c r="K257" s="345">
        <v>124.92</v>
      </c>
      <c r="L257" s="345">
        <v>121.18</v>
      </c>
      <c r="M257" s="345">
        <v>7.95</v>
      </c>
      <c r="N257" s="345">
        <v>131.32</v>
      </c>
      <c r="O257" s="348">
        <v>1618</v>
      </c>
      <c r="P257" s="345">
        <v>123.95</v>
      </c>
      <c r="Q257" s="345">
        <v>107.27</v>
      </c>
      <c r="R257" s="345">
        <v>40.01</v>
      </c>
      <c r="S257" s="345">
        <v>162.99</v>
      </c>
      <c r="T257" s="348">
        <v>415</v>
      </c>
      <c r="U257" s="345">
        <v>204.96</v>
      </c>
      <c r="V257" s="348">
        <v>386</v>
      </c>
      <c r="W257" s="345">
        <v>193.06</v>
      </c>
      <c r="X257" s="348">
        <v>16</v>
      </c>
      <c r="Y257" s="345">
        <v>52</v>
      </c>
      <c r="Z257" s="345">
        <v>0</v>
      </c>
      <c r="AA257" s="345">
        <v>4</v>
      </c>
      <c r="AB257" s="345">
        <v>35</v>
      </c>
      <c r="AC257" s="345">
        <v>10</v>
      </c>
      <c r="AD257" s="345">
        <v>2232</v>
      </c>
      <c r="AE257" s="345">
        <v>27</v>
      </c>
      <c r="AF257" s="345">
        <v>7</v>
      </c>
      <c r="AG257" s="345">
        <v>34</v>
      </c>
    </row>
    <row r="258" spans="1:33" x14ac:dyDescent="0.2">
      <c r="A258" s="344" t="s">
        <v>570</v>
      </c>
      <c r="B258" s="344" t="s">
        <v>571</v>
      </c>
      <c r="C258" s="345">
        <v>14543</v>
      </c>
      <c r="D258" s="345">
        <v>0</v>
      </c>
      <c r="E258" s="345">
        <v>623</v>
      </c>
      <c r="F258" s="345">
        <v>2094</v>
      </c>
      <c r="G258" s="345">
        <v>591</v>
      </c>
      <c r="H258" s="345">
        <v>17851</v>
      </c>
      <c r="I258" s="345">
        <v>17260</v>
      </c>
      <c r="J258" s="345">
        <v>10</v>
      </c>
      <c r="K258" s="345">
        <v>90.72</v>
      </c>
      <c r="L258" s="345">
        <v>87.3</v>
      </c>
      <c r="M258" s="345">
        <v>2</v>
      </c>
      <c r="N258" s="345">
        <v>92.52</v>
      </c>
      <c r="O258" s="348">
        <v>13048</v>
      </c>
      <c r="P258" s="345">
        <v>95.57</v>
      </c>
      <c r="Q258" s="345">
        <v>80.48</v>
      </c>
      <c r="R258" s="345">
        <v>44.8</v>
      </c>
      <c r="S258" s="345">
        <v>139.58000000000001</v>
      </c>
      <c r="T258" s="348">
        <v>2326</v>
      </c>
      <c r="U258" s="345">
        <v>102.94</v>
      </c>
      <c r="V258" s="348">
        <v>1405</v>
      </c>
      <c r="W258" s="345">
        <v>149.15</v>
      </c>
      <c r="X258" s="348">
        <v>219</v>
      </c>
      <c r="Y258" s="345">
        <v>0</v>
      </c>
      <c r="Z258" s="345">
        <v>58</v>
      </c>
      <c r="AA258" s="345">
        <v>1</v>
      </c>
      <c r="AB258" s="345">
        <v>22</v>
      </c>
      <c r="AC258" s="345">
        <v>16</v>
      </c>
      <c r="AD258" s="345">
        <v>14499</v>
      </c>
      <c r="AE258" s="345">
        <v>145</v>
      </c>
      <c r="AF258" s="345">
        <v>93</v>
      </c>
      <c r="AG258" s="345">
        <v>238</v>
      </c>
    </row>
    <row r="259" spans="1:33" x14ac:dyDescent="0.2">
      <c r="A259" s="344" t="s">
        <v>572</v>
      </c>
      <c r="B259" s="344" t="s">
        <v>573</v>
      </c>
      <c r="C259" s="345">
        <v>7221</v>
      </c>
      <c r="D259" s="345">
        <v>0</v>
      </c>
      <c r="E259" s="345">
        <v>264</v>
      </c>
      <c r="F259" s="345">
        <v>1094</v>
      </c>
      <c r="G259" s="345">
        <v>518</v>
      </c>
      <c r="H259" s="345">
        <v>9097</v>
      </c>
      <c r="I259" s="345">
        <v>8579</v>
      </c>
      <c r="J259" s="345">
        <v>0</v>
      </c>
      <c r="K259" s="345">
        <v>84.84</v>
      </c>
      <c r="L259" s="345">
        <v>84.57</v>
      </c>
      <c r="M259" s="345">
        <v>4.59</v>
      </c>
      <c r="N259" s="345">
        <v>87.77</v>
      </c>
      <c r="O259" s="348">
        <v>6388</v>
      </c>
      <c r="P259" s="345">
        <v>87.09</v>
      </c>
      <c r="Q259" s="345">
        <v>78.58</v>
      </c>
      <c r="R259" s="345">
        <v>27.11</v>
      </c>
      <c r="S259" s="345">
        <v>114.17</v>
      </c>
      <c r="T259" s="348">
        <v>1185</v>
      </c>
      <c r="U259" s="345">
        <v>110.66</v>
      </c>
      <c r="V259" s="348">
        <v>797</v>
      </c>
      <c r="W259" s="345">
        <v>187.51</v>
      </c>
      <c r="X259" s="348">
        <v>169</v>
      </c>
      <c r="Y259" s="345">
        <v>56</v>
      </c>
      <c r="Z259" s="345">
        <v>15</v>
      </c>
      <c r="AA259" s="345">
        <v>17</v>
      </c>
      <c r="AB259" s="345">
        <v>63</v>
      </c>
      <c r="AC259" s="345">
        <v>8</v>
      </c>
      <c r="AD259" s="345">
        <v>7221</v>
      </c>
      <c r="AE259" s="345">
        <v>31</v>
      </c>
      <c r="AF259" s="345">
        <v>42</v>
      </c>
      <c r="AG259" s="345">
        <v>73</v>
      </c>
    </row>
    <row r="260" spans="1:33" x14ac:dyDescent="0.2">
      <c r="A260" s="344" t="s">
        <v>574</v>
      </c>
      <c r="B260" s="344" t="s">
        <v>575</v>
      </c>
      <c r="C260" s="345">
        <v>3409</v>
      </c>
      <c r="D260" s="345">
        <v>5</v>
      </c>
      <c r="E260" s="345">
        <v>133</v>
      </c>
      <c r="F260" s="345">
        <v>279</v>
      </c>
      <c r="G260" s="345">
        <v>104</v>
      </c>
      <c r="H260" s="345">
        <v>3930</v>
      </c>
      <c r="I260" s="345">
        <v>3826</v>
      </c>
      <c r="J260" s="345">
        <v>1</v>
      </c>
      <c r="K260" s="345">
        <v>87.23</v>
      </c>
      <c r="L260" s="345">
        <v>83.92</v>
      </c>
      <c r="M260" s="345">
        <v>4.71</v>
      </c>
      <c r="N260" s="345">
        <v>89.23</v>
      </c>
      <c r="O260" s="348">
        <v>3041</v>
      </c>
      <c r="P260" s="345">
        <v>84.21</v>
      </c>
      <c r="Q260" s="345">
        <v>77.180000000000007</v>
      </c>
      <c r="R260" s="345">
        <v>74.19</v>
      </c>
      <c r="S260" s="345">
        <v>158.18</v>
      </c>
      <c r="T260" s="348">
        <v>330</v>
      </c>
      <c r="U260" s="345">
        <v>100.73</v>
      </c>
      <c r="V260" s="348">
        <v>269</v>
      </c>
      <c r="W260" s="345">
        <v>151.76</v>
      </c>
      <c r="X260" s="348">
        <v>72</v>
      </c>
      <c r="Y260" s="345">
        <v>6</v>
      </c>
      <c r="Z260" s="345">
        <v>15</v>
      </c>
      <c r="AA260" s="345">
        <v>3</v>
      </c>
      <c r="AB260" s="345">
        <v>4</v>
      </c>
      <c r="AC260" s="345">
        <v>2</v>
      </c>
      <c r="AD260" s="345">
        <v>3339</v>
      </c>
      <c r="AE260" s="345">
        <v>30</v>
      </c>
      <c r="AF260" s="345">
        <v>4</v>
      </c>
      <c r="AG260" s="345">
        <v>34</v>
      </c>
    </row>
    <row r="261" spans="1:33" x14ac:dyDescent="0.2">
      <c r="A261" s="344" t="s">
        <v>576</v>
      </c>
      <c r="B261" s="344" t="s">
        <v>577</v>
      </c>
      <c r="C261" s="345">
        <v>1722</v>
      </c>
      <c r="D261" s="345">
        <v>14</v>
      </c>
      <c r="E261" s="345">
        <v>171</v>
      </c>
      <c r="F261" s="345">
        <v>311</v>
      </c>
      <c r="G261" s="345">
        <v>598</v>
      </c>
      <c r="H261" s="345">
        <v>2816</v>
      </c>
      <c r="I261" s="345">
        <v>2218</v>
      </c>
      <c r="J261" s="345">
        <v>3</v>
      </c>
      <c r="K261" s="345">
        <v>116</v>
      </c>
      <c r="L261" s="345">
        <v>111.86</v>
      </c>
      <c r="M261" s="345">
        <v>7.19</v>
      </c>
      <c r="N261" s="345">
        <v>122.42</v>
      </c>
      <c r="O261" s="348">
        <v>1425</v>
      </c>
      <c r="P261" s="345">
        <v>108.35</v>
      </c>
      <c r="Q261" s="345">
        <v>89.75</v>
      </c>
      <c r="R261" s="345">
        <v>37.69</v>
      </c>
      <c r="S261" s="345">
        <v>145.13</v>
      </c>
      <c r="T261" s="348">
        <v>415</v>
      </c>
      <c r="U261" s="345">
        <v>146.91</v>
      </c>
      <c r="V261" s="348">
        <v>164</v>
      </c>
      <c r="W261" s="345">
        <v>0</v>
      </c>
      <c r="X261" s="348">
        <v>0</v>
      </c>
      <c r="Y261" s="345">
        <v>0</v>
      </c>
      <c r="Z261" s="345">
        <v>0</v>
      </c>
      <c r="AA261" s="345">
        <v>1</v>
      </c>
      <c r="AB261" s="345">
        <v>37</v>
      </c>
      <c r="AC261" s="345">
        <v>8</v>
      </c>
      <c r="AD261" s="345">
        <v>1608</v>
      </c>
      <c r="AE261" s="345">
        <v>8</v>
      </c>
      <c r="AF261" s="345">
        <v>3</v>
      </c>
      <c r="AG261" s="345">
        <v>11</v>
      </c>
    </row>
    <row r="262" spans="1:33" x14ac:dyDescent="0.2">
      <c r="A262" s="344" t="s">
        <v>578</v>
      </c>
      <c r="B262" s="344" t="s">
        <v>579</v>
      </c>
      <c r="C262" s="345">
        <v>4751</v>
      </c>
      <c r="D262" s="345">
        <v>0</v>
      </c>
      <c r="E262" s="345">
        <v>581</v>
      </c>
      <c r="F262" s="345">
        <v>1241</v>
      </c>
      <c r="G262" s="345">
        <v>1286</v>
      </c>
      <c r="H262" s="345">
        <v>7859</v>
      </c>
      <c r="I262" s="345">
        <v>6573</v>
      </c>
      <c r="J262" s="345">
        <v>4</v>
      </c>
      <c r="K262" s="345">
        <v>85.28</v>
      </c>
      <c r="L262" s="345">
        <v>83.75</v>
      </c>
      <c r="M262" s="345">
        <v>7.16</v>
      </c>
      <c r="N262" s="345">
        <v>89.4</v>
      </c>
      <c r="O262" s="348">
        <v>3845</v>
      </c>
      <c r="P262" s="345">
        <v>87.12</v>
      </c>
      <c r="Q262" s="345">
        <v>79.69</v>
      </c>
      <c r="R262" s="345">
        <v>31.96</v>
      </c>
      <c r="S262" s="345">
        <v>118.42</v>
      </c>
      <c r="T262" s="348">
        <v>1619</v>
      </c>
      <c r="U262" s="345">
        <v>117.97</v>
      </c>
      <c r="V262" s="348">
        <v>661</v>
      </c>
      <c r="W262" s="345">
        <v>180.97</v>
      </c>
      <c r="X262" s="348">
        <v>52</v>
      </c>
      <c r="Y262" s="345">
        <v>6</v>
      </c>
      <c r="Z262" s="345">
        <v>14</v>
      </c>
      <c r="AA262" s="345">
        <v>12</v>
      </c>
      <c r="AB262" s="345">
        <v>18</v>
      </c>
      <c r="AC262" s="345">
        <v>23</v>
      </c>
      <c r="AD262" s="345">
        <v>4275</v>
      </c>
      <c r="AE262" s="345">
        <v>27</v>
      </c>
      <c r="AF262" s="345">
        <v>7</v>
      </c>
      <c r="AG262" s="345">
        <v>34</v>
      </c>
    </row>
    <row r="263" spans="1:33" x14ac:dyDescent="0.2">
      <c r="A263" s="344" t="s">
        <v>580</v>
      </c>
      <c r="B263" s="344" t="s">
        <v>581</v>
      </c>
      <c r="C263" s="345">
        <v>12863</v>
      </c>
      <c r="D263" s="345">
        <v>0</v>
      </c>
      <c r="E263" s="345">
        <v>372</v>
      </c>
      <c r="F263" s="345">
        <v>827</v>
      </c>
      <c r="G263" s="345">
        <v>322</v>
      </c>
      <c r="H263" s="345">
        <v>14384</v>
      </c>
      <c r="I263" s="345">
        <v>14062</v>
      </c>
      <c r="J263" s="345">
        <v>2</v>
      </c>
      <c r="K263" s="345">
        <v>83.92</v>
      </c>
      <c r="L263" s="345">
        <v>86.85</v>
      </c>
      <c r="M263" s="345">
        <v>12.26</v>
      </c>
      <c r="N263" s="345">
        <v>87.32</v>
      </c>
      <c r="O263" s="348">
        <v>10658</v>
      </c>
      <c r="P263" s="345">
        <v>89.61</v>
      </c>
      <c r="Q263" s="345">
        <v>80.88</v>
      </c>
      <c r="R263" s="345">
        <v>56.84</v>
      </c>
      <c r="S263" s="345">
        <v>145.75</v>
      </c>
      <c r="T263" s="348">
        <v>1054</v>
      </c>
      <c r="U263" s="345">
        <v>102.81</v>
      </c>
      <c r="V263" s="348">
        <v>2034</v>
      </c>
      <c r="W263" s="345">
        <v>165.24</v>
      </c>
      <c r="X263" s="348">
        <v>60</v>
      </c>
      <c r="Y263" s="345">
        <v>1</v>
      </c>
      <c r="Z263" s="345">
        <v>47</v>
      </c>
      <c r="AA263" s="345">
        <v>0</v>
      </c>
      <c r="AB263" s="345">
        <v>11</v>
      </c>
      <c r="AC263" s="345">
        <v>10</v>
      </c>
      <c r="AD263" s="345">
        <v>12707</v>
      </c>
      <c r="AE263" s="345">
        <v>90</v>
      </c>
      <c r="AF263" s="345">
        <v>72</v>
      </c>
      <c r="AG263" s="345">
        <v>162</v>
      </c>
    </row>
    <row r="264" spans="1:33" x14ac:dyDescent="0.2">
      <c r="A264" s="344" t="s">
        <v>582</v>
      </c>
      <c r="B264" s="344" t="s">
        <v>583</v>
      </c>
      <c r="C264" s="345">
        <v>6082</v>
      </c>
      <c r="D264" s="345">
        <v>4</v>
      </c>
      <c r="E264" s="345">
        <v>827</v>
      </c>
      <c r="F264" s="345">
        <v>1524</v>
      </c>
      <c r="G264" s="345">
        <v>249</v>
      </c>
      <c r="H264" s="345">
        <v>8686</v>
      </c>
      <c r="I264" s="345">
        <v>8437</v>
      </c>
      <c r="J264" s="345">
        <v>90</v>
      </c>
      <c r="K264" s="345">
        <v>78.27</v>
      </c>
      <c r="L264" s="345">
        <v>77.569999999999993</v>
      </c>
      <c r="M264" s="345">
        <v>4.78</v>
      </c>
      <c r="N264" s="345">
        <v>81.64</v>
      </c>
      <c r="O264" s="348">
        <v>4854</v>
      </c>
      <c r="P264" s="345">
        <v>98.26</v>
      </c>
      <c r="Q264" s="345">
        <v>86.53</v>
      </c>
      <c r="R264" s="345">
        <v>69.95</v>
      </c>
      <c r="S264" s="345">
        <v>167.94</v>
      </c>
      <c r="T264" s="348">
        <v>1790</v>
      </c>
      <c r="U264" s="345">
        <v>101.84</v>
      </c>
      <c r="V264" s="348">
        <v>760</v>
      </c>
      <c r="W264" s="345">
        <v>231.51</v>
      </c>
      <c r="X264" s="348">
        <v>143</v>
      </c>
      <c r="Y264" s="345">
        <v>163</v>
      </c>
      <c r="Z264" s="345">
        <v>6</v>
      </c>
      <c r="AA264" s="345">
        <v>7</v>
      </c>
      <c r="AB264" s="345">
        <v>0</v>
      </c>
      <c r="AC264" s="345">
        <v>10</v>
      </c>
      <c r="AD264" s="345">
        <v>5485</v>
      </c>
      <c r="AE264" s="345">
        <v>60</v>
      </c>
      <c r="AF264" s="345">
        <v>56</v>
      </c>
      <c r="AG264" s="345">
        <v>116</v>
      </c>
    </row>
    <row r="265" spans="1:33" x14ac:dyDescent="0.2">
      <c r="A265" s="344" t="s">
        <v>584</v>
      </c>
      <c r="B265" s="344" t="s">
        <v>585</v>
      </c>
      <c r="C265" s="345">
        <v>7517</v>
      </c>
      <c r="D265" s="345">
        <v>2</v>
      </c>
      <c r="E265" s="345">
        <v>97</v>
      </c>
      <c r="F265" s="345">
        <v>834</v>
      </c>
      <c r="G265" s="345">
        <v>1115</v>
      </c>
      <c r="H265" s="345">
        <v>9565</v>
      </c>
      <c r="I265" s="345">
        <v>8450</v>
      </c>
      <c r="J265" s="345">
        <v>4</v>
      </c>
      <c r="K265" s="345">
        <v>109.11</v>
      </c>
      <c r="L265" s="345">
        <v>106.24</v>
      </c>
      <c r="M265" s="345">
        <v>5.95</v>
      </c>
      <c r="N265" s="345">
        <v>112.1</v>
      </c>
      <c r="O265" s="348">
        <v>6748</v>
      </c>
      <c r="P265" s="345">
        <v>102.69</v>
      </c>
      <c r="Q265" s="345">
        <v>95.5</v>
      </c>
      <c r="R265" s="345">
        <v>44.9</v>
      </c>
      <c r="S265" s="345">
        <v>146.83000000000001</v>
      </c>
      <c r="T265" s="348">
        <v>771</v>
      </c>
      <c r="U265" s="345">
        <v>146.04</v>
      </c>
      <c r="V265" s="348">
        <v>412</v>
      </c>
      <c r="W265" s="345">
        <v>178.98</v>
      </c>
      <c r="X265" s="348">
        <v>91</v>
      </c>
      <c r="Y265" s="345">
        <v>26</v>
      </c>
      <c r="Z265" s="345">
        <v>4</v>
      </c>
      <c r="AA265" s="345">
        <v>3</v>
      </c>
      <c r="AB265" s="345">
        <v>147</v>
      </c>
      <c r="AC265" s="345">
        <v>22</v>
      </c>
      <c r="AD265" s="345">
        <v>7087</v>
      </c>
      <c r="AE265" s="345">
        <v>125</v>
      </c>
      <c r="AF265" s="345">
        <v>38</v>
      </c>
      <c r="AG265" s="345">
        <v>163</v>
      </c>
    </row>
    <row r="266" spans="1:33" x14ac:dyDescent="0.2">
      <c r="A266" s="344" t="s">
        <v>586</v>
      </c>
      <c r="B266" s="344" t="s">
        <v>587</v>
      </c>
      <c r="C266" s="345">
        <v>1809</v>
      </c>
      <c r="D266" s="345">
        <v>12</v>
      </c>
      <c r="E266" s="345">
        <v>155</v>
      </c>
      <c r="F266" s="345">
        <v>139</v>
      </c>
      <c r="G266" s="345">
        <v>675</v>
      </c>
      <c r="H266" s="345">
        <v>2790</v>
      </c>
      <c r="I266" s="345">
        <v>2115</v>
      </c>
      <c r="J266" s="345">
        <v>1</v>
      </c>
      <c r="K266" s="345">
        <v>101.49</v>
      </c>
      <c r="L266" s="345">
        <v>98.75</v>
      </c>
      <c r="M266" s="345">
        <v>5.87</v>
      </c>
      <c r="N266" s="345">
        <v>105.98</v>
      </c>
      <c r="O266" s="348">
        <v>1093</v>
      </c>
      <c r="P266" s="345">
        <v>89.46</v>
      </c>
      <c r="Q266" s="345">
        <v>83.18</v>
      </c>
      <c r="R266" s="345">
        <v>53.85</v>
      </c>
      <c r="S266" s="345">
        <v>142.07</v>
      </c>
      <c r="T266" s="348">
        <v>218</v>
      </c>
      <c r="U266" s="345">
        <v>130.31</v>
      </c>
      <c r="V266" s="348">
        <v>626</v>
      </c>
      <c r="W266" s="345">
        <v>0</v>
      </c>
      <c r="X266" s="348">
        <v>0</v>
      </c>
      <c r="Y266" s="345">
        <v>6</v>
      </c>
      <c r="Z266" s="345">
        <v>1</v>
      </c>
      <c r="AA266" s="345">
        <v>1</v>
      </c>
      <c r="AB266" s="345">
        <v>103</v>
      </c>
      <c r="AC266" s="345">
        <v>8</v>
      </c>
      <c r="AD266" s="345">
        <v>1729</v>
      </c>
      <c r="AE266" s="345">
        <v>23</v>
      </c>
      <c r="AF266" s="345">
        <v>11</v>
      </c>
      <c r="AG266" s="345">
        <v>34</v>
      </c>
    </row>
    <row r="267" spans="1:33" x14ac:dyDescent="0.2">
      <c r="A267" s="344" t="s">
        <v>588</v>
      </c>
      <c r="B267" s="344" t="s">
        <v>589</v>
      </c>
      <c r="C267" s="345">
        <v>31704</v>
      </c>
      <c r="D267" s="345">
        <v>2</v>
      </c>
      <c r="E267" s="345">
        <v>745</v>
      </c>
      <c r="F267" s="345">
        <v>2060</v>
      </c>
      <c r="G267" s="345">
        <v>411</v>
      </c>
      <c r="H267" s="345">
        <v>34922</v>
      </c>
      <c r="I267" s="345">
        <v>34511</v>
      </c>
      <c r="J267" s="345">
        <v>5</v>
      </c>
      <c r="K267" s="345">
        <v>81.31</v>
      </c>
      <c r="L267" s="345">
        <v>81.040000000000006</v>
      </c>
      <c r="M267" s="345">
        <v>7.47</v>
      </c>
      <c r="N267" s="345">
        <v>82.79</v>
      </c>
      <c r="O267" s="348">
        <v>28959</v>
      </c>
      <c r="P267" s="345">
        <v>93.64</v>
      </c>
      <c r="Q267" s="345">
        <v>80.75</v>
      </c>
      <c r="R267" s="345">
        <v>48.53</v>
      </c>
      <c r="S267" s="345">
        <v>140.94</v>
      </c>
      <c r="T267" s="348">
        <v>2507</v>
      </c>
      <c r="U267" s="345">
        <v>99.64</v>
      </c>
      <c r="V267" s="348">
        <v>2376</v>
      </c>
      <c r="W267" s="345">
        <v>222.9</v>
      </c>
      <c r="X267" s="348">
        <v>218</v>
      </c>
      <c r="Y267" s="345">
        <v>0</v>
      </c>
      <c r="Z267" s="345">
        <v>119</v>
      </c>
      <c r="AA267" s="345">
        <v>14</v>
      </c>
      <c r="AB267" s="345">
        <v>18</v>
      </c>
      <c r="AC267" s="345">
        <v>3</v>
      </c>
      <c r="AD267" s="345">
        <v>31409</v>
      </c>
      <c r="AE267" s="345">
        <v>252</v>
      </c>
      <c r="AF267" s="345">
        <v>64</v>
      </c>
      <c r="AG267" s="345">
        <v>316</v>
      </c>
    </row>
    <row r="268" spans="1:33" x14ac:dyDescent="0.2">
      <c r="A268" s="344" t="s">
        <v>590</v>
      </c>
      <c r="B268" s="344" t="s">
        <v>591</v>
      </c>
      <c r="C268" s="345">
        <v>3232</v>
      </c>
      <c r="D268" s="345">
        <v>44</v>
      </c>
      <c r="E268" s="345">
        <v>104</v>
      </c>
      <c r="F268" s="345">
        <v>302</v>
      </c>
      <c r="G268" s="345">
        <v>382</v>
      </c>
      <c r="H268" s="345">
        <v>4064</v>
      </c>
      <c r="I268" s="345">
        <v>3682</v>
      </c>
      <c r="J268" s="345">
        <v>14</v>
      </c>
      <c r="K268" s="345">
        <v>114.17</v>
      </c>
      <c r="L268" s="345">
        <v>111.55</v>
      </c>
      <c r="M268" s="345">
        <v>7.57</v>
      </c>
      <c r="N268" s="345">
        <v>118.55</v>
      </c>
      <c r="O268" s="348">
        <v>2943</v>
      </c>
      <c r="P268" s="345">
        <v>111.91</v>
      </c>
      <c r="Q268" s="345">
        <v>92.03</v>
      </c>
      <c r="R268" s="345">
        <v>35.700000000000003</v>
      </c>
      <c r="S268" s="345">
        <v>147.5</v>
      </c>
      <c r="T268" s="348">
        <v>346</v>
      </c>
      <c r="U268" s="345">
        <v>211.54</v>
      </c>
      <c r="V268" s="348">
        <v>238</v>
      </c>
      <c r="W268" s="345">
        <v>0</v>
      </c>
      <c r="X268" s="348">
        <v>0</v>
      </c>
      <c r="Y268" s="345">
        <v>0</v>
      </c>
      <c r="Z268" s="345">
        <v>1</v>
      </c>
      <c r="AA268" s="345">
        <v>0</v>
      </c>
      <c r="AB268" s="345">
        <v>31</v>
      </c>
      <c r="AC268" s="345">
        <v>8</v>
      </c>
      <c r="AD268" s="345">
        <v>3229</v>
      </c>
      <c r="AE268" s="345">
        <v>36</v>
      </c>
      <c r="AF268" s="345">
        <v>9</v>
      </c>
      <c r="AG268" s="345">
        <v>45</v>
      </c>
    </row>
    <row r="269" spans="1:33" x14ac:dyDescent="0.2">
      <c r="A269" s="344" t="s">
        <v>592</v>
      </c>
      <c r="B269" s="344" t="s">
        <v>593</v>
      </c>
      <c r="C269" s="345">
        <v>4618</v>
      </c>
      <c r="D269" s="345">
        <v>8</v>
      </c>
      <c r="E269" s="345">
        <v>391</v>
      </c>
      <c r="F269" s="345">
        <v>951</v>
      </c>
      <c r="G269" s="345">
        <v>984</v>
      </c>
      <c r="H269" s="345">
        <v>6952</v>
      </c>
      <c r="I269" s="345">
        <v>5968</v>
      </c>
      <c r="J269" s="345">
        <v>11</v>
      </c>
      <c r="K269" s="345">
        <v>120.72</v>
      </c>
      <c r="L269" s="345">
        <v>119.34</v>
      </c>
      <c r="M269" s="345">
        <v>8.6999999999999993</v>
      </c>
      <c r="N269" s="345">
        <v>128.88999999999999</v>
      </c>
      <c r="O269" s="348">
        <v>4022</v>
      </c>
      <c r="P269" s="345">
        <v>121.38</v>
      </c>
      <c r="Q269" s="345">
        <v>108.57</v>
      </c>
      <c r="R269" s="345">
        <v>44.57</v>
      </c>
      <c r="S269" s="345">
        <v>163.93</v>
      </c>
      <c r="T269" s="348">
        <v>819</v>
      </c>
      <c r="U269" s="345">
        <v>188.94</v>
      </c>
      <c r="V269" s="348">
        <v>372</v>
      </c>
      <c r="W269" s="345">
        <v>177.71</v>
      </c>
      <c r="X269" s="348">
        <v>18</v>
      </c>
      <c r="Y269" s="345">
        <v>7</v>
      </c>
      <c r="Z269" s="345">
        <v>3</v>
      </c>
      <c r="AA269" s="345">
        <v>1</v>
      </c>
      <c r="AB269" s="345">
        <v>15</v>
      </c>
      <c r="AC269" s="345">
        <v>33</v>
      </c>
      <c r="AD269" s="345">
        <v>4453</v>
      </c>
      <c r="AE269" s="345">
        <v>46</v>
      </c>
      <c r="AF269" s="345">
        <v>21</v>
      </c>
      <c r="AG269" s="345">
        <v>67</v>
      </c>
    </row>
    <row r="270" spans="1:33" x14ac:dyDescent="0.2">
      <c r="A270" s="344" t="s">
        <v>594</v>
      </c>
      <c r="B270" s="344" t="s">
        <v>595</v>
      </c>
      <c r="C270" s="345">
        <v>7961</v>
      </c>
      <c r="D270" s="345">
        <v>0</v>
      </c>
      <c r="E270" s="345">
        <v>238</v>
      </c>
      <c r="F270" s="345">
        <v>438</v>
      </c>
      <c r="G270" s="345">
        <v>829</v>
      </c>
      <c r="H270" s="345">
        <v>9466</v>
      </c>
      <c r="I270" s="345">
        <v>8637</v>
      </c>
      <c r="J270" s="345">
        <v>25</v>
      </c>
      <c r="K270" s="345">
        <v>100.38</v>
      </c>
      <c r="L270" s="345">
        <v>99.94</v>
      </c>
      <c r="M270" s="345">
        <v>7</v>
      </c>
      <c r="N270" s="345">
        <v>103.61</v>
      </c>
      <c r="O270" s="348">
        <v>6564</v>
      </c>
      <c r="P270" s="345">
        <v>95.5</v>
      </c>
      <c r="Q270" s="345">
        <v>83.91</v>
      </c>
      <c r="R270" s="345">
        <v>55.07</v>
      </c>
      <c r="S270" s="345">
        <v>146.01</v>
      </c>
      <c r="T270" s="348">
        <v>605</v>
      </c>
      <c r="U270" s="345">
        <v>141.04</v>
      </c>
      <c r="V270" s="348">
        <v>1282</v>
      </c>
      <c r="W270" s="345">
        <v>0</v>
      </c>
      <c r="X270" s="348">
        <v>0</v>
      </c>
      <c r="Y270" s="345">
        <v>6</v>
      </c>
      <c r="Z270" s="345">
        <v>2</v>
      </c>
      <c r="AA270" s="345">
        <v>16</v>
      </c>
      <c r="AB270" s="345">
        <v>138</v>
      </c>
      <c r="AC270" s="345">
        <v>18</v>
      </c>
      <c r="AD270" s="345">
        <v>7866</v>
      </c>
      <c r="AE270" s="345">
        <v>66</v>
      </c>
      <c r="AF270" s="345">
        <v>47</v>
      </c>
      <c r="AG270" s="345">
        <v>113</v>
      </c>
    </row>
    <row r="271" spans="1:33" x14ac:dyDescent="0.2">
      <c r="A271" s="344" t="s">
        <v>596</v>
      </c>
      <c r="B271" s="344" t="s">
        <v>597</v>
      </c>
      <c r="C271" s="345">
        <v>4191</v>
      </c>
      <c r="D271" s="345">
        <v>0</v>
      </c>
      <c r="E271" s="345">
        <v>560</v>
      </c>
      <c r="F271" s="345">
        <v>923</v>
      </c>
      <c r="G271" s="345">
        <v>1129</v>
      </c>
      <c r="H271" s="345">
        <v>6803</v>
      </c>
      <c r="I271" s="345">
        <v>5674</v>
      </c>
      <c r="J271" s="345">
        <v>2</v>
      </c>
      <c r="K271" s="345">
        <v>100.41</v>
      </c>
      <c r="L271" s="345">
        <v>97.88</v>
      </c>
      <c r="M271" s="345">
        <v>6.82</v>
      </c>
      <c r="N271" s="345">
        <v>105.74</v>
      </c>
      <c r="O271" s="348">
        <v>3086</v>
      </c>
      <c r="P271" s="345">
        <v>88.59</v>
      </c>
      <c r="Q271" s="345">
        <v>85.97</v>
      </c>
      <c r="R271" s="345">
        <v>53.17</v>
      </c>
      <c r="S271" s="345">
        <v>139.72</v>
      </c>
      <c r="T271" s="348">
        <v>1433</v>
      </c>
      <c r="U271" s="345">
        <v>139.68</v>
      </c>
      <c r="V271" s="348">
        <v>921</v>
      </c>
      <c r="W271" s="345">
        <v>124.19</v>
      </c>
      <c r="X271" s="348">
        <v>1</v>
      </c>
      <c r="Y271" s="345">
        <v>0</v>
      </c>
      <c r="Z271" s="345">
        <v>0</v>
      </c>
      <c r="AA271" s="345">
        <v>1</v>
      </c>
      <c r="AB271" s="345">
        <v>58</v>
      </c>
      <c r="AC271" s="345">
        <v>34</v>
      </c>
      <c r="AD271" s="345">
        <v>4135</v>
      </c>
      <c r="AE271" s="345">
        <v>23</v>
      </c>
      <c r="AF271" s="345">
        <v>11</v>
      </c>
      <c r="AG271" s="345">
        <v>34</v>
      </c>
    </row>
    <row r="272" spans="1:33" x14ac:dyDescent="0.2">
      <c r="A272" s="344" t="s">
        <v>598</v>
      </c>
      <c r="B272" s="344" t="s">
        <v>599</v>
      </c>
      <c r="C272" s="345">
        <v>20186</v>
      </c>
      <c r="D272" s="345">
        <v>0</v>
      </c>
      <c r="E272" s="345">
        <v>655</v>
      </c>
      <c r="F272" s="345">
        <v>1373</v>
      </c>
      <c r="G272" s="345">
        <v>225</v>
      </c>
      <c r="H272" s="345">
        <v>22439</v>
      </c>
      <c r="I272" s="345">
        <v>22214</v>
      </c>
      <c r="J272" s="345">
        <v>15</v>
      </c>
      <c r="K272" s="345">
        <v>83.75</v>
      </c>
      <c r="L272" s="345">
        <v>80.78</v>
      </c>
      <c r="M272" s="345">
        <v>3.8</v>
      </c>
      <c r="N272" s="345">
        <v>87.2</v>
      </c>
      <c r="O272" s="348">
        <v>16664</v>
      </c>
      <c r="P272" s="345">
        <v>84.1</v>
      </c>
      <c r="Q272" s="345">
        <v>74.349999999999994</v>
      </c>
      <c r="R272" s="345">
        <v>40.229999999999997</v>
      </c>
      <c r="S272" s="345">
        <v>122.12</v>
      </c>
      <c r="T272" s="348">
        <v>1841</v>
      </c>
      <c r="U272" s="345">
        <v>108.21</v>
      </c>
      <c r="V272" s="348">
        <v>2528</v>
      </c>
      <c r="W272" s="345">
        <v>133.37</v>
      </c>
      <c r="X272" s="348">
        <v>52</v>
      </c>
      <c r="Y272" s="345">
        <v>0</v>
      </c>
      <c r="Z272" s="345">
        <v>74</v>
      </c>
      <c r="AA272" s="345">
        <v>0</v>
      </c>
      <c r="AB272" s="345">
        <v>1</v>
      </c>
      <c r="AC272" s="345">
        <v>4</v>
      </c>
      <c r="AD272" s="345">
        <v>19211</v>
      </c>
      <c r="AE272" s="345">
        <v>173</v>
      </c>
      <c r="AF272" s="345">
        <v>34</v>
      </c>
      <c r="AG272" s="345">
        <v>207</v>
      </c>
    </row>
    <row r="273" spans="1:33" x14ac:dyDescent="0.2">
      <c r="A273" s="344" t="s">
        <v>600</v>
      </c>
      <c r="B273" s="344" t="s">
        <v>601</v>
      </c>
      <c r="C273" s="345">
        <v>1670</v>
      </c>
      <c r="D273" s="345">
        <v>0</v>
      </c>
      <c r="E273" s="345">
        <v>130</v>
      </c>
      <c r="F273" s="345">
        <v>110</v>
      </c>
      <c r="G273" s="345">
        <v>246</v>
      </c>
      <c r="H273" s="345">
        <v>2156</v>
      </c>
      <c r="I273" s="345">
        <v>1910</v>
      </c>
      <c r="J273" s="345">
        <v>0</v>
      </c>
      <c r="K273" s="345">
        <v>90.38</v>
      </c>
      <c r="L273" s="345">
        <v>86.94</v>
      </c>
      <c r="M273" s="345">
        <v>5.67</v>
      </c>
      <c r="N273" s="345">
        <v>95.23</v>
      </c>
      <c r="O273" s="348">
        <v>1241</v>
      </c>
      <c r="P273" s="345">
        <v>84.55</v>
      </c>
      <c r="Q273" s="345">
        <v>79.34</v>
      </c>
      <c r="R273" s="345">
        <v>39.24</v>
      </c>
      <c r="S273" s="345">
        <v>123.78</v>
      </c>
      <c r="T273" s="348">
        <v>190</v>
      </c>
      <c r="U273" s="345">
        <v>118.24</v>
      </c>
      <c r="V273" s="348">
        <v>415</v>
      </c>
      <c r="W273" s="345">
        <v>0</v>
      </c>
      <c r="X273" s="348">
        <v>0</v>
      </c>
      <c r="Y273" s="345">
        <v>15</v>
      </c>
      <c r="Z273" s="345">
        <v>0</v>
      </c>
      <c r="AA273" s="345">
        <v>0</v>
      </c>
      <c r="AB273" s="345">
        <v>44</v>
      </c>
      <c r="AC273" s="345">
        <v>4</v>
      </c>
      <c r="AD273" s="345">
        <v>1670</v>
      </c>
      <c r="AE273" s="345">
        <v>17</v>
      </c>
      <c r="AF273" s="345">
        <v>2</v>
      </c>
      <c r="AG273" s="345">
        <v>19</v>
      </c>
    </row>
    <row r="274" spans="1:33" x14ac:dyDescent="0.2">
      <c r="A274" s="344" t="s">
        <v>602</v>
      </c>
      <c r="B274" s="344" t="s">
        <v>603</v>
      </c>
      <c r="C274" s="345">
        <v>1192</v>
      </c>
      <c r="D274" s="345">
        <v>0</v>
      </c>
      <c r="E274" s="345">
        <v>128</v>
      </c>
      <c r="F274" s="345">
        <v>75</v>
      </c>
      <c r="G274" s="345">
        <v>367</v>
      </c>
      <c r="H274" s="345">
        <v>1762</v>
      </c>
      <c r="I274" s="345">
        <v>1395</v>
      </c>
      <c r="J274" s="345">
        <v>1</v>
      </c>
      <c r="K274" s="345">
        <v>127.27</v>
      </c>
      <c r="L274" s="345">
        <v>125.16</v>
      </c>
      <c r="M274" s="345">
        <v>8.32</v>
      </c>
      <c r="N274" s="345">
        <v>135.21</v>
      </c>
      <c r="O274" s="348">
        <v>721</v>
      </c>
      <c r="P274" s="345">
        <v>153.46</v>
      </c>
      <c r="Q274" s="345">
        <v>97.45</v>
      </c>
      <c r="R274" s="345">
        <v>51.26</v>
      </c>
      <c r="S274" s="345">
        <v>201.94</v>
      </c>
      <c r="T274" s="348">
        <v>92</v>
      </c>
      <c r="U274" s="345">
        <v>188.35</v>
      </c>
      <c r="V274" s="348">
        <v>366</v>
      </c>
      <c r="W274" s="345">
        <v>147.69999999999999</v>
      </c>
      <c r="X274" s="348">
        <v>8</v>
      </c>
      <c r="Y274" s="345">
        <v>0</v>
      </c>
      <c r="Z274" s="345">
        <v>0</v>
      </c>
      <c r="AA274" s="345">
        <v>0</v>
      </c>
      <c r="AB274" s="345">
        <v>26</v>
      </c>
      <c r="AC274" s="345">
        <v>7</v>
      </c>
      <c r="AD274" s="345">
        <v>1150</v>
      </c>
      <c r="AE274" s="345">
        <v>9</v>
      </c>
      <c r="AF274" s="345">
        <v>0</v>
      </c>
      <c r="AG274" s="345">
        <v>9</v>
      </c>
    </row>
    <row r="275" spans="1:33" x14ac:dyDescent="0.2">
      <c r="A275" s="344" t="s">
        <v>604</v>
      </c>
      <c r="B275" s="344" t="s">
        <v>605</v>
      </c>
      <c r="C275" s="345">
        <v>4310</v>
      </c>
      <c r="D275" s="345">
        <v>0</v>
      </c>
      <c r="E275" s="345">
        <v>218</v>
      </c>
      <c r="F275" s="345">
        <v>1383</v>
      </c>
      <c r="G275" s="345">
        <v>700</v>
      </c>
      <c r="H275" s="345">
        <v>6611</v>
      </c>
      <c r="I275" s="345">
        <v>5911</v>
      </c>
      <c r="J275" s="345">
        <v>0</v>
      </c>
      <c r="K275" s="345">
        <v>88.62</v>
      </c>
      <c r="L275" s="345">
        <v>88</v>
      </c>
      <c r="M275" s="345">
        <v>4.0999999999999996</v>
      </c>
      <c r="N275" s="345">
        <v>92.53</v>
      </c>
      <c r="O275" s="348">
        <v>3388</v>
      </c>
      <c r="P275" s="345">
        <v>86.27</v>
      </c>
      <c r="Q275" s="345">
        <v>81.98</v>
      </c>
      <c r="R275" s="345">
        <v>15.47</v>
      </c>
      <c r="S275" s="345">
        <v>101.61</v>
      </c>
      <c r="T275" s="348">
        <v>1273</v>
      </c>
      <c r="U275" s="345">
        <v>131.38999999999999</v>
      </c>
      <c r="V275" s="348">
        <v>843</v>
      </c>
      <c r="W275" s="345">
        <v>100.53</v>
      </c>
      <c r="X275" s="348">
        <v>10</v>
      </c>
      <c r="Y275" s="345">
        <v>6</v>
      </c>
      <c r="Z275" s="345">
        <v>12</v>
      </c>
      <c r="AA275" s="345">
        <v>7</v>
      </c>
      <c r="AB275" s="345">
        <v>19</v>
      </c>
      <c r="AC275" s="345">
        <v>21</v>
      </c>
      <c r="AD275" s="345">
        <v>4290</v>
      </c>
      <c r="AE275" s="345">
        <v>6</v>
      </c>
      <c r="AF275" s="345">
        <v>13</v>
      </c>
      <c r="AG275" s="345">
        <v>19</v>
      </c>
    </row>
    <row r="276" spans="1:33" x14ac:dyDescent="0.2">
      <c r="A276" s="344" t="s">
        <v>606</v>
      </c>
      <c r="B276" s="344" t="s">
        <v>607</v>
      </c>
      <c r="C276" s="345">
        <v>11531</v>
      </c>
      <c r="D276" s="345">
        <v>0</v>
      </c>
      <c r="E276" s="345">
        <v>361</v>
      </c>
      <c r="F276" s="345">
        <v>1958</v>
      </c>
      <c r="G276" s="345">
        <v>621</v>
      </c>
      <c r="H276" s="345">
        <v>14471</v>
      </c>
      <c r="I276" s="345">
        <v>13850</v>
      </c>
      <c r="J276" s="345">
        <v>129</v>
      </c>
      <c r="K276" s="345">
        <v>92.03</v>
      </c>
      <c r="L276" s="345">
        <v>89.13</v>
      </c>
      <c r="M276" s="345">
        <v>6.18</v>
      </c>
      <c r="N276" s="345">
        <v>94.54</v>
      </c>
      <c r="O276" s="348">
        <v>9575</v>
      </c>
      <c r="P276" s="345">
        <v>91.53</v>
      </c>
      <c r="Q276" s="345">
        <v>88.18</v>
      </c>
      <c r="R276" s="345">
        <v>42.28</v>
      </c>
      <c r="S276" s="345">
        <v>133.77000000000001</v>
      </c>
      <c r="T276" s="348">
        <v>1909</v>
      </c>
      <c r="U276" s="345">
        <v>118.47</v>
      </c>
      <c r="V276" s="348">
        <v>1576</v>
      </c>
      <c r="W276" s="345">
        <v>205.71</v>
      </c>
      <c r="X276" s="348">
        <v>263</v>
      </c>
      <c r="Y276" s="345">
        <v>0</v>
      </c>
      <c r="Z276" s="345">
        <v>50</v>
      </c>
      <c r="AA276" s="345">
        <v>72</v>
      </c>
      <c r="AB276" s="345">
        <v>68</v>
      </c>
      <c r="AC276" s="345">
        <v>9</v>
      </c>
      <c r="AD276" s="345">
        <v>11527</v>
      </c>
      <c r="AE276" s="345">
        <v>259</v>
      </c>
      <c r="AF276" s="345">
        <v>60</v>
      </c>
      <c r="AG276" s="345">
        <v>319</v>
      </c>
    </row>
    <row r="277" spans="1:33" x14ac:dyDescent="0.2">
      <c r="A277" s="344" t="s">
        <v>608</v>
      </c>
      <c r="B277" s="344" t="s">
        <v>609</v>
      </c>
      <c r="C277" s="345">
        <v>2131</v>
      </c>
      <c r="D277" s="345">
        <v>0</v>
      </c>
      <c r="E277" s="345">
        <v>246</v>
      </c>
      <c r="F277" s="345">
        <v>553</v>
      </c>
      <c r="G277" s="345">
        <v>198</v>
      </c>
      <c r="H277" s="345">
        <v>3128</v>
      </c>
      <c r="I277" s="345">
        <v>2930</v>
      </c>
      <c r="J277" s="345">
        <v>4</v>
      </c>
      <c r="K277" s="345">
        <v>102.03</v>
      </c>
      <c r="L277" s="345">
        <v>99.93</v>
      </c>
      <c r="M277" s="345">
        <v>4.53</v>
      </c>
      <c r="N277" s="345">
        <v>105.82</v>
      </c>
      <c r="O277" s="348">
        <v>1723</v>
      </c>
      <c r="P277" s="345">
        <v>92.02</v>
      </c>
      <c r="Q277" s="345">
        <v>84.61</v>
      </c>
      <c r="R277" s="345">
        <v>38.880000000000003</v>
      </c>
      <c r="S277" s="345">
        <v>129.21</v>
      </c>
      <c r="T277" s="348">
        <v>762</v>
      </c>
      <c r="U277" s="345">
        <v>135.33000000000001</v>
      </c>
      <c r="V277" s="348">
        <v>359</v>
      </c>
      <c r="W277" s="345">
        <v>0</v>
      </c>
      <c r="X277" s="348">
        <v>0</v>
      </c>
      <c r="Y277" s="345">
        <v>12</v>
      </c>
      <c r="Z277" s="345">
        <v>0</v>
      </c>
      <c r="AA277" s="345">
        <v>2</v>
      </c>
      <c r="AB277" s="345">
        <v>13</v>
      </c>
      <c r="AC277" s="345">
        <v>2</v>
      </c>
      <c r="AD277" s="345">
        <v>2131</v>
      </c>
      <c r="AE277" s="345">
        <v>15</v>
      </c>
      <c r="AF277" s="345">
        <v>12</v>
      </c>
      <c r="AG277" s="345">
        <v>27</v>
      </c>
    </row>
    <row r="278" spans="1:33" x14ac:dyDescent="0.2">
      <c r="A278" s="344" t="s">
        <v>610</v>
      </c>
      <c r="B278" s="344" t="s">
        <v>611</v>
      </c>
      <c r="C278" s="345">
        <v>7707</v>
      </c>
      <c r="D278" s="345">
        <v>0</v>
      </c>
      <c r="E278" s="345">
        <v>363</v>
      </c>
      <c r="F278" s="345">
        <v>347</v>
      </c>
      <c r="G278" s="345">
        <v>1118</v>
      </c>
      <c r="H278" s="345">
        <v>9535</v>
      </c>
      <c r="I278" s="345">
        <v>8417</v>
      </c>
      <c r="J278" s="345">
        <v>4</v>
      </c>
      <c r="K278" s="345">
        <v>110.47</v>
      </c>
      <c r="L278" s="345">
        <v>108.31</v>
      </c>
      <c r="M278" s="345">
        <v>4.8099999999999996</v>
      </c>
      <c r="N278" s="345">
        <v>114.48</v>
      </c>
      <c r="O278" s="348">
        <v>6273</v>
      </c>
      <c r="P278" s="345">
        <v>97.13</v>
      </c>
      <c r="Q278" s="345">
        <v>92.7</v>
      </c>
      <c r="R278" s="345">
        <v>39.619999999999997</v>
      </c>
      <c r="S278" s="345">
        <v>135.79</v>
      </c>
      <c r="T278" s="348">
        <v>539</v>
      </c>
      <c r="U278" s="345">
        <v>156.32</v>
      </c>
      <c r="V278" s="348">
        <v>1194</v>
      </c>
      <c r="W278" s="345">
        <v>270.05</v>
      </c>
      <c r="X278" s="348">
        <v>40</v>
      </c>
      <c r="Y278" s="345">
        <v>68</v>
      </c>
      <c r="Z278" s="345">
        <v>14</v>
      </c>
      <c r="AA278" s="345">
        <v>12</v>
      </c>
      <c r="AB278" s="345">
        <v>146</v>
      </c>
      <c r="AC278" s="345">
        <v>36</v>
      </c>
      <c r="AD278" s="345">
        <v>7547</v>
      </c>
      <c r="AE278" s="345">
        <v>57</v>
      </c>
      <c r="AF278" s="345">
        <v>34</v>
      </c>
      <c r="AG278" s="345">
        <v>91</v>
      </c>
    </row>
    <row r="279" spans="1:33" x14ac:dyDescent="0.2">
      <c r="A279" s="344" t="s">
        <v>612</v>
      </c>
      <c r="B279" s="344" t="s">
        <v>613</v>
      </c>
      <c r="C279" s="345">
        <v>4813</v>
      </c>
      <c r="D279" s="345">
        <v>0</v>
      </c>
      <c r="E279" s="345">
        <v>78</v>
      </c>
      <c r="F279" s="345">
        <v>571</v>
      </c>
      <c r="G279" s="345">
        <v>974</v>
      </c>
      <c r="H279" s="345">
        <v>6436</v>
      </c>
      <c r="I279" s="345">
        <v>5462</v>
      </c>
      <c r="J279" s="345">
        <v>0</v>
      </c>
      <c r="K279" s="345">
        <v>97.86</v>
      </c>
      <c r="L279" s="345">
        <v>94.14</v>
      </c>
      <c r="M279" s="345">
        <v>5.88</v>
      </c>
      <c r="N279" s="345">
        <v>100.98</v>
      </c>
      <c r="O279" s="348">
        <v>3849</v>
      </c>
      <c r="P279" s="345">
        <v>90.45</v>
      </c>
      <c r="Q279" s="345">
        <v>83.4</v>
      </c>
      <c r="R279" s="345">
        <v>42.24</v>
      </c>
      <c r="S279" s="345">
        <v>132.56</v>
      </c>
      <c r="T279" s="348">
        <v>624</v>
      </c>
      <c r="U279" s="345">
        <v>138.71</v>
      </c>
      <c r="V279" s="348">
        <v>954</v>
      </c>
      <c r="W279" s="345">
        <v>124.85</v>
      </c>
      <c r="X279" s="348">
        <v>17</v>
      </c>
      <c r="Y279" s="345">
        <v>0</v>
      </c>
      <c r="Z279" s="345">
        <v>7</v>
      </c>
      <c r="AA279" s="345">
        <v>6</v>
      </c>
      <c r="AB279" s="345">
        <v>116</v>
      </c>
      <c r="AC279" s="345">
        <v>29</v>
      </c>
      <c r="AD279" s="345">
        <v>4807</v>
      </c>
      <c r="AE279" s="345">
        <v>93</v>
      </c>
      <c r="AF279" s="345">
        <v>5</v>
      </c>
      <c r="AG279" s="345">
        <v>98</v>
      </c>
    </row>
    <row r="280" spans="1:33" x14ac:dyDescent="0.2">
      <c r="A280" s="344" t="s">
        <v>614</v>
      </c>
      <c r="B280" s="344" t="s">
        <v>615</v>
      </c>
      <c r="C280" s="345">
        <v>3877</v>
      </c>
      <c r="D280" s="345">
        <v>0</v>
      </c>
      <c r="E280" s="345">
        <v>96</v>
      </c>
      <c r="F280" s="345">
        <v>691</v>
      </c>
      <c r="G280" s="345">
        <v>230</v>
      </c>
      <c r="H280" s="345">
        <v>4894</v>
      </c>
      <c r="I280" s="345">
        <v>4664</v>
      </c>
      <c r="J280" s="345">
        <v>26</v>
      </c>
      <c r="K280" s="345">
        <v>94.32</v>
      </c>
      <c r="L280" s="345">
        <v>91.36</v>
      </c>
      <c r="M280" s="345">
        <v>8.7200000000000006</v>
      </c>
      <c r="N280" s="345">
        <v>100.56</v>
      </c>
      <c r="O280" s="348">
        <v>3511</v>
      </c>
      <c r="P280" s="345">
        <v>97.63</v>
      </c>
      <c r="Q280" s="345">
        <v>80.45</v>
      </c>
      <c r="R280" s="345">
        <v>60.09</v>
      </c>
      <c r="S280" s="345">
        <v>154.74</v>
      </c>
      <c r="T280" s="348">
        <v>765</v>
      </c>
      <c r="U280" s="345">
        <v>123.51</v>
      </c>
      <c r="V280" s="348">
        <v>329</v>
      </c>
      <c r="W280" s="345">
        <v>0</v>
      </c>
      <c r="X280" s="348">
        <v>0</v>
      </c>
      <c r="Y280" s="345">
        <v>0</v>
      </c>
      <c r="Z280" s="345">
        <v>0</v>
      </c>
      <c r="AA280" s="345">
        <v>30</v>
      </c>
      <c r="AB280" s="345">
        <v>46</v>
      </c>
      <c r="AC280" s="345">
        <v>6</v>
      </c>
      <c r="AD280" s="345">
        <v>3876</v>
      </c>
      <c r="AE280" s="345">
        <v>48</v>
      </c>
      <c r="AF280" s="345">
        <v>16</v>
      </c>
      <c r="AG280" s="345">
        <v>64</v>
      </c>
    </row>
    <row r="281" spans="1:33" x14ac:dyDescent="0.2">
      <c r="A281" s="344" t="s">
        <v>616</v>
      </c>
      <c r="B281" s="344" t="s">
        <v>617</v>
      </c>
      <c r="C281" s="345">
        <v>4617</v>
      </c>
      <c r="D281" s="345">
        <v>21</v>
      </c>
      <c r="E281" s="345">
        <v>61</v>
      </c>
      <c r="F281" s="345">
        <v>856</v>
      </c>
      <c r="G281" s="345">
        <v>340</v>
      </c>
      <c r="H281" s="345">
        <v>5895</v>
      </c>
      <c r="I281" s="345">
        <v>5555</v>
      </c>
      <c r="J281" s="345">
        <v>19</v>
      </c>
      <c r="K281" s="345">
        <v>116.4</v>
      </c>
      <c r="L281" s="345">
        <v>122.93</v>
      </c>
      <c r="M281" s="345">
        <v>6.9</v>
      </c>
      <c r="N281" s="345">
        <v>119.46</v>
      </c>
      <c r="O281" s="348">
        <v>4302</v>
      </c>
      <c r="P281" s="345">
        <v>103.82</v>
      </c>
      <c r="Q281" s="345">
        <v>99.15</v>
      </c>
      <c r="R281" s="345">
        <v>20.86</v>
      </c>
      <c r="S281" s="345">
        <v>122.71</v>
      </c>
      <c r="T281" s="348">
        <v>869</v>
      </c>
      <c r="U281" s="345">
        <v>172.73</v>
      </c>
      <c r="V281" s="348">
        <v>227</v>
      </c>
      <c r="W281" s="345">
        <v>188.31</v>
      </c>
      <c r="X281" s="348">
        <v>4</v>
      </c>
      <c r="Y281" s="345">
        <v>35</v>
      </c>
      <c r="Z281" s="345">
        <v>2</v>
      </c>
      <c r="AA281" s="345">
        <v>28</v>
      </c>
      <c r="AB281" s="345">
        <v>40</v>
      </c>
      <c r="AC281" s="345">
        <v>4</v>
      </c>
      <c r="AD281" s="345">
        <v>4617</v>
      </c>
      <c r="AE281" s="345">
        <v>70</v>
      </c>
      <c r="AF281" s="345">
        <v>8</v>
      </c>
      <c r="AG281" s="345">
        <v>78</v>
      </c>
    </row>
    <row r="282" spans="1:33" x14ac:dyDescent="0.2">
      <c r="A282" s="344" t="s">
        <v>618</v>
      </c>
      <c r="B282" s="344" t="s">
        <v>619</v>
      </c>
      <c r="C282" s="345">
        <v>1926</v>
      </c>
      <c r="D282" s="345">
        <v>0</v>
      </c>
      <c r="E282" s="345">
        <v>137</v>
      </c>
      <c r="F282" s="345">
        <v>93</v>
      </c>
      <c r="G282" s="345">
        <v>459</v>
      </c>
      <c r="H282" s="345">
        <v>2615</v>
      </c>
      <c r="I282" s="345">
        <v>2156</v>
      </c>
      <c r="J282" s="345">
        <v>23</v>
      </c>
      <c r="K282" s="345">
        <v>105.18</v>
      </c>
      <c r="L282" s="345">
        <v>106.32</v>
      </c>
      <c r="M282" s="345">
        <v>9.35</v>
      </c>
      <c r="N282" s="345">
        <v>111.72</v>
      </c>
      <c r="O282" s="348">
        <v>1189</v>
      </c>
      <c r="P282" s="345">
        <v>125.24</v>
      </c>
      <c r="Q282" s="345">
        <v>106.38</v>
      </c>
      <c r="R282" s="345">
        <v>87.96</v>
      </c>
      <c r="S282" s="345">
        <v>210.47</v>
      </c>
      <c r="T282" s="348">
        <v>194</v>
      </c>
      <c r="U282" s="345">
        <v>164.53</v>
      </c>
      <c r="V282" s="348">
        <v>585</v>
      </c>
      <c r="W282" s="345">
        <v>165.01</v>
      </c>
      <c r="X282" s="348">
        <v>4</v>
      </c>
      <c r="Y282" s="345">
        <v>0</v>
      </c>
      <c r="Z282" s="345">
        <v>0</v>
      </c>
      <c r="AA282" s="345">
        <v>0</v>
      </c>
      <c r="AB282" s="345">
        <v>22</v>
      </c>
      <c r="AC282" s="345">
        <v>12</v>
      </c>
      <c r="AD282" s="345">
        <v>1907</v>
      </c>
      <c r="AE282" s="345">
        <v>39</v>
      </c>
      <c r="AF282" s="345">
        <v>3</v>
      </c>
      <c r="AG282" s="345">
        <v>42</v>
      </c>
    </row>
    <row r="283" spans="1:33" x14ac:dyDescent="0.2">
      <c r="A283" s="344" t="s">
        <v>620</v>
      </c>
      <c r="B283" s="344" t="s">
        <v>621</v>
      </c>
      <c r="C283" s="345">
        <v>7769</v>
      </c>
      <c r="D283" s="345">
        <v>1</v>
      </c>
      <c r="E283" s="345">
        <v>147</v>
      </c>
      <c r="F283" s="345">
        <v>640</v>
      </c>
      <c r="G283" s="345">
        <v>1121</v>
      </c>
      <c r="H283" s="345">
        <v>9678</v>
      </c>
      <c r="I283" s="345">
        <v>8557</v>
      </c>
      <c r="J283" s="345">
        <v>4</v>
      </c>
      <c r="K283" s="345">
        <v>116.74</v>
      </c>
      <c r="L283" s="345">
        <v>116.64</v>
      </c>
      <c r="M283" s="345">
        <v>5.65</v>
      </c>
      <c r="N283" s="345">
        <v>117.8</v>
      </c>
      <c r="O283" s="348">
        <v>6493</v>
      </c>
      <c r="P283" s="345">
        <v>101.39</v>
      </c>
      <c r="Q283" s="345">
        <v>92.74</v>
      </c>
      <c r="R283" s="345">
        <v>43.09</v>
      </c>
      <c r="S283" s="345">
        <v>141.41</v>
      </c>
      <c r="T283" s="348">
        <v>560</v>
      </c>
      <c r="U283" s="345">
        <v>152.59</v>
      </c>
      <c r="V283" s="348">
        <v>1212</v>
      </c>
      <c r="W283" s="345">
        <v>243.94</v>
      </c>
      <c r="X283" s="348">
        <v>131</v>
      </c>
      <c r="Y283" s="345">
        <v>0</v>
      </c>
      <c r="Z283" s="345">
        <v>2</v>
      </c>
      <c r="AA283" s="345">
        <v>0</v>
      </c>
      <c r="AB283" s="345">
        <v>46</v>
      </c>
      <c r="AC283" s="345">
        <v>16</v>
      </c>
      <c r="AD283" s="345">
        <v>7762</v>
      </c>
      <c r="AE283" s="345">
        <v>137</v>
      </c>
      <c r="AF283" s="345">
        <v>4</v>
      </c>
      <c r="AG283" s="345">
        <v>141</v>
      </c>
    </row>
    <row r="284" spans="1:33" x14ac:dyDescent="0.2">
      <c r="A284" s="344" t="s">
        <v>622</v>
      </c>
      <c r="B284" s="344" t="s">
        <v>623</v>
      </c>
      <c r="C284" s="345">
        <v>4251</v>
      </c>
      <c r="D284" s="345">
        <v>11</v>
      </c>
      <c r="E284" s="345">
        <v>290</v>
      </c>
      <c r="F284" s="345">
        <v>879</v>
      </c>
      <c r="G284" s="345">
        <v>542</v>
      </c>
      <c r="H284" s="345">
        <v>5973</v>
      </c>
      <c r="I284" s="345">
        <v>5431</v>
      </c>
      <c r="J284" s="345">
        <v>4</v>
      </c>
      <c r="K284" s="345">
        <v>90.09</v>
      </c>
      <c r="L284" s="345">
        <v>89.2</v>
      </c>
      <c r="M284" s="345">
        <v>6.43</v>
      </c>
      <c r="N284" s="345">
        <v>95.62</v>
      </c>
      <c r="O284" s="348">
        <v>3684</v>
      </c>
      <c r="P284" s="345">
        <v>90.69</v>
      </c>
      <c r="Q284" s="345">
        <v>83.69</v>
      </c>
      <c r="R284" s="345">
        <v>41.82</v>
      </c>
      <c r="S284" s="345">
        <v>131.82</v>
      </c>
      <c r="T284" s="348">
        <v>896</v>
      </c>
      <c r="U284" s="345">
        <v>123.03</v>
      </c>
      <c r="V284" s="348">
        <v>473</v>
      </c>
      <c r="W284" s="345">
        <v>111.27</v>
      </c>
      <c r="X284" s="348">
        <v>17</v>
      </c>
      <c r="Y284" s="345">
        <v>0</v>
      </c>
      <c r="Z284" s="345">
        <v>5</v>
      </c>
      <c r="AA284" s="345">
        <v>20</v>
      </c>
      <c r="AB284" s="345">
        <v>2</v>
      </c>
      <c r="AC284" s="345">
        <v>14</v>
      </c>
      <c r="AD284" s="345">
        <v>4173</v>
      </c>
      <c r="AE284" s="345">
        <v>12</v>
      </c>
      <c r="AF284" s="345">
        <v>22</v>
      </c>
      <c r="AG284" s="345">
        <v>34</v>
      </c>
    </row>
    <row r="285" spans="1:33" x14ac:dyDescent="0.2">
      <c r="A285" s="344" t="s">
        <v>624</v>
      </c>
      <c r="B285" s="344" t="s">
        <v>625</v>
      </c>
      <c r="C285" s="345">
        <v>2422</v>
      </c>
      <c r="D285" s="345">
        <v>0</v>
      </c>
      <c r="E285" s="345">
        <v>32</v>
      </c>
      <c r="F285" s="345">
        <v>386</v>
      </c>
      <c r="G285" s="345">
        <v>203</v>
      </c>
      <c r="H285" s="345">
        <v>3043</v>
      </c>
      <c r="I285" s="345">
        <v>2840</v>
      </c>
      <c r="J285" s="345">
        <v>0</v>
      </c>
      <c r="K285" s="345">
        <v>85.58</v>
      </c>
      <c r="L285" s="345">
        <v>84.94</v>
      </c>
      <c r="M285" s="345">
        <v>3.52</v>
      </c>
      <c r="N285" s="345">
        <v>87.75</v>
      </c>
      <c r="O285" s="348">
        <v>2274</v>
      </c>
      <c r="P285" s="345">
        <v>73.77</v>
      </c>
      <c r="Q285" s="345">
        <v>71.17</v>
      </c>
      <c r="R285" s="345">
        <v>31.17</v>
      </c>
      <c r="S285" s="345">
        <v>100.86</v>
      </c>
      <c r="T285" s="348">
        <v>344</v>
      </c>
      <c r="U285" s="345">
        <v>111.82</v>
      </c>
      <c r="V285" s="348">
        <v>144</v>
      </c>
      <c r="W285" s="345">
        <v>213.16</v>
      </c>
      <c r="X285" s="348">
        <v>41</v>
      </c>
      <c r="Y285" s="345">
        <v>0</v>
      </c>
      <c r="Z285" s="345">
        <v>5</v>
      </c>
      <c r="AA285" s="345">
        <v>2</v>
      </c>
      <c r="AB285" s="345">
        <v>11</v>
      </c>
      <c r="AC285" s="345">
        <v>8</v>
      </c>
      <c r="AD285" s="345">
        <v>2406</v>
      </c>
      <c r="AE285" s="345">
        <v>2</v>
      </c>
      <c r="AF285" s="345">
        <v>2</v>
      </c>
      <c r="AG285" s="345">
        <v>4</v>
      </c>
    </row>
    <row r="286" spans="1:33" x14ac:dyDescent="0.2">
      <c r="A286" s="344" t="s">
        <v>626</v>
      </c>
      <c r="B286" s="344" t="s">
        <v>627</v>
      </c>
      <c r="C286" s="345">
        <v>30278</v>
      </c>
      <c r="D286" s="345">
        <v>86</v>
      </c>
      <c r="E286" s="345">
        <v>1466</v>
      </c>
      <c r="F286" s="345">
        <v>904</v>
      </c>
      <c r="G286" s="345">
        <v>3754</v>
      </c>
      <c r="H286" s="345">
        <v>36488</v>
      </c>
      <c r="I286" s="345">
        <v>32734</v>
      </c>
      <c r="J286" s="345">
        <v>312</v>
      </c>
      <c r="K286" s="345">
        <v>128.69999999999999</v>
      </c>
      <c r="L286" s="345">
        <v>132.58000000000001</v>
      </c>
      <c r="M286" s="345">
        <v>18.36</v>
      </c>
      <c r="N286" s="345">
        <v>145.54</v>
      </c>
      <c r="O286" s="348">
        <v>25372</v>
      </c>
      <c r="P286" s="345">
        <v>117.91</v>
      </c>
      <c r="Q286" s="345">
        <v>112.18</v>
      </c>
      <c r="R286" s="345">
        <v>77.56</v>
      </c>
      <c r="S286" s="345">
        <v>194.27</v>
      </c>
      <c r="T286" s="348">
        <v>1819</v>
      </c>
      <c r="U286" s="345">
        <v>221.81</v>
      </c>
      <c r="V286" s="348">
        <v>3174</v>
      </c>
      <c r="W286" s="345">
        <v>233.91</v>
      </c>
      <c r="X286" s="348">
        <v>214</v>
      </c>
      <c r="Y286" s="345">
        <v>32</v>
      </c>
      <c r="Z286" s="345">
        <v>10</v>
      </c>
      <c r="AA286" s="345">
        <v>111</v>
      </c>
      <c r="AB286" s="345">
        <v>324</v>
      </c>
      <c r="AC286" s="345">
        <v>124</v>
      </c>
      <c r="AD286" s="345">
        <v>29111</v>
      </c>
      <c r="AE286" s="345">
        <v>230</v>
      </c>
      <c r="AF286" s="345">
        <v>399</v>
      </c>
      <c r="AG286" s="345">
        <v>629</v>
      </c>
    </row>
    <row r="287" spans="1:33" x14ac:dyDescent="0.2">
      <c r="A287" s="344" t="s">
        <v>628</v>
      </c>
      <c r="B287" s="344" t="s">
        <v>629</v>
      </c>
      <c r="C287" s="345">
        <v>11814</v>
      </c>
      <c r="D287" s="345">
        <v>0</v>
      </c>
      <c r="E287" s="345">
        <v>504</v>
      </c>
      <c r="F287" s="345">
        <v>3251</v>
      </c>
      <c r="G287" s="345">
        <v>600</v>
      </c>
      <c r="H287" s="345">
        <v>16169</v>
      </c>
      <c r="I287" s="345">
        <v>15569</v>
      </c>
      <c r="J287" s="345">
        <v>0</v>
      </c>
      <c r="K287" s="345">
        <v>90.1</v>
      </c>
      <c r="L287" s="345">
        <v>89.96</v>
      </c>
      <c r="M287" s="345">
        <v>5.35</v>
      </c>
      <c r="N287" s="345">
        <v>94.08</v>
      </c>
      <c r="O287" s="348">
        <v>9805</v>
      </c>
      <c r="P287" s="345">
        <v>92.49</v>
      </c>
      <c r="Q287" s="345">
        <v>88.19</v>
      </c>
      <c r="R287" s="345">
        <v>27.82</v>
      </c>
      <c r="S287" s="345">
        <v>120.25</v>
      </c>
      <c r="T287" s="348">
        <v>3570</v>
      </c>
      <c r="U287" s="345">
        <v>124.47</v>
      </c>
      <c r="V287" s="348">
        <v>1901</v>
      </c>
      <c r="W287" s="345">
        <v>168.91</v>
      </c>
      <c r="X287" s="348">
        <v>117</v>
      </c>
      <c r="Y287" s="345">
        <v>0</v>
      </c>
      <c r="Z287" s="345">
        <v>28</v>
      </c>
      <c r="AA287" s="345">
        <v>5</v>
      </c>
      <c r="AB287" s="345">
        <v>24</v>
      </c>
      <c r="AC287" s="345">
        <v>22</v>
      </c>
      <c r="AD287" s="345">
        <v>11763</v>
      </c>
      <c r="AE287" s="345">
        <v>62</v>
      </c>
      <c r="AF287" s="345">
        <v>121</v>
      </c>
      <c r="AG287" s="345">
        <v>183</v>
      </c>
    </row>
    <row r="288" spans="1:33" x14ac:dyDescent="0.2">
      <c r="A288" s="344" t="s">
        <v>630</v>
      </c>
      <c r="B288" s="344" t="s">
        <v>631</v>
      </c>
      <c r="C288" s="345">
        <v>6416</v>
      </c>
      <c r="D288" s="345">
        <v>0</v>
      </c>
      <c r="E288" s="345">
        <v>178</v>
      </c>
      <c r="F288" s="345">
        <v>789</v>
      </c>
      <c r="G288" s="345">
        <v>556</v>
      </c>
      <c r="H288" s="345">
        <v>7939</v>
      </c>
      <c r="I288" s="345">
        <v>7383</v>
      </c>
      <c r="J288" s="345">
        <v>6</v>
      </c>
      <c r="K288" s="345">
        <v>113.43</v>
      </c>
      <c r="L288" s="345">
        <v>108.44</v>
      </c>
      <c r="M288" s="345">
        <v>4.54</v>
      </c>
      <c r="N288" s="345">
        <v>117.2</v>
      </c>
      <c r="O288" s="348">
        <v>5452</v>
      </c>
      <c r="P288" s="345">
        <v>104.89</v>
      </c>
      <c r="Q288" s="345">
        <v>87.87</v>
      </c>
      <c r="R288" s="345">
        <v>35.54</v>
      </c>
      <c r="S288" s="345">
        <v>138.91999999999999</v>
      </c>
      <c r="T288" s="348">
        <v>682</v>
      </c>
      <c r="U288" s="345">
        <v>164.15</v>
      </c>
      <c r="V288" s="348">
        <v>743</v>
      </c>
      <c r="W288" s="345">
        <v>135.49</v>
      </c>
      <c r="X288" s="348">
        <v>131</v>
      </c>
      <c r="Y288" s="345">
        <v>27</v>
      </c>
      <c r="Z288" s="345">
        <v>2</v>
      </c>
      <c r="AA288" s="345">
        <v>18</v>
      </c>
      <c r="AB288" s="345">
        <v>45</v>
      </c>
      <c r="AC288" s="345">
        <v>5</v>
      </c>
      <c r="AD288" s="345">
        <v>6251</v>
      </c>
      <c r="AE288" s="345">
        <v>62</v>
      </c>
      <c r="AF288" s="345">
        <v>61</v>
      </c>
      <c r="AG288" s="345">
        <v>123</v>
      </c>
    </row>
    <row r="289" spans="1:33" x14ac:dyDescent="0.2">
      <c r="A289" s="344" t="s">
        <v>632</v>
      </c>
      <c r="B289" s="344" t="s">
        <v>633</v>
      </c>
      <c r="C289" s="345">
        <v>1914</v>
      </c>
      <c r="D289" s="345">
        <v>0</v>
      </c>
      <c r="E289" s="345">
        <v>86</v>
      </c>
      <c r="F289" s="345">
        <v>260</v>
      </c>
      <c r="G289" s="345">
        <v>588</v>
      </c>
      <c r="H289" s="345">
        <v>2848</v>
      </c>
      <c r="I289" s="345">
        <v>2260</v>
      </c>
      <c r="J289" s="345">
        <v>1</v>
      </c>
      <c r="K289" s="345">
        <v>111.07</v>
      </c>
      <c r="L289" s="345">
        <v>109.98</v>
      </c>
      <c r="M289" s="345">
        <v>6.5</v>
      </c>
      <c r="N289" s="345">
        <v>115.65</v>
      </c>
      <c r="O289" s="348">
        <v>995</v>
      </c>
      <c r="P289" s="345">
        <v>108.92</v>
      </c>
      <c r="Q289" s="345">
        <v>96.87</v>
      </c>
      <c r="R289" s="345">
        <v>64.73</v>
      </c>
      <c r="S289" s="345">
        <v>172.67</v>
      </c>
      <c r="T289" s="348">
        <v>266</v>
      </c>
      <c r="U289" s="345">
        <v>165.3</v>
      </c>
      <c r="V289" s="348">
        <v>899</v>
      </c>
      <c r="W289" s="345">
        <v>178.78</v>
      </c>
      <c r="X289" s="348">
        <v>79</v>
      </c>
      <c r="Y289" s="345">
        <v>1</v>
      </c>
      <c r="Z289" s="345">
        <v>0</v>
      </c>
      <c r="AA289" s="345">
        <v>0</v>
      </c>
      <c r="AB289" s="345">
        <v>19</v>
      </c>
      <c r="AC289" s="345">
        <v>15</v>
      </c>
      <c r="AD289" s="345">
        <v>1913</v>
      </c>
      <c r="AE289" s="345">
        <v>9</v>
      </c>
      <c r="AF289" s="345">
        <v>10</v>
      </c>
      <c r="AG289" s="345">
        <v>19</v>
      </c>
    </row>
    <row r="290" spans="1:33" x14ac:dyDescent="0.2">
      <c r="A290" s="344" t="s">
        <v>634</v>
      </c>
      <c r="B290" s="344" t="s">
        <v>635</v>
      </c>
      <c r="C290" s="345">
        <v>7725</v>
      </c>
      <c r="D290" s="345">
        <v>0</v>
      </c>
      <c r="E290" s="345">
        <v>253</v>
      </c>
      <c r="F290" s="345">
        <v>433</v>
      </c>
      <c r="G290" s="345">
        <v>1078</v>
      </c>
      <c r="H290" s="345">
        <v>9489</v>
      </c>
      <c r="I290" s="345">
        <v>8411</v>
      </c>
      <c r="J290" s="345">
        <v>1</v>
      </c>
      <c r="K290" s="345">
        <v>110.04</v>
      </c>
      <c r="L290" s="345">
        <v>107.05</v>
      </c>
      <c r="M290" s="345">
        <v>6.19</v>
      </c>
      <c r="N290" s="345">
        <v>111.29</v>
      </c>
      <c r="O290" s="348">
        <v>5543</v>
      </c>
      <c r="P290" s="345">
        <v>101.29</v>
      </c>
      <c r="Q290" s="345">
        <v>93.99</v>
      </c>
      <c r="R290" s="345">
        <v>28.57</v>
      </c>
      <c r="S290" s="345">
        <v>127.46</v>
      </c>
      <c r="T290" s="348">
        <v>595</v>
      </c>
      <c r="U290" s="345">
        <v>176.1</v>
      </c>
      <c r="V290" s="348">
        <v>2175</v>
      </c>
      <c r="W290" s="345">
        <v>190.51</v>
      </c>
      <c r="X290" s="348">
        <v>27</v>
      </c>
      <c r="Y290" s="345">
        <v>46</v>
      </c>
      <c r="Z290" s="345">
        <v>2</v>
      </c>
      <c r="AA290" s="345">
        <v>12</v>
      </c>
      <c r="AB290" s="345">
        <v>85</v>
      </c>
      <c r="AC290" s="345">
        <v>25</v>
      </c>
      <c r="AD290" s="345">
        <v>7676</v>
      </c>
      <c r="AE290" s="345">
        <v>86</v>
      </c>
      <c r="AF290" s="345">
        <v>7</v>
      </c>
      <c r="AG290" s="345">
        <v>93</v>
      </c>
    </row>
    <row r="291" spans="1:33" x14ac:dyDescent="0.2">
      <c r="A291" s="344" t="s">
        <v>636</v>
      </c>
      <c r="B291" s="344" t="s">
        <v>637</v>
      </c>
      <c r="C291" s="345">
        <v>32452</v>
      </c>
      <c r="D291" s="345">
        <v>1</v>
      </c>
      <c r="E291" s="345">
        <v>2106</v>
      </c>
      <c r="F291" s="345">
        <v>655</v>
      </c>
      <c r="G291" s="345">
        <v>1167</v>
      </c>
      <c r="H291" s="345">
        <v>36381</v>
      </c>
      <c r="I291" s="345">
        <v>35214</v>
      </c>
      <c r="J291" s="345">
        <v>0</v>
      </c>
      <c r="K291" s="345">
        <v>84.79</v>
      </c>
      <c r="L291" s="345">
        <v>85.07</v>
      </c>
      <c r="M291" s="345">
        <v>4.47</v>
      </c>
      <c r="N291" s="345">
        <v>85.59</v>
      </c>
      <c r="O291" s="348">
        <v>29698</v>
      </c>
      <c r="P291" s="345">
        <v>85.21</v>
      </c>
      <c r="Q291" s="345">
        <v>79.2</v>
      </c>
      <c r="R291" s="345">
        <v>40.29</v>
      </c>
      <c r="S291" s="345">
        <v>125.25</v>
      </c>
      <c r="T291" s="348">
        <v>2507</v>
      </c>
      <c r="U291" s="345">
        <v>101.86</v>
      </c>
      <c r="V291" s="348">
        <v>2436</v>
      </c>
      <c r="W291" s="345">
        <v>149.22999999999999</v>
      </c>
      <c r="X291" s="348">
        <v>26</v>
      </c>
      <c r="Y291" s="345">
        <v>9</v>
      </c>
      <c r="Z291" s="345">
        <v>176</v>
      </c>
      <c r="AA291" s="345">
        <v>7</v>
      </c>
      <c r="AB291" s="345">
        <v>125</v>
      </c>
      <c r="AC291" s="345">
        <v>31</v>
      </c>
      <c r="AD291" s="345">
        <v>32428</v>
      </c>
      <c r="AE291" s="345">
        <v>190</v>
      </c>
      <c r="AF291" s="345">
        <v>186</v>
      </c>
      <c r="AG291" s="345">
        <v>376</v>
      </c>
    </row>
    <row r="292" spans="1:33" x14ac:dyDescent="0.2">
      <c r="A292" s="344" t="s">
        <v>638</v>
      </c>
      <c r="B292" s="344" t="s">
        <v>639</v>
      </c>
      <c r="C292" s="345">
        <v>26485</v>
      </c>
      <c r="D292" s="345">
        <v>7</v>
      </c>
      <c r="E292" s="345">
        <v>495</v>
      </c>
      <c r="F292" s="345">
        <v>792</v>
      </c>
      <c r="G292" s="345">
        <v>512</v>
      </c>
      <c r="H292" s="345">
        <v>28291</v>
      </c>
      <c r="I292" s="345">
        <v>27779</v>
      </c>
      <c r="J292" s="345">
        <v>17</v>
      </c>
      <c r="K292" s="345">
        <v>87.3</v>
      </c>
      <c r="L292" s="345">
        <v>87.29</v>
      </c>
      <c r="M292" s="345">
        <v>10.35</v>
      </c>
      <c r="N292" s="345">
        <v>92.57</v>
      </c>
      <c r="O292" s="348">
        <v>23930</v>
      </c>
      <c r="P292" s="345">
        <v>102.02</v>
      </c>
      <c r="Q292" s="345">
        <v>90.79</v>
      </c>
      <c r="R292" s="345">
        <v>51.82</v>
      </c>
      <c r="S292" s="345">
        <v>151.9</v>
      </c>
      <c r="T292" s="348">
        <v>1015</v>
      </c>
      <c r="U292" s="345">
        <v>113.75</v>
      </c>
      <c r="V292" s="348">
        <v>2324</v>
      </c>
      <c r="W292" s="345">
        <v>146.74</v>
      </c>
      <c r="X292" s="348">
        <v>201</v>
      </c>
      <c r="Y292" s="345">
        <v>0</v>
      </c>
      <c r="Z292" s="345">
        <v>104</v>
      </c>
      <c r="AA292" s="345">
        <v>8</v>
      </c>
      <c r="AB292" s="345">
        <v>4</v>
      </c>
      <c r="AC292" s="345">
        <v>16</v>
      </c>
      <c r="AD292" s="345">
        <v>26428</v>
      </c>
      <c r="AE292" s="345">
        <v>252</v>
      </c>
      <c r="AF292" s="345">
        <v>43</v>
      </c>
      <c r="AG292" s="345">
        <v>295</v>
      </c>
    </row>
    <row r="293" spans="1:33" x14ac:dyDescent="0.2">
      <c r="A293" s="344" t="s">
        <v>640</v>
      </c>
      <c r="B293" s="344" t="s">
        <v>641</v>
      </c>
      <c r="C293" s="345">
        <v>10965</v>
      </c>
      <c r="D293" s="345">
        <v>13</v>
      </c>
      <c r="E293" s="345">
        <v>1001</v>
      </c>
      <c r="F293" s="345">
        <v>861</v>
      </c>
      <c r="G293" s="345">
        <v>1722</v>
      </c>
      <c r="H293" s="345">
        <v>14562</v>
      </c>
      <c r="I293" s="345">
        <v>12840</v>
      </c>
      <c r="J293" s="345">
        <v>61</v>
      </c>
      <c r="K293" s="345">
        <v>119.66</v>
      </c>
      <c r="L293" s="345">
        <v>118.18</v>
      </c>
      <c r="M293" s="345">
        <v>12.42</v>
      </c>
      <c r="N293" s="345">
        <v>126.61</v>
      </c>
      <c r="O293" s="348">
        <v>8762</v>
      </c>
      <c r="P293" s="345">
        <v>104.47</v>
      </c>
      <c r="Q293" s="345">
        <v>97.67</v>
      </c>
      <c r="R293" s="345">
        <v>44.75</v>
      </c>
      <c r="S293" s="345">
        <v>148.68</v>
      </c>
      <c r="T293" s="348">
        <v>1178</v>
      </c>
      <c r="U293" s="345">
        <v>190.36</v>
      </c>
      <c r="V293" s="348">
        <v>1727</v>
      </c>
      <c r="W293" s="345">
        <v>229.99</v>
      </c>
      <c r="X293" s="348">
        <v>82</v>
      </c>
      <c r="Y293" s="345">
        <v>76</v>
      </c>
      <c r="Z293" s="345">
        <v>8</v>
      </c>
      <c r="AA293" s="345">
        <v>6</v>
      </c>
      <c r="AB293" s="345">
        <v>135</v>
      </c>
      <c r="AC293" s="345">
        <v>70</v>
      </c>
      <c r="AD293" s="345">
        <v>10709</v>
      </c>
      <c r="AE293" s="345">
        <v>135</v>
      </c>
      <c r="AF293" s="345">
        <v>56</v>
      </c>
      <c r="AG293" s="345">
        <v>191</v>
      </c>
    </row>
    <row r="294" spans="1:33" x14ac:dyDescent="0.2">
      <c r="A294" s="344" t="s">
        <v>642</v>
      </c>
      <c r="B294" s="344" t="s">
        <v>643</v>
      </c>
      <c r="C294" s="345">
        <v>9020</v>
      </c>
      <c r="D294" s="345">
        <v>6</v>
      </c>
      <c r="E294" s="345">
        <v>1112</v>
      </c>
      <c r="F294" s="345">
        <v>981</v>
      </c>
      <c r="G294" s="345">
        <v>2559</v>
      </c>
      <c r="H294" s="345">
        <v>13678</v>
      </c>
      <c r="I294" s="345">
        <v>11119</v>
      </c>
      <c r="J294" s="345">
        <v>102</v>
      </c>
      <c r="K294" s="345">
        <v>132.52000000000001</v>
      </c>
      <c r="L294" s="345">
        <v>141.71</v>
      </c>
      <c r="M294" s="345">
        <v>10.8</v>
      </c>
      <c r="N294" s="345">
        <v>139.51</v>
      </c>
      <c r="O294" s="348">
        <v>6790</v>
      </c>
      <c r="P294" s="345">
        <v>122.9</v>
      </c>
      <c r="Q294" s="345">
        <v>119.52</v>
      </c>
      <c r="R294" s="345">
        <v>42.54</v>
      </c>
      <c r="S294" s="345">
        <v>162.02000000000001</v>
      </c>
      <c r="T294" s="348">
        <v>1879</v>
      </c>
      <c r="U294" s="345">
        <v>211.68</v>
      </c>
      <c r="V294" s="348">
        <v>929</v>
      </c>
      <c r="W294" s="345">
        <v>237.24</v>
      </c>
      <c r="X294" s="348">
        <v>37</v>
      </c>
      <c r="Y294" s="345">
        <v>0</v>
      </c>
      <c r="Z294" s="345">
        <v>8</v>
      </c>
      <c r="AA294" s="345">
        <v>18</v>
      </c>
      <c r="AB294" s="345">
        <v>116</v>
      </c>
      <c r="AC294" s="345">
        <v>123</v>
      </c>
      <c r="AD294" s="345">
        <v>8653</v>
      </c>
      <c r="AE294" s="345">
        <v>187</v>
      </c>
      <c r="AF294" s="345">
        <v>107</v>
      </c>
      <c r="AG294" s="345">
        <v>294</v>
      </c>
    </row>
    <row r="295" spans="1:33" x14ac:dyDescent="0.2">
      <c r="A295" s="344" t="s">
        <v>644</v>
      </c>
      <c r="B295" s="344" t="s">
        <v>645</v>
      </c>
      <c r="C295" s="345">
        <v>11904</v>
      </c>
      <c r="D295" s="345">
        <v>0</v>
      </c>
      <c r="E295" s="345">
        <v>585</v>
      </c>
      <c r="F295" s="345">
        <v>2166</v>
      </c>
      <c r="G295" s="345">
        <v>698</v>
      </c>
      <c r="H295" s="345">
        <v>15353</v>
      </c>
      <c r="I295" s="345">
        <v>14655</v>
      </c>
      <c r="J295" s="345">
        <v>0</v>
      </c>
      <c r="K295" s="345">
        <v>86.45</v>
      </c>
      <c r="L295" s="345">
        <v>87.04</v>
      </c>
      <c r="M295" s="345">
        <v>4.67</v>
      </c>
      <c r="N295" s="345">
        <v>87.95</v>
      </c>
      <c r="O295" s="348">
        <v>10965</v>
      </c>
      <c r="P295" s="345">
        <v>89.62</v>
      </c>
      <c r="Q295" s="345">
        <v>80.16</v>
      </c>
      <c r="R295" s="345">
        <v>39.44</v>
      </c>
      <c r="S295" s="345">
        <v>125.33</v>
      </c>
      <c r="T295" s="348">
        <v>2591</v>
      </c>
      <c r="U295" s="345">
        <v>109.39</v>
      </c>
      <c r="V295" s="348">
        <v>848</v>
      </c>
      <c r="W295" s="345">
        <v>168.34</v>
      </c>
      <c r="X295" s="348">
        <v>48</v>
      </c>
      <c r="Y295" s="345">
        <v>8</v>
      </c>
      <c r="Z295" s="345">
        <v>73</v>
      </c>
      <c r="AA295" s="345">
        <v>0</v>
      </c>
      <c r="AB295" s="345">
        <v>58</v>
      </c>
      <c r="AC295" s="345">
        <v>26</v>
      </c>
      <c r="AD295" s="345">
        <v>11904</v>
      </c>
      <c r="AE295" s="345">
        <v>82</v>
      </c>
      <c r="AF295" s="345">
        <v>56</v>
      </c>
      <c r="AG295" s="345">
        <v>138</v>
      </c>
    </row>
    <row r="296" spans="1:33" x14ac:dyDescent="0.2">
      <c r="A296" s="344" t="s">
        <v>646</v>
      </c>
      <c r="B296" s="344" t="s">
        <v>647</v>
      </c>
      <c r="C296" s="345">
        <v>3424</v>
      </c>
      <c r="D296" s="345">
        <v>0</v>
      </c>
      <c r="E296" s="345">
        <v>158</v>
      </c>
      <c r="F296" s="345">
        <v>629</v>
      </c>
      <c r="G296" s="345">
        <v>1178</v>
      </c>
      <c r="H296" s="345">
        <v>5389</v>
      </c>
      <c r="I296" s="345">
        <v>4211</v>
      </c>
      <c r="J296" s="345">
        <v>6</v>
      </c>
      <c r="K296" s="345">
        <v>109.52</v>
      </c>
      <c r="L296" s="345">
        <v>107.07</v>
      </c>
      <c r="M296" s="345">
        <v>7.25</v>
      </c>
      <c r="N296" s="345">
        <v>115.64</v>
      </c>
      <c r="O296" s="348">
        <v>2540</v>
      </c>
      <c r="P296" s="345">
        <v>107.36</v>
      </c>
      <c r="Q296" s="345">
        <v>93.03</v>
      </c>
      <c r="R296" s="345">
        <v>55.18</v>
      </c>
      <c r="S296" s="345">
        <v>162.46</v>
      </c>
      <c r="T296" s="348">
        <v>657</v>
      </c>
      <c r="U296" s="345">
        <v>151.66999999999999</v>
      </c>
      <c r="V296" s="348">
        <v>797</v>
      </c>
      <c r="W296" s="345">
        <v>166.11</v>
      </c>
      <c r="X296" s="348">
        <v>25</v>
      </c>
      <c r="Y296" s="345">
        <v>132</v>
      </c>
      <c r="Z296" s="345">
        <v>1</v>
      </c>
      <c r="AA296" s="345">
        <v>2</v>
      </c>
      <c r="AB296" s="345">
        <v>110</v>
      </c>
      <c r="AC296" s="345">
        <v>9</v>
      </c>
      <c r="AD296" s="345">
        <v>3360</v>
      </c>
      <c r="AE296" s="345">
        <v>50</v>
      </c>
      <c r="AF296" s="345">
        <v>67</v>
      </c>
      <c r="AG296" s="345">
        <v>117</v>
      </c>
    </row>
    <row r="297" spans="1:33" x14ac:dyDescent="0.2">
      <c r="A297" s="344" t="s">
        <v>648</v>
      </c>
      <c r="B297" s="344" t="s">
        <v>649</v>
      </c>
      <c r="C297" s="345">
        <v>5689</v>
      </c>
      <c r="D297" s="345">
        <v>156</v>
      </c>
      <c r="E297" s="345">
        <v>371</v>
      </c>
      <c r="F297" s="345">
        <v>589</v>
      </c>
      <c r="G297" s="345">
        <v>340</v>
      </c>
      <c r="H297" s="345">
        <v>7145</v>
      </c>
      <c r="I297" s="345">
        <v>6805</v>
      </c>
      <c r="J297" s="345">
        <v>105</v>
      </c>
      <c r="K297" s="345">
        <v>116.88</v>
      </c>
      <c r="L297" s="345">
        <v>126.39</v>
      </c>
      <c r="M297" s="345">
        <v>9.98</v>
      </c>
      <c r="N297" s="345">
        <v>121.45</v>
      </c>
      <c r="O297" s="348">
        <v>4974</v>
      </c>
      <c r="P297" s="345">
        <v>94.7</v>
      </c>
      <c r="Q297" s="345">
        <v>93.58</v>
      </c>
      <c r="R297" s="345">
        <v>29.27</v>
      </c>
      <c r="S297" s="345">
        <v>122.51</v>
      </c>
      <c r="T297" s="348">
        <v>700</v>
      </c>
      <c r="U297" s="345">
        <v>192.8</v>
      </c>
      <c r="V297" s="348">
        <v>607</v>
      </c>
      <c r="W297" s="345">
        <v>167.5</v>
      </c>
      <c r="X297" s="348">
        <v>2</v>
      </c>
      <c r="Y297" s="345">
        <v>80</v>
      </c>
      <c r="Z297" s="345">
        <v>10</v>
      </c>
      <c r="AA297" s="345">
        <v>2</v>
      </c>
      <c r="AB297" s="345">
        <v>37</v>
      </c>
      <c r="AC297" s="345">
        <v>14</v>
      </c>
      <c r="AD297" s="345">
        <v>5676</v>
      </c>
      <c r="AE297" s="345">
        <v>58</v>
      </c>
      <c r="AF297" s="345">
        <v>34</v>
      </c>
      <c r="AG297" s="345">
        <v>92</v>
      </c>
    </row>
    <row r="298" spans="1:33" x14ac:dyDescent="0.2">
      <c r="A298" s="344" t="s">
        <v>650</v>
      </c>
      <c r="B298" s="344" t="s">
        <v>651</v>
      </c>
      <c r="C298" s="345">
        <v>1473</v>
      </c>
      <c r="D298" s="345">
        <v>0</v>
      </c>
      <c r="E298" s="345">
        <v>146</v>
      </c>
      <c r="F298" s="345">
        <v>164</v>
      </c>
      <c r="G298" s="345">
        <v>596</v>
      </c>
      <c r="H298" s="345">
        <v>2379</v>
      </c>
      <c r="I298" s="345">
        <v>1783</v>
      </c>
      <c r="J298" s="345">
        <v>13</v>
      </c>
      <c r="K298" s="345">
        <v>120.72</v>
      </c>
      <c r="L298" s="345">
        <v>117.13</v>
      </c>
      <c r="M298" s="345">
        <v>5.39</v>
      </c>
      <c r="N298" s="345">
        <v>125.68</v>
      </c>
      <c r="O298" s="348">
        <v>910</v>
      </c>
      <c r="P298" s="345">
        <v>109.4</v>
      </c>
      <c r="Q298" s="345">
        <v>97.63</v>
      </c>
      <c r="R298" s="345">
        <v>41.19</v>
      </c>
      <c r="S298" s="345">
        <v>139.31</v>
      </c>
      <c r="T298" s="348">
        <v>135</v>
      </c>
      <c r="U298" s="345">
        <v>200</v>
      </c>
      <c r="V298" s="348">
        <v>511</v>
      </c>
      <c r="W298" s="345">
        <v>141.81</v>
      </c>
      <c r="X298" s="348">
        <v>12</v>
      </c>
      <c r="Y298" s="345">
        <v>3</v>
      </c>
      <c r="Z298" s="345">
        <v>0</v>
      </c>
      <c r="AA298" s="345">
        <v>0</v>
      </c>
      <c r="AB298" s="345">
        <v>55</v>
      </c>
      <c r="AC298" s="345">
        <v>21</v>
      </c>
      <c r="AD298" s="345">
        <v>1381</v>
      </c>
      <c r="AE298" s="345">
        <v>24</v>
      </c>
      <c r="AF298" s="345">
        <v>2</v>
      </c>
      <c r="AG298" s="345">
        <v>26</v>
      </c>
    </row>
    <row r="299" spans="1:33" x14ac:dyDescent="0.2">
      <c r="A299" s="344" t="s">
        <v>652</v>
      </c>
      <c r="B299" s="344" t="s">
        <v>653</v>
      </c>
      <c r="C299" s="345">
        <v>2627</v>
      </c>
      <c r="D299" s="345">
        <v>0</v>
      </c>
      <c r="E299" s="345">
        <v>95</v>
      </c>
      <c r="F299" s="345">
        <v>325</v>
      </c>
      <c r="G299" s="345">
        <v>771</v>
      </c>
      <c r="H299" s="345">
        <v>3818</v>
      </c>
      <c r="I299" s="345">
        <v>3047</v>
      </c>
      <c r="J299" s="345">
        <v>2</v>
      </c>
      <c r="K299" s="345">
        <v>105.51</v>
      </c>
      <c r="L299" s="345">
        <v>101.15</v>
      </c>
      <c r="M299" s="345">
        <v>6.37</v>
      </c>
      <c r="N299" s="345">
        <v>110.48</v>
      </c>
      <c r="O299" s="348">
        <v>1417</v>
      </c>
      <c r="P299" s="345">
        <v>82.97</v>
      </c>
      <c r="Q299" s="345">
        <v>78.19</v>
      </c>
      <c r="R299" s="345">
        <v>43.32</v>
      </c>
      <c r="S299" s="345">
        <v>124.38</v>
      </c>
      <c r="T299" s="348">
        <v>227</v>
      </c>
      <c r="U299" s="345">
        <v>156.41999999999999</v>
      </c>
      <c r="V299" s="348">
        <v>1183</v>
      </c>
      <c r="W299" s="345">
        <v>201.44</v>
      </c>
      <c r="X299" s="348">
        <v>55</v>
      </c>
      <c r="Y299" s="345">
        <v>30</v>
      </c>
      <c r="Z299" s="345">
        <v>1</v>
      </c>
      <c r="AA299" s="345">
        <v>0</v>
      </c>
      <c r="AB299" s="345">
        <v>77</v>
      </c>
      <c r="AC299" s="345">
        <v>9</v>
      </c>
      <c r="AD299" s="345">
        <v>2621</v>
      </c>
      <c r="AE299" s="345">
        <v>30</v>
      </c>
      <c r="AF299" s="345">
        <v>2</v>
      </c>
      <c r="AG299" s="345">
        <v>32</v>
      </c>
    </row>
    <row r="300" spans="1:33" x14ac:dyDescent="0.2">
      <c r="A300" s="344" t="s">
        <v>654</v>
      </c>
      <c r="B300" s="344" t="s">
        <v>655</v>
      </c>
      <c r="C300" s="345">
        <v>2932</v>
      </c>
      <c r="D300" s="345">
        <v>0</v>
      </c>
      <c r="E300" s="345">
        <v>374</v>
      </c>
      <c r="F300" s="345">
        <v>320</v>
      </c>
      <c r="G300" s="345">
        <v>763</v>
      </c>
      <c r="H300" s="345">
        <v>4389</v>
      </c>
      <c r="I300" s="345">
        <v>3626</v>
      </c>
      <c r="J300" s="345">
        <v>130</v>
      </c>
      <c r="K300" s="345">
        <v>114.04</v>
      </c>
      <c r="L300" s="345">
        <v>112.26</v>
      </c>
      <c r="M300" s="345">
        <v>8.34</v>
      </c>
      <c r="N300" s="345">
        <v>121.15</v>
      </c>
      <c r="O300" s="348">
        <v>2280</v>
      </c>
      <c r="P300" s="345">
        <v>110.32</v>
      </c>
      <c r="Q300" s="345">
        <v>100.02</v>
      </c>
      <c r="R300" s="345">
        <v>46.48</v>
      </c>
      <c r="S300" s="345">
        <v>156.71</v>
      </c>
      <c r="T300" s="348">
        <v>503</v>
      </c>
      <c r="U300" s="345">
        <v>154.66999999999999</v>
      </c>
      <c r="V300" s="348">
        <v>584</v>
      </c>
      <c r="W300" s="345">
        <v>0</v>
      </c>
      <c r="X300" s="348">
        <v>0</v>
      </c>
      <c r="Y300" s="345">
        <v>0</v>
      </c>
      <c r="Z300" s="345">
        <v>0</v>
      </c>
      <c r="AA300" s="345">
        <v>0</v>
      </c>
      <c r="AB300" s="345">
        <v>100</v>
      </c>
      <c r="AC300" s="345">
        <v>14</v>
      </c>
      <c r="AD300" s="345">
        <v>2889</v>
      </c>
      <c r="AE300" s="345">
        <v>25</v>
      </c>
      <c r="AF300" s="345">
        <v>7</v>
      </c>
      <c r="AG300" s="345">
        <v>32</v>
      </c>
    </row>
    <row r="301" spans="1:33" x14ac:dyDescent="0.2">
      <c r="A301" s="344" t="s">
        <v>656</v>
      </c>
      <c r="B301" s="344" t="s">
        <v>657</v>
      </c>
      <c r="C301" s="345">
        <v>8098</v>
      </c>
      <c r="D301" s="345">
        <v>0</v>
      </c>
      <c r="E301" s="345">
        <v>372</v>
      </c>
      <c r="F301" s="345">
        <v>882</v>
      </c>
      <c r="G301" s="345">
        <v>810</v>
      </c>
      <c r="H301" s="345">
        <v>10162</v>
      </c>
      <c r="I301" s="345">
        <v>9352</v>
      </c>
      <c r="J301" s="345">
        <v>7</v>
      </c>
      <c r="K301" s="345">
        <v>121.15</v>
      </c>
      <c r="L301" s="345">
        <v>119.43</v>
      </c>
      <c r="M301" s="345">
        <v>5.64</v>
      </c>
      <c r="N301" s="345">
        <v>124.11</v>
      </c>
      <c r="O301" s="348">
        <v>7680</v>
      </c>
      <c r="P301" s="345">
        <v>110.27</v>
      </c>
      <c r="Q301" s="345">
        <v>102.76</v>
      </c>
      <c r="R301" s="345">
        <v>35.28</v>
      </c>
      <c r="S301" s="345">
        <v>144.75</v>
      </c>
      <c r="T301" s="348">
        <v>1104</v>
      </c>
      <c r="U301" s="345">
        <v>156.83000000000001</v>
      </c>
      <c r="V301" s="348">
        <v>409</v>
      </c>
      <c r="W301" s="345">
        <v>157.31</v>
      </c>
      <c r="X301" s="348">
        <v>42</v>
      </c>
      <c r="Y301" s="345">
        <v>8</v>
      </c>
      <c r="Z301" s="345">
        <v>0</v>
      </c>
      <c r="AA301" s="345">
        <v>9</v>
      </c>
      <c r="AB301" s="345">
        <v>70</v>
      </c>
      <c r="AC301" s="345">
        <v>21</v>
      </c>
      <c r="AD301" s="345">
        <v>8082</v>
      </c>
      <c r="AE301" s="345">
        <v>44</v>
      </c>
      <c r="AF301" s="345">
        <v>42</v>
      </c>
      <c r="AG301" s="345">
        <v>86</v>
      </c>
    </row>
    <row r="302" spans="1:33" x14ac:dyDescent="0.2">
      <c r="A302" s="344" t="s">
        <v>658</v>
      </c>
      <c r="B302" s="344" t="s">
        <v>659</v>
      </c>
      <c r="C302" s="345">
        <v>2203</v>
      </c>
      <c r="D302" s="345">
        <v>2</v>
      </c>
      <c r="E302" s="345">
        <v>21</v>
      </c>
      <c r="F302" s="345">
        <v>319</v>
      </c>
      <c r="G302" s="345">
        <v>150</v>
      </c>
      <c r="H302" s="345">
        <v>2695</v>
      </c>
      <c r="I302" s="345">
        <v>2545</v>
      </c>
      <c r="J302" s="345">
        <v>0</v>
      </c>
      <c r="K302" s="345">
        <v>88.4</v>
      </c>
      <c r="L302" s="345">
        <v>85.05</v>
      </c>
      <c r="M302" s="345">
        <v>3.31</v>
      </c>
      <c r="N302" s="345">
        <v>90.69</v>
      </c>
      <c r="O302" s="348">
        <v>1920</v>
      </c>
      <c r="P302" s="345">
        <v>82.63</v>
      </c>
      <c r="Q302" s="345">
        <v>76.510000000000005</v>
      </c>
      <c r="R302" s="345">
        <v>21.6</v>
      </c>
      <c r="S302" s="345">
        <v>103.99</v>
      </c>
      <c r="T302" s="348">
        <v>272</v>
      </c>
      <c r="U302" s="345">
        <v>122.38</v>
      </c>
      <c r="V302" s="348">
        <v>204</v>
      </c>
      <c r="W302" s="345">
        <v>100.11</v>
      </c>
      <c r="X302" s="348">
        <v>4</v>
      </c>
      <c r="Y302" s="345">
        <v>0</v>
      </c>
      <c r="Z302" s="345">
        <v>2</v>
      </c>
      <c r="AA302" s="345">
        <v>7</v>
      </c>
      <c r="AB302" s="345">
        <v>25</v>
      </c>
      <c r="AC302" s="345">
        <v>7</v>
      </c>
      <c r="AD302" s="345">
        <v>2108</v>
      </c>
      <c r="AE302" s="345">
        <v>11</v>
      </c>
      <c r="AF302" s="345">
        <v>4</v>
      </c>
      <c r="AG302" s="345">
        <v>15</v>
      </c>
    </row>
    <row r="303" spans="1:33" x14ac:dyDescent="0.2">
      <c r="A303" s="344" t="s">
        <v>660</v>
      </c>
      <c r="B303" s="344" t="s">
        <v>661</v>
      </c>
      <c r="C303" s="345">
        <v>1011</v>
      </c>
      <c r="D303" s="345">
        <v>0</v>
      </c>
      <c r="E303" s="345">
        <v>203</v>
      </c>
      <c r="F303" s="345">
        <v>371</v>
      </c>
      <c r="G303" s="345">
        <v>440</v>
      </c>
      <c r="H303" s="345">
        <v>2025</v>
      </c>
      <c r="I303" s="345">
        <v>1585</v>
      </c>
      <c r="J303" s="345">
        <v>3</v>
      </c>
      <c r="K303" s="345">
        <v>94.5</v>
      </c>
      <c r="L303" s="345">
        <v>92.95</v>
      </c>
      <c r="M303" s="345">
        <v>5.59</v>
      </c>
      <c r="N303" s="345">
        <v>98.14</v>
      </c>
      <c r="O303" s="348">
        <v>551</v>
      </c>
      <c r="P303" s="345">
        <v>104.46</v>
      </c>
      <c r="Q303" s="345">
        <v>84.28</v>
      </c>
      <c r="R303" s="345">
        <v>43.72</v>
      </c>
      <c r="S303" s="345">
        <v>147.63</v>
      </c>
      <c r="T303" s="348">
        <v>480</v>
      </c>
      <c r="U303" s="345">
        <v>112.85</v>
      </c>
      <c r="V303" s="348">
        <v>389</v>
      </c>
      <c r="W303" s="345">
        <v>0</v>
      </c>
      <c r="X303" s="348">
        <v>0</v>
      </c>
      <c r="Y303" s="345">
        <v>32</v>
      </c>
      <c r="Z303" s="345">
        <v>2</v>
      </c>
      <c r="AA303" s="345">
        <v>0</v>
      </c>
      <c r="AB303" s="345">
        <v>3</v>
      </c>
      <c r="AC303" s="345">
        <v>6</v>
      </c>
      <c r="AD303" s="345">
        <v>976</v>
      </c>
      <c r="AE303" s="345">
        <v>10</v>
      </c>
      <c r="AF303" s="345">
        <v>0</v>
      </c>
      <c r="AG303" s="345">
        <v>10</v>
      </c>
    </row>
    <row r="304" spans="1:33" x14ac:dyDescent="0.2">
      <c r="A304" s="344" t="s">
        <v>662</v>
      </c>
      <c r="B304" s="344" t="s">
        <v>663</v>
      </c>
      <c r="C304" s="345">
        <v>4314</v>
      </c>
      <c r="D304" s="345">
        <v>0</v>
      </c>
      <c r="E304" s="345">
        <v>128</v>
      </c>
      <c r="F304" s="345">
        <v>422</v>
      </c>
      <c r="G304" s="345">
        <v>360</v>
      </c>
      <c r="H304" s="345">
        <v>5224</v>
      </c>
      <c r="I304" s="345">
        <v>4864</v>
      </c>
      <c r="J304" s="345">
        <v>0</v>
      </c>
      <c r="K304" s="345">
        <v>81.38</v>
      </c>
      <c r="L304" s="345">
        <v>81.22</v>
      </c>
      <c r="M304" s="345">
        <v>4.17</v>
      </c>
      <c r="N304" s="345">
        <v>82.72</v>
      </c>
      <c r="O304" s="348">
        <v>3770</v>
      </c>
      <c r="P304" s="345">
        <v>81.05</v>
      </c>
      <c r="Q304" s="345">
        <v>74.430000000000007</v>
      </c>
      <c r="R304" s="345">
        <v>37.47</v>
      </c>
      <c r="S304" s="345">
        <v>118.53</v>
      </c>
      <c r="T304" s="348">
        <v>491</v>
      </c>
      <c r="U304" s="345">
        <v>104.6</v>
      </c>
      <c r="V304" s="348">
        <v>519</v>
      </c>
      <c r="W304" s="345">
        <v>122.16</v>
      </c>
      <c r="X304" s="348">
        <v>36</v>
      </c>
      <c r="Y304" s="345">
        <v>0</v>
      </c>
      <c r="Z304" s="345">
        <v>10</v>
      </c>
      <c r="AA304" s="345">
        <v>1</v>
      </c>
      <c r="AB304" s="345">
        <v>8</v>
      </c>
      <c r="AC304" s="345">
        <v>5</v>
      </c>
      <c r="AD304" s="345">
        <v>4261</v>
      </c>
      <c r="AE304" s="345">
        <v>18</v>
      </c>
      <c r="AF304" s="345">
        <v>18</v>
      </c>
      <c r="AG304" s="345">
        <v>36</v>
      </c>
    </row>
    <row r="305" spans="1:33" x14ac:dyDescent="0.2">
      <c r="A305" s="344" t="s">
        <v>800</v>
      </c>
      <c r="B305" s="344" t="s">
        <v>798</v>
      </c>
      <c r="C305" s="345">
        <v>11804</v>
      </c>
      <c r="D305" s="345">
        <v>9</v>
      </c>
      <c r="E305" s="345">
        <v>472</v>
      </c>
      <c r="F305" s="345">
        <v>2259</v>
      </c>
      <c r="G305" s="345">
        <v>2627</v>
      </c>
      <c r="H305" s="345">
        <v>17171</v>
      </c>
      <c r="I305" s="345">
        <v>14544</v>
      </c>
      <c r="J305" s="345">
        <v>1</v>
      </c>
      <c r="K305" s="345">
        <v>99.82</v>
      </c>
      <c r="L305" s="345">
        <v>99.42</v>
      </c>
      <c r="M305" s="345">
        <v>6.11</v>
      </c>
      <c r="N305" s="345">
        <v>103.65</v>
      </c>
      <c r="O305" s="348">
        <v>9196</v>
      </c>
      <c r="P305" s="345">
        <v>99.52</v>
      </c>
      <c r="Q305" s="345">
        <v>91.56</v>
      </c>
      <c r="R305" s="345">
        <v>37.61</v>
      </c>
      <c r="S305" s="345">
        <v>128.53</v>
      </c>
      <c r="T305" s="348">
        <v>2693</v>
      </c>
      <c r="U305" s="345">
        <v>133.04</v>
      </c>
      <c r="V305" s="348">
        <v>2157</v>
      </c>
      <c r="W305" s="345">
        <v>116.51</v>
      </c>
      <c r="X305" s="348">
        <v>2</v>
      </c>
      <c r="Y305" s="345">
        <v>12</v>
      </c>
      <c r="Z305" s="345">
        <v>21</v>
      </c>
      <c r="AA305" s="345">
        <v>1</v>
      </c>
      <c r="AB305" s="345">
        <v>205</v>
      </c>
      <c r="AC305" s="345">
        <v>43</v>
      </c>
      <c r="AD305" s="345">
        <v>11537</v>
      </c>
      <c r="AE305" s="345">
        <v>126</v>
      </c>
      <c r="AF305" s="345">
        <v>41</v>
      </c>
      <c r="AG305" s="345">
        <v>167</v>
      </c>
    </row>
    <row r="306" spans="1:33" x14ac:dyDescent="0.2">
      <c r="A306" s="344" t="s">
        <v>664</v>
      </c>
      <c r="B306" s="344" t="s">
        <v>665</v>
      </c>
      <c r="C306" s="345">
        <v>6314</v>
      </c>
      <c r="D306" s="345">
        <v>2</v>
      </c>
      <c r="E306" s="345">
        <v>132</v>
      </c>
      <c r="F306" s="345">
        <v>219</v>
      </c>
      <c r="G306" s="345">
        <v>1032</v>
      </c>
      <c r="H306" s="345">
        <v>7699</v>
      </c>
      <c r="I306" s="345">
        <v>6667</v>
      </c>
      <c r="J306" s="345">
        <v>2</v>
      </c>
      <c r="K306" s="345">
        <v>113.01</v>
      </c>
      <c r="L306" s="345">
        <v>115.15</v>
      </c>
      <c r="M306" s="345">
        <v>4.24</v>
      </c>
      <c r="N306" s="345">
        <v>114.88</v>
      </c>
      <c r="O306" s="348">
        <v>5001</v>
      </c>
      <c r="P306" s="345">
        <v>105.15</v>
      </c>
      <c r="Q306" s="345">
        <v>98.41</v>
      </c>
      <c r="R306" s="345">
        <v>56.22</v>
      </c>
      <c r="S306" s="345">
        <v>157.83000000000001</v>
      </c>
      <c r="T306" s="348">
        <v>349</v>
      </c>
      <c r="U306" s="345">
        <v>177.15</v>
      </c>
      <c r="V306" s="348">
        <v>1315</v>
      </c>
      <c r="W306" s="345">
        <v>154.74</v>
      </c>
      <c r="X306" s="348">
        <v>2</v>
      </c>
      <c r="Y306" s="345">
        <v>79</v>
      </c>
      <c r="Z306" s="345">
        <v>4</v>
      </c>
      <c r="AA306" s="345">
        <v>9</v>
      </c>
      <c r="AB306" s="345">
        <v>102</v>
      </c>
      <c r="AC306" s="345">
        <v>19</v>
      </c>
      <c r="AD306" s="345">
        <v>6282</v>
      </c>
      <c r="AE306" s="345">
        <v>79</v>
      </c>
      <c r="AF306" s="345">
        <v>63</v>
      </c>
      <c r="AG306" s="345">
        <v>142</v>
      </c>
    </row>
    <row r="307" spans="1:33" x14ac:dyDescent="0.2">
      <c r="A307" s="344" t="s">
        <v>666</v>
      </c>
      <c r="B307" s="344" t="s">
        <v>667</v>
      </c>
      <c r="C307" s="345">
        <v>11169</v>
      </c>
      <c r="D307" s="345">
        <v>0</v>
      </c>
      <c r="E307" s="345">
        <v>428</v>
      </c>
      <c r="F307" s="345">
        <v>1098</v>
      </c>
      <c r="G307" s="345">
        <v>934</v>
      </c>
      <c r="H307" s="345">
        <v>13629</v>
      </c>
      <c r="I307" s="345">
        <v>12695</v>
      </c>
      <c r="J307" s="345">
        <v>0</v>
      </c>
      <c r="K307" s="345">
        <v>93.13</v>
      </c>
      <c r="L307" s="345">
        <v>92.11</v>
      </c>
      <c r="M307" s="345">
        <v>5.16</v>
      </c>
      <c r="N307" s="345">
        <v>94.75</v>
      </c>
      <c r="O307" s="348">
        <v>8933</v>
      </c>
      <c r="P307" s="345">
        <v>89.6</v>
      </c>
      <c r="Q307" s="345">
        <v>84.52</v>
      </c>
      <c r="R307" s="345">
        <v>44.59</v>
      </c>
      <c r="S307" s="345">
        <v>132.16999999999999</v>
      </c>
      <c r="T307" s="348">
        <v>1498</v>
      </c>
      <c r="U307" s="345">
        <v>135.75</v>
      </c>
      <c r="V307" s="348">
        <v>1991</v>
      </c>
      <c r="W307" s="345">
        <v>108.46</v>
      </c>
      <c r="X307" s="348">
        <v>15</v>
      </c>
      <c r="Y307" s="345">
        <v>80</v>
      </c>
      <c r="Z307" s="345">
        <v>23</v>
      </c>
      <c r="AA307" s="345">
        <v>10</v>
      </c>
      <c r="AB307" s="345">
        <v>106</v>
      </c>
      <c r="AC307" s="345">
        <v>18</v>
      </c>
      <c r="AD307" s="345">
        <v>11120</v>
      </c>
      <c r="AE307" s="345">
        <v>86</v>
      </c>
      <c r="AF307" s="345">
        <v>84</v>
      </c>
      <c r="AG307" s="345">
        <v>170</v>
      </c>
    </row>
    <row r="308" spans="1:33" x14ac:dyDescent="0.2">
      <c r="A308" s="344" t="s">
        <v>668</v>
      </c>
      <c r="B308" s="344" t="s">
        <v>669</v>
      </c>
      <c r="C308" s="345">
        <v>12362</v>
      </c>
      <c r="D308" s="345">
        <v>821</v>
      </c>
      <c r="E308" s="345">
        <v>1347</v>
      </c>
      <c r="F308" s="345">
        <v>759</v>
      </c>
      <c r="G308" s="345">
        <v>566</v>
      </c>
      <c r="H308" s="345">
        <v>15855</v>
      </c>
      <c r="I308" s="345">
        <v>15289</v>
      </c>
      <c r="J308" s="345">
        <v>55</v>
      </c>
      <c r="K308" s="345">
        <v>134.88</v>
      </c>
      <c r="L308" s="345">
        <v>148.31</v>
      </c>
      <c r="M308" s="345">
        <v>12.93</v>
      </c>
      <c r="N308" s="345">
        <v>145.38999999999999</v>
      </c>
      <c r="O308" s="348">
        <v>9517</v>
      </c>
      <c r="P308" s="345">
        <v>115.01</v>
      </c>
      <c r="Q308" s="345">
        <v>119.82</v>
      </c>
      <c r="R308" s="345">
        <v>79.900000000000006</v>
      </c>
      <c r="S308" s="345">
        <v>184.81</v>
      </c>
      <c r="T308" s="348">
        <v>1866</v>
      </c>
      <c r="U308" s="345">
        <v>208.25</v>
      </c>
      <c r="V308" s="348">
        <v>807</v>
      </c>
      <c r="W308" s="345">
        <v>177.44</v>
      </c>
      <c r="X308" s="348">
        <v>2</v>
      </c>
      <c r="Y308" s="345">
        <v>0</v>
      </c>
      <c r="Z308" s="345">
        <v>1</v>
      </c>
      <c r="AA308" s="345">
        <v>21</v>
      </c>
      <c r="AB308" s="345">
        <v>0</v>
      </c>
      <c r="AC308" s="345">
        <v>15</v>
      </c>
      <c r="AD308" s="345">
        <v>10555</v>
      </c>
      <c r="AE308" s="345">
        <v>72</v>
      </c>
      <c r="AF308" s="345">
        <v>66</v>
      </c>
      <c r="AG308" s="345">
        <v>138</v>
      </c>
    </row>
    <row r="309" spans="1:33" x14ac:dyDescent="0.2">
      <c r="A309" s="344" t="s">
        <v>670</v>
      </c>
      <c r="B309" s="344" t="s">
        <v>671</v>
      </c>
      <c r="C309" s="345">
        <v>2641</v>
      </c>
      <c r="D309" s="345">
        <v>0</v>
      </c>
      <c r="E309" s="345">
        <v>932</v>
      </c>
      <c r="F309" s="345">
        <v>831</v>
      </c>
      <c r="G309" s="345">
        <v>649</v>
      </c>
      <c r="H309" s="345">
        <v>5053</v>
      </c>
      <c r="I309" s="345">
        <v>4404</v>
      </c>
      <c r="J309" s="345">
        <v>2</v>
      </c>
      <c r="K309" s="345">
        <v>81.3</v>
      </c>
      <c r="L309" s="345">
        <v>77.88</v>
      </c>
      <c r="M309" s="345">
        <v>7.8</v>
      </c>
      <c r="N309" s="345">
        <v>85.76</v>
      </c>
      <c r="O309" s="348">
        <v>1735</v>
      </c>
      <c r="P309" s="345">
        <v>96.46</v>
      </c>
      <c r="Q309" s="345">
        <v>70.42</v>
      </c>
      <c r="R309" s="345">
        <v>84.17</v>
      </c>
      <c r="S309" s="345">
        <v>180.42</v>
      </c>
      <c r="T309" s="348">
        <v>1584</v>
      </c>
      <c r="U309" s="345">
        <v>102.68</v>
      </c>
      <c r="V309" s="348">
        <v>814</v>
      </c>
      <c r="W309" s="345">
        <v>206.52</v>
      </c>
      <c r="X309" s="348">
        <v>2</v>
      </c>
      <c r="Y309" s="345">
        <v>6</v>
      </c>
      <c r="Z309" s="345">
        <v>1</v>
      </c>
      <c r="AA309" s="345">
        <v>11</v>
      </c>
      <c r="AB309" s="345">
        <v>96</v>
      </c>
      <c r="AC309" s="345">
        <v>19</v>
      </c>
      <c r="AD309" s="345">
        <v>2617</v>
      </c>
      <c r="AE309" s="345">
        <v>33</v>
      </c>
      <c r="AF309" s="345">
        <v>13</v>
      </c>
      <c r="AG309" s="345">
        <v>46</v>
      </c>
    </row>
    <row r="310" spans="1:33" x14ac:dyDescent="0.2">
      <c r="A310" s="344" t="s">
        <v>672</v>
      </c>
      <c r="B310" s="344" t="s">
        <v>673</v>
      </c>
      <c r="C310" s="345">
        <v>22797</v>
      </c>
      <c r="D310" s="345">
        <v>0</v>
      </c>
      <c r="E310" s="345">
        <v>627</v>
      </c>
      <c r="F310" s="345">
        <v>2961</v>
      </c>
      <c r="G310" s="345">
        <v>2427</v>
      </c>
      <c r="H310" s="345">
        <v>28812</v>
      </c>
      <c r="I310" s="345">
        <v>26385</v>
      </c>
      <c r="J310" s="345">
        <v>21</v>
      </c>
      <c r="K310" s="345">
        <v>102.16</v>
      </c>
      <c r="L310" s="345">
        <v>101.38</v>
      </c>
      <c r="M310" s="345">
        <v>4.03</v>
      </c>
      <c r="N310" s="345">
        <v>104.59</v>
      </c>
      <c r="O310" s="348">
        <v>18858</v>
      </c>
      <c r="P310" s="345">
        <v>96.53</v>
      </c>
      <c r="Q310" s="345">
        <v>90.5</v>
      </c>
      <c r="R310" s="345">
        <v>28.31</v>
      </c>
      <c r="S310" s="345">
        <v>123.9</v>
      </c>
      <c r="T310" s="348">
        <v>3163</v>
      </c>
      <c r="U310" s="345">
        <v>137</v>
      </c>
      <c r="V310" s="348">
        <v>3527</v>
      </c>
      <c r="W310" s="345">
        <v>173.81</v>
      </c>
      <c r="X310" s="348">
        <v>74</v>
      </c>
      <c r="Y310" s="345">
        <v>18</v>
      </c>
      <c r="Z310" s="345">
        <v>56</v>
      </c>
      <c r="AA310" s="345">
        <v>45</v>
      </c>
      <c r="AB310" s="345">
        <v>254</v>
      </c>
      <c r="AC310" s="345">
        <v>50</v>
      </c>
      <c r="AD310" s="345">
        <v>22404</v>
      </c>
      <c r="AE310" s="345">
        <v>134</v>
      </c>
      <c r="AF310" s="345">
        <v>153</v>
      </c>
      <c r="AG310" s="345">
        <v>287</v>
      </c>
    </row>
    <row r="311" spans="1:33" x14ac:dyDescent="0.2">
      <c r="A311" s="344" t="s">
        <v>674</v>
      </c>
      <c r="B311" s="344" t="s">
        <v>675</v>
      </c>
      <c r="C311" s="345">
        <v>2774</v>
      </c>
      <c r="D311" s="345">
        <v>8</v>
      </c>
      <c r="E311" s="345">
        <v>240</v>
      </c>
      <c r="F311" s="345">
        <v>244</v>
      </c>
      <c r="G311" s="345">
        <v>697</v>
      </c>
      <c r="H311" s="345">
        <v>3963</v>
      </c>
      <c r="I311" s="345">
        <v>3266</v>
      </c>
      <c r="J311" s="345">
        <v>1</v>
      </c>
      <c r="K311" s="345">
        <v>116.41</v>
      </c>
      <c r="L311" s="345">
        <v>112.58</v>
      </c>
      <c r="M311" s="345">
        <v>7.98</v>
      </c>
      <c r="N311" s="345">
        <v>123.86</v>
      </c>
      <c r="O311" s="348">
        <v>1838</v>
      </c>
      <c r="P311" s="345">
        <v>103.59</v>
      </c>
      <c r="Q311" s="345">
        <v>92.14</v>
      </c>
      <c r="R311" s="345">
        <v>53.88</v>
      </c>
      <c r="S311" s="345">
        <v>153.97</v>
      </c>
      <c r="T311" s="348">
        <v>431</v>
      </c>
      <c r="U311" s="345">
        <v>173.46</v>
      </c>
      <c r="V311" s="348">
        <v>788</v>
      </c>
      <c r="W311" s="345">
        <v>0</v>
      </c>
      <c r="X311" s="348">
        <v>0</v>
      </c>
      <c r="Y311" s="345">
        <v>0</v>
      </c>
      <c r="Z311" s="345">
        <v>2</v>
      </c>
      <c r="AA311" s="345">
        <v>1</v>
      </c>
      <c r="AB311" s="345">
        <v>151</v>
      </c>
      <c r="AC311" s="345">
        <v>18</v>
      </c>
      <c r="AD311" s="345">
        <v>2545</v>
      </c>
      <c r="AE311" s="345">
        <v>12</v>
      </c>
      <c r="AF311" s="345">
        <v>11</v>
      </c>
      <c r="AG311" s="345">
        <v>23</v>
      </c>
    </row>
    <row r="312" spans="1:33" x14ac:dyDescent="0.2">
      <c r="A312" s="344" t="s">
        <v>676</v>
      </c>
      <c r="B312" s="344" t="s">
        <v>677</v>
      </c>
      <c r="C312" s="345">
        <v>6797</v>
      </c>
      <c r="D312" s="345">
        <v>16</v>
      </c>
      <c r="E312" s="345">
        <v>187</v>
      </c>
      <c r="F312" s="345">
        <v>860</v>
      </c>
      <c r="G312" s="345">
        <v>388</v>
      </c>
      <c r="H312" s="345">
        <v>8248</v>
      </c>
      <c r="I312" s="345">
        <v>7860</v>
      </c>
      <c r="J312" s="345">
        <v>0</v>
      </c>
      <c r="K312" s="345">
        <v>124.64</v>
      </c>
      <c r="L312" s="345">
        <v>126.34</v>
      </c>
      <c r="M312" s="345">
        <v>5.5</v>
      </c>
      <c r="N312" s="345">
        <v>128.94999999999999</v>
      </c>
      <c r="O312" s="348">
        <v>6227</v>
      </c>
      <c r="P312" s="345">
        <v>111.86</v>
      </c>
      <c r="Q312" s="345">
        <v>108.62</v>
      </c>
      <c r="R312" s="345">
        <v>30.09</v>
      </c>
      <c r="S312" s="345">
        <v>141.6</v>
      </c>
      <c r="T312" s="348">
        <v>1043</v>
      </c>
      <c r="U312" s="345">
        <v>188.14</v>
      </c>
      <c r="V312" s="348">
        <v>349</v>
      </c>
      <c r="W312" s="345">
        <v>148.41</v>
      </c>
      <c r="X312" s="348">
        <v>1</v>
      </c>
      <c r="Y312" s="345">
        <v>0</v>
      </c>
      <c r="Z312" s="345">
        <v>8</v>
      </c>
      <c r="AA312" s="345">
        <v>2</v>
      </c>
      <c r="AB312" s="345">
        <v>65</v>
      </c>
      <c r="AC312" s="345">
        <v>11</v>
      </c>
      <c r="AD312" s="345">
        <v>6790</v>
      </c>
      <c r="AE312" s="345">
        <v>22</v>
      </c>
      <c r="AF312" s="345">
        <v>37</v>
      </c>
      <c r="AG312" s="345">
        <v>59</v>
      </c>
    </row>
    <row r="313" spans="1:33" x14ac:dyDescent="0.2">
      <c r="A313" s="344" t="s">
        <v>678</v>
      </c>
      <c r="B313" s="344" t="s">
        <v>679</v>
      </c>
      <c r="C313" s="345">
        <v>18058</v>
      </c>
      <c r="D313" s="345">
        <v>0</v>
      </c>
      <c r="E313" s="345">
        <v>1351</v>
      </c>
      <c r="F313" s="345">
        <v>3835</v>
      </c>
      <c r="G313" s="345">
        <v>610</v>
      </c>
      <c r="H313" s="345">
        <v>23854</v>
      </c>
      <c r="I313" s="345">
        <v>23244</v>
      </c>
      <c r="J313" s="345">
        <v>19</v>
      </c>
      <c r="K313" s="345">
        <v>87.94</v>
      </c>
      <c r="L313" s="345">
        <v>85.61</v>
      </c>
      <c r="M313" s="345">
        <v>9.19</v>
      </c>
      <c r="N313" s="345">
        <v>91.23</v>
      </c>
      <c r="O313" s="348">
        <v>13717</v>
      </c>
      <c r="P313" s="345">
        <v>89.43</v>
      </c>
      <c r="Q313" s="345">
        <v>78.27</v>
      </c>
      <c r="R313" s="345">
        <v>29.83</v>
      </c>
      <c r="S313" s="345">
        <v>117.68</v>
      </c>
      <c r="T313" s="348">
        <v>3878</v>
      </c>
      <c r="U313" s="345">
        <v>111.68</v>
      </c>
      <c r="V313" s="348">
        <v>2385</v>
      </c>
      <c r="W313" s="345">
        <v>190.18</v>
      </c>
      <c r="X313" s="348">
        <v>159</v>
      </c>
      <c r="Y313" s="345">
        <v>0</v>
      </c>
      <c r="Z313" s="345">
        <v>80</v>
      </c>
      <c r="AA313" s="345">
        <v>44</v>
      </c>
      <c r="AB313" s="345">
        <v>18</v>
      </c>
      <c r="AC313" s="345">
        <v>2</v>
      </c>
      <c r="AD313" s="345">
        <v>16026</v>
      </c>
      <c r="AE313" s="345">
        <v>68</v>
      </c>
      <c r="AF313" s="345">
        <v>126</v>
      </c>
      <c r="AG313" s="345">
        <v>194</v>
      </c>
    </row>
    <row r="314" spans="1:33" x14ac:dyDescent="0.2">
      <c r="A314" s="344" t="s">
        <v>680</v>
      </c>
      <c r="B314" s="344" t="s">
        <v>681</v>
      </c>
      <c r="C314" s="345">
        <v>1135</v>
      </c>
      <c r="D314" s="345">
        <v>4</v>
      </c>
      <c r="E314" s="345">
        <v>173</v>
      </c>
      <c r="F314" s="345">
        <v>342</v>
      </c>
      <c r="G314" s="345">
        <v>250</v>
      </c>
      <c r="H314" s="345">
        <v>1904</v>
      </c>
      <c r="I314" s="345">
        <v>1654</v>
      </c>
      <c r="J314" s="345">
        <v>11</v>
      </c>
      <c r="K314" s="345">
        <v>134.05000000000001</v>
      </c>
      <c r="L314" s="345">
        <v>123.12</v>
      </c>
      <c r="M314" s="345">
        <v>9.24</v>
      </c>
      <c r="N314" s="345">
        <v>142.03</v>
      </c>
      <c r="O314" s="348">
        <v>954</v>
      </c>
      <c r="P314" s="345">
        <v>104.6</v>
      </c>
      <c r="Q314" s="345">
        <v>97.7</v>
      </c>
      <c r="R314" s="345">
        <v>35.450000000000003</v>
      </c>
      <c r="S314" s="345">
        <v>134.66999999999999</v>
      </c>
      <c r="T314" s="348">
        <v>244</v>
      </c>
      <c r="U314" s="345">
        <v>212.8</v>
      </c>
      <c r="V314" s="348">
        <v>67</v>
      </c>
      <c r="W314" s="345">
        <v>157.62</v>
      </c>
      <c r="X314" s="348">
        <v>34</v>
      </c>
      <c r="Y314" s="345">
        <v>0</v>
      </c>
      <c r="Z314" s="345">
        <v>0</v>
      </c>
      <c r="AA314" s="345">
        <v>17</v>
      </c>
      <c r="AB314" s="345">
        <v>9</v>
      </c>
      <c r="AC314" s="345">
        <v>11</v>
      </c>
      <c r="AD314" s="345">
        <v>1025</v>
      </c>
      <c r="AE314" s="345">
        <v>7</v>
      </c>
      <c r="AF314" s="345">
        <v>2</v>
      </c>
      <c r="AG314" s="345">
        <v>9</v>
      </c>
    </row>
    <row r="315" spans="1:33" x14ac:dyDescent="0.2">
      <c r="A315" s="344" t="s">
        <v>682</v>
      </c>
      <c r="B315" s="344" t="s">
        <v>683</v>
      </c>
      <c r="C315" s="345">
        <v>2222</v>
      </c>
      <c r="D315" s="345">
        <v>0</v>
      </c>
      <c r="E315" s="345">
        <v>192</v>
      </c>
      <c r="F315" s="345">
        <v>219</v>
      </c>
      <c r="G315" s="345">
        <v>1409</v>
      </c>
      <c r="H315" s="345">
        <v>4042</v>
      </c>
      <c r="I315" s="345">
        <v>2633</v>
      </c>
      <c r="J315" s="345">
        <v>1</v>
      </c>
      <c r="K315" s="345">
        <v>134.62</v>
      </c>
      <c r="L315" s="345">
        <v>132.54</v>
      </c>
      <c r="M315" s="345">
        <v>7.91</v>
      </c>
      <c r="N315" s="345">
        <v>141.72999999999999</v>
      </c>
      <c r="O315" s="348">
        <v>1909</v>
      </c>
      <c r="P315" s="345">
        <v>114.27</v>
      </c>
      <c r="Q315" s="345">
        <v>111.15</v>
      </c>
      <c r="R315" s="345">
        <v>49.93</v>
      </c>
      <c r="S315" s="345">
        <v>164.02</v>
      </c>
      <c r="T315" s="348">
        <v>283</v>
      </c>
      <c r="U315" s="345">
        <v>177.89</v>
      </c>
      <c r="V315" s="348">
        <v>238</v>
      </c>
      <c r="W315" s="345">
        <v>158.29</v>
      </c>
      <c r="X315" s="348">
        <v>63</v>
      </c>
      <c r="Y315" s="345">
        <v>25</v>
      </c>
      <c r="Z315" s="345">
        <v>0</v>
      </c>
      <c r="AA315" s="345">
        <v>2</v>
      </c>
      <c r="AB315" s="345">
        <v>107</v>
      </c>
      <c r="AC315" s="345">
        <v>31</v>
      </c>
      <c r="AD315" s="345">
        <v>2166</v>
      </c>
      <c r="AE315" s="345">
        <v>6</v>
      </c>
      <c r="AF315" s="345">
        <v>7</v>
      </c>
      <c r="AG315" s="345">
        <v>13</v>
      </c>
    </row>
    <row r="316" spans="1:33" x14ac:dyDescent="0.2">
      <c r="A316" s="344" t="s">
        <v>684</v>
      </c>
      <c r="B316" s="344" t="s">
        <v>685</v>
      </c>
      <c r="C316" s="345">
        <v>5121</v>
      </c>
      <c r="D316" s="345">
        <v>34</v>
      </c>
      <c r="E316" s="345">
        <v>539</v>
      </c>
      <c r="F316" s="345">
        <v>1281</v>
      </c>
      <c r="G316" s="345">
        <v>337</v>
      </c>
      <c r="H316" s="345">
        <v>7312</v>
      </c>
      <c r="I316" s="345">
        <v>6975</v>
      </c>
      <c r="J316" s="345">
        <v>15</v>
      </c>
      <c r="K316" s="345">
        <v>90.33</v>
      </c>
      <c r="L316" s="345">
        <v>86.51</v>
      </c>
      <c r="M316" s="345">
        <v>7.69</v>
      </c>
      <c r="N316" s="345">
        <v>97.11</v>
      </c>
      <c r="O316" s="348">
        <v>4076</v>
      </c>
      <c r="P316" s="345">
        <v>100.94</v>
      </c>
      <c r="Q316" s="345">
        <v>85.83</v>
      </c>
      <c r="R316" s="345">
        <v>64.56</v>
      </c>
      <c r="S316" s="345">
        <v>164.12</v>
      </c>
      <c r="T316" s="348">
        <v>1582</v>
      </c>
      <c r="U316" s="345">
        <v>115.8</v>
      </c>
      <c r="V316" s="348">
        <v>925</v>
      </c>
      <c r="W316" s="345">
        <v>178.93</v>
      </c>
      <c r="X316" s="348">
        <v>36</v>
      </c>
      <c r="Y316" s="345">
        <v>22</v>
      </c>
      <c r="Z316" s="345">
        <v>2</v>
      </c>
      <c r="AA316" s="345">
        <v>0</v>
      </c>
      <c r="AB316" s="345">
        <v>35</v>
      </c>
      <c r="AC316" s="345">
        <v>11</v>
      </c>
      <c r="AD316" s="345">
        <v>5085</v>
      </c>
      <c r="AE316" s="345">
        <v>54</v>
      </c>
      <c r="AF316" s="345">
        <v>5</v>
      </c>
      <c r="AG316" s="345">
        <v>59</v>
      </c>
    </row>
    <row r="317" spans="1:33" x14ac:dyDescent="0.2">
      <c r="A317" s="344" t="s">
        <v>686</v>
      </c>
      <c r="B317" s="344" t="s">
        <v>687</v>
      </c>
      <c r="C317" s="345">
        <v>6331</v>
      </c>
      <c r="D317" s="345">
        <v>46</v>
      </c>
      <c r="E317" s="345">
        <v>457</v>
      </c>
      <c r="F317" s="345">
        <v>993</v>
      </c>
      <c r="G317" s="345">
        <v>442</v>
      </c>
      <c r="H317" s="345">
        <v>8269</v>
      </c>
      <c r="I317" s="345">
        <v>7827</v>
      </c>
      <c r="J317" s="345">
        <v>15</v>
      </c>
      <c r="K317" s="345">
        <v>89.18</v>
      </c>
      <c r="L317" s="345">
        <v>90.48</v>
      </c>
      <c r="M317" s="345">
        <v>5.83</v>
      </c>
      <c r="N317" s="345">
        <v>94.57</v>
      </c>
      <c r="O317" s="348">
        <v>5322</v>
      </c>
      <c r="P317" s="345">
        <v>86.31</v>
      </c>
      <c r="Q317" s="345">
        <v>81.900000000000006</v>
      </c>
      <c r="R317" s="345">
        <v>47.98</v>
      </c>
      <c r="S317" s="345">
        <v>133.43</v>
      </c>
      <c r="T317" s="348">
        <v>1121</v>
      </c>
      <c r="U317" s="345">
        <v>115.59</v>
      </c>
      <c r="V317" s="348">
        <v>962</v>
      </c>
      <c r="W317" s="345">
        <v>202.84</v>
      </c>
      <c r="X317" s="348">
        <v>163</v>
      </c>
      <c r="Y317" s="345">
        <v>0</v>
      </c>
      <c r="Z317" s="345">
        <v>13</v>
      </c>
      <c r="AA317" s="345">
        <v>2</v>
      </c>
      <c r="AB317" s="345">
        <v>73</v>
      </c>
      <c r="AC317" s="345">
        <v>11</v>
      </c>
      <c r="AD317" s="345">
        <v>6257</v>
      </c>
      <c r="AE317" s="345">
        <v>46</v>
      </c>
      <c r="AF317" s="345">
        <v>13</v>
      </c>
      <c r="AG317" s="345">
        <v>59</v>
      </c>
    </row>
    <row r="318" spans="1:33" x14ac:dyDescent="0.2">
      <c r="A318" s="344" t="s">
        <v>688</v>
      </c>
      <c r="B318" s="344" t="s">
        <v>689</v>
      </c>
      <c r="C318" s="345">
        <v>4119</v>
      </c>
      <c r="D318" s="345">
        <v>0</v>
      </c>
      <c r="E318" s="345">
        <v>173</v>
      </c>
      <c r="F318" s="345">
        <v>556</v>
      </c>
      <c r="G318" s="345">
        <v>203</v>
      </c>
      <c r="H318" s="345">
        <v>5051</v>
      </c>
      <c r="I318" s="345">
        <v>4848</v>
      </c>
      <c r="J318" s="345">
        <v>35</v>
      </c>
      <c r="K318" s="345">
        <v>104.09</v>
      </c>
      <c r="L318" s="345">
        <v>102.53</v>
      </c>
      <c r="M318" s="345">
        <v>7.6</v>
      </c>
      <c r="N318" s="345">
        <v>108.46</v>
      </c>
      <c r="O318" s="348">
        <v>3726</v>
      </c>
      <c r="P318" s="345">
        <v>91.15</v>
      </c>
      <c r="Q318" s="345">
        <v>84.56</v>
      </c>
      <c r="R318" s="345">
        <v>42.12</v>
      </c>
      <c r="S318" s="345">
        <v>132.80000000000001</v>
      </c>
      <c r="T318" s="348">
        <v>529</v>
      </c>
      <c r="U318" s="345">
        <v>154.61000000000001</v>
      </c>
      <c r="V318" s="348">
        <v>246</v>
      </c>
      <c r="W318" s="345">
        <v>0</v>
      </c>
      <c r="X318" s="348">
        <v>0</v>
      </c>
      <c r="Y318" s="345">
        <v>0</v>
      </c>
      <c r="Z318" s="345">
        <v>6</v>
      </c>
      <c r="AA318" s="345">
        <v>10</v>
      </c>
      <c r="AB318" s="345">
        <v>6</v>
      </c>
      <c r="AC318" s="345">
        <v>2</v>
      </c>
      <c r="AD318" s="345">
        <v>4103</v>
      </c>
      <c r="AE318" s="345">
        <v>19</v>
      </c>
      <c r="AF318" s="345">
        <v>8</v>
      </c>
      <c r="AG318" s="345">
        <v>27</v>
      </c>
    </row>
    <row r="319" spans="1:33" x14ac:dyDescent="0.2">
      <c r="A319" s="344" t="s">
        <v>690</v>
      </c>
      <c r="B319" s="344" t="s">
        <v>691</v>
      </c>
      <c r="C319" s="345">
        <v>8292</v>
      </c>
      <c r="D319" s="345">
        <v>0</v>
      </c>
      <c r="E319" s="345">
        <v>121</v>
      </c>
      <c r="F319" s="345">
        <v>906</v>
      </c>
      <c r="G319" s="345">
        <v>705</v>
      </c>
      <c r="H319" s="345">
        <v>10024</v>
      </c>
      <c r="I319" s="345">
        <v>9319</v>
      </c>
      <c r="J319" s="345">
        <v>36</v>
      </c>
      <c r="K319" s="345">
        <v>97.06</v>
      </c>
      <c r="L319" s="345">
        <v>95.28</v>
      </c>
      <c r="M319" s="345">
        <v>4.28</v>
      </c>
      <c r="N319" s="345">
        <v>99.44</v>
      </c>
      <c r="O319" s="348">
        <v>7083</v>
      </c>
      <c r="P319" s="345">
        <v>90.3</v>
      </c>
      <c r="Q319" s="345">
        <v>85.73</v>
      </c>
      <c r="R319" s="345">
        <v>39.22</v>
      </c>
      <c r="S319" s="345">
        <v>127.7</v>
      </c>
      <c r="T319" s="348">
        <v>883</v>
      </c>
      <c r="U319" s="345">
        <v>122.14</v>
      </c>
      <c r="V319" s="348">
        <v>1191</v>
      </c>
      <c r="W319" s="345">
        <v>228</v>
      </c>
      <c r="X319" s="348">
        <v>84</v>
      </c>
      <c r="Y319" s="345">
        <v>0</v>
      </c>
      <c r="Z319" s="345">
        <v>3</v>
      </c>
      <c r="AA319" s="345">
        <v>1</v>
      </c>
      <c r="AB319" s="345">
        <v>62</v>
      </c>
      <c r="AC319" s="345">
        <v>14</v>
      </c>
      <c r="AD319" s="345">
        <v>8282</v>
      </c>
      <c r="AE319" s="345">
        <v>70</v>
      </c>
      <c r="AF319" s="345">
        <v>22</v>
      </c>
      <c r="AG319" s="345">
        <v>92</v>
      </c>
    </row>
    <row r="320" spans="1:33" x14ac:dyDescent="0.2">
      <c r="A320" s="344" t="s">
        <v>692</v>
      </c>
      <c r="B320" s="344" t="s">
        <v>693</v>
      </c>
      <c r="C320" s="345">
        <v>3389</v>
      </c>
      <c r="D320" s="345">
        <v>0</v>
      </c>
      <c r="E320" s="345">
        <v>252</v>
      </c>
      <c r="F320" s="345">
        <v>475</v>
      </c>
      <c r="G320" s="345">
        <v>327</v>
      </c>
      <c r="H320" s="345">
        <v>4443</v>
      </c>
      <c r="I320" s="345">
        <v>4116</v>
      </c>
      <c r="J320" s="345">
        <v>49</v>
      </c>
      <c r="K320" s="345">
        <v>88.62</v>
      </c>
      <c r="L320" s="345">
        <v>88.02</v>
      </c>
      <c r="M320" s="345">
        <v>4.4400000000000004</v>
      </c>
      <c r="N320" s="345">
        <v>91.27</v>
      </c>
      <c r="O320" s="348">
        <v>2835</v>
      </c>
      <c r="P320" s="345">
        <v>97.18</v>
      </c>
      <c r="Q320" s="345">
        <v>87.82</v>
      </c>
      <c r="R320" s="345">
        <v>35.619999999999997</v>
      </c>
      <c r="S320" s="345">
        <v>131.27000000000001</v>
      </c>
      <c r="T320" s="348">
        <v>557</v>
      </c>
      <c r="U320" s="345">
        <v>112.33</v>
      </c>
      <c r="V320" s="348">
        <v>500</v>
      </c>
      <c r="W320" s="345">
        <v>169.37</v>
      </c>
      <c r="X320" s="348">
        <v>88</v>
      </c>
      <c r="Y320" s="345">
        <v>7</v>
      </c>
      <c r="Z320" s="345">
        <v>5</v>
      </c>
      <c r="AA320" s="345">
        <v>0</v>
      </c>
      <c r="AB320" s="345">
        <v>53</v>
      </c>
      <c r="AC320" s="345">
        <v>8</v>
      </c>
      <c r="AD320" s="345">
        <v>3341</v>
      </c>
      <c r="AE320" s="345">
        <v>13</v>
      </c>
      <c r="AF320" s="345">
        <v>20</v>
      </c>
      <c r="AG320" s="345">
        <v>33</v>
      </c>
    </row>
    <row r="321" spans="1:33" x14ac:dyDescent="0.2">
      <c r="A321" s="344" t="s">
        <v>694</v>
      </c>
      <c r="B321" s="344" t="s">
        <v>695</v>
      </c>
      <c r="C321" s="345">
        <v>4506</v>
      </c>
      <c r="D321" s="345">
        <v>0</v>
      </c>
      <c r="E321" s="345">
        <v>2154</v>
      </c>
      <c r="F321" s="345">
        <v>69</v>
      </c>
      <c r="G321" s="345">
        <v>532</v>
      </c>
      <c r="H321" s="345">
        <v>7261</v>
      </c>
      <c r="I321" s="345">
        <v>6729</v>
      </c>
      <c r="J321" s="345">
        <v>44</v>
      </c>
      <c r="K321" s="345">
        <v>90.06</v>
      </c>
      <c r="L321" s="345">
        <v>87.26</v>
      </c>
      <c r="M321" s="345">
        <v>8.44</v>
      </c>
      <c r="N321" s="345">
        <v>94.02</v>
      </c>
      <c r="O321" s="348">
        <v>4028</v>
      </c>
      <c r="P321" s="345">
        <v>88.8</v>
      </c>
      <c r="Q321" s="345">
        <v>80.86</v>
      </c>
      <c r="R321" s="345">
        <v>17.72</v>
      </c>
      <c r="S321" s="345">
        <v>106.51</v>
      </c>
      <c r="T321" s="348">
        <v>2090</v>
      </c>
      <c r="U321" s="345">
        <v>109.4</v>
      </c>
      <c r="V321" s="348">
        <v>450</v>
      </c>
      <c r="W321" s="345">
        <v>210.73</v>
      </c>
      <c r="X321" s="348">
        <v>126</v>
      </c>
      <c r="Y321" s="345">
        <v>0</v>
      </c>
      <c r="Z321" s="345">
        <v>22</v>
      </c>
      <c r="AA321" s="345">
        <v>15</v>
      </c>
      <c r="AB321" s="345">
        <v>67</v>
      </c>
      <c r="AC321" s="345">
        <v>19</v>
      </c>
      <c r="AD321" s="345">
        <v>4506</v>
      </c>
      <c r="AE321" s="345">
        <v>32</v>
      </c>
      <c r="AF321" s="345">
        <v>43</v>
      </c>
      <c r="AG321" s="345">
        <v>75</v>
      </c>
    </row>
    <row r="322" spans="1:33" x14ac:dyDescent="0.2">
      <c r="A322" s="344" t="s">
        <v>696</v>
      </c>
      <c r="B322" s="344" t="s">
        <v>697</v>
      </c>
      <c r="C322" s="345">
        <v>4080</v>
      </c>
      <c r="D322" s="345">
        <v>6</v>
      </c>
      <c r="E322" s="345">
        <v>290</v>
      </c>
      <c r="F322" s="345">
        <v>713</v>
      </c>
      <c r="G322" s="345">
        <v>554</v>
      </c>
      <c r="H322" s="345">
        <v>5643</v>
      </c>
      <c r="I322" s="345">
        <v>5089</v>
      </c>
      <c r="J322" s="345">
        <v>4</v>
      </c>
      <c r="K322" s="345">
        <v>96.01</v>
      </c>
      <c r="L322" s="345">
        <v>94.89</v>
      </c>
      <c r="M322" s="345">
        <v>7.79</v>
      </c>
      <c r="N322" s="345">
        <v>99.76</v>
      </c>
      <c r="O322" s="348">
        <v>3066</v>
      </c>
      <c r="P322" s="345">
        <v>89.01</v>
      </c>
      <c r="Q322" s="345">
        <v>77.53</v>
      </c>
      <c r="R322" s="345">
        <v>32.69</v>
      </c>
      <c r="S322" s="345">
        <v>121.42</v>
      </c>
      <c r="T322" s="348">
        <v>718</v>
      </c>
      <c r="U322" s="345">
        <v>112.32</v>
      </c>
      <c r="V322" s="348">
        <v>568</v>
      </c>
      <c r="W322" s="345">
        <v>0</v>
      </c>
      <c r="X322" s="348">
        <v>0</v>
      </c>
      <c r="Y322" s="345">
        <v>0</v>
      </c>
      <c r="Z322" s="345">
        <v>1</v>
      </c>
      <c r="AA322" s="345">
        <v>3</v>
      </c>
      <c r="AB322" s="345">
        <v>31</v>
      </c>
      <c r="AC322" s="345">
        <v>6</v>
      </c>
      <c r="AD322" s="345">
        <v>3723</v>
      </c>
      <c r="AE322" s="345">
        <v>25</v>
      </c>
      <c r="AF322" s="345">
        <v>12</v>
      </c>
      <c r="AG322" s="345">
        <v>37</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EDB58-3BC1-4464-B929-B2A8BCEAE1F9}">
  <sheetPr codeName="Sheet16">
    <tabColor rgb="FFFFFF00"/>
  </sheetPr>
  <dimension ref="A1:FC322"/>
  <sheetViews>
    <sheetView zoomScale="80" zoomScaleNormal="80" workbookViewId="0"/>
  </sheetViews>
  <sheetFormatPr defaultColWidth="9.140625" defaultRowHeight="12.75" x14ac:dyDescent="0.2"/>
  <cols>
    <col min="1" max="8" width="9.140625" style="145"/>
    <col min="9" max="10" width="10.42578125" style="145" customWidth="1"/>
    <col min="11" max="11" width="10.42578125" style="145" bestFit="1" customWidth="1"/>
    <col min="12" max="16384" width="9.140625" style="145"/>
  </cols>
  <sheetData>
    <row r="1" spans="1:159" s="144" customFormat="1" x14ac:dyDescent="0.2">
      <c r="A1" s="134"/>
      <c r="B1" s="134"/>
      <c r="C1" s="135" t="s">
        <v>38</v>
      </c>
      <c r="D1" s="135" t="s">
        <v>38</v>
      </c>
      <c r="E1" s="135" t="s">
        <v>38</v>
      </c>
      <c r="F1" s="135" t="s">
        <v>38</v>
      </c>
      <c r="G1" s="135" t="s">
        <v>38</v>
      </c>
      <c r="H1" s="135" t="s">
        <v>38</v>
      </c>
      <c r="I1" s="136" t="s">
        <v>39</v>
      </c>
      <c r="J1" s="136" t="s">
        <v>39</v>
      </c>
      <c r="K1" s="137" t="s">
        <v>40</v>
      </c>
      <c r="L1" s="137" t="s">
        <v>40</v>
      </c>
      <c r="M1" s="137" t="s">
        <v>40</v>
      </c>
      <c r="N1" s="138" t="s">
        <v>40</v>
      </c>
      <c r="O1" s="137" t="s">
        <v>40</v>
      </c>
      <c r="P1" s="139" t="s">
        <v>41</v>
      </c>
      <c r="Q1" s="139" t="s">
        <v>41</v>
      </c>
      <c r="R1" s="139" t="s">
        <v>41</v>
      </c>
      <c r="S1" s="139" t="s">
        <v>41</v>
      </c>
      <c r="T1" s="139" t="s">
        <v>41</v>
      </c>
      <c r="U1" s="140" t="s">
        <v>42</v>
      </c>
      <c r="V1" s="140" t="s">
        <v>42</v>
      </c>
      <c r="W1" s="141" t="s">
        <v>43</v>
      </c>
      <c r="X1" s="141" t="s">
        <v>43</v>
      </c>
      <c r="Y1" s="142" t="s">
        <v>44</v>
      </c>
      <c r="Z1" s="142" t="s">
        <v>44</v>
      </c>
      <c r="AA1" s="142" t="s">
        <v>44</v>
      </c>
      <c r="AB1" s="142" t="s">
        <v>44</v>
      </c>
      <c r="AC1" s="142" t="s">
        <v>44</v>
      </c>
      <c r="AD1" s="143" t="s">
        <v>45</v>
      </c>
      <c r="AE1" s="143" t="s">
        <v>45</v>
      </c>
      <c r="AF1" s="143" t="s">
        <v>45</v>
      </c>
      <c r="AG1" s="143" t="s">
        <v>45</v>
      </c>
    </row>
    <row r="2" spans="1:159" x14ac:dyDescent="0.2">
      <c r="B2" s="146">
        <v>1</v>
      </c>
      <c r="C2" s="146">
        <v>2</v>
      </c>
      <c r="D2" s="146">
        <v>3</v>
      </c>
      <c r="E2" s="146">
        <v>4</v>
      </c>
      <c r="F2" s="146">
        <v>5</v>
      </c>
      <c r="G2" s="146">
        <v>6</v>
      </c>
      <c r="H2" s="146">
        <v>7</v>
      </c>
      <c r="I2" s="146">
        <v>8</v>
      </c>
      <c r="J2" s="146">
        <v>9</v>
      </c>
      <c r="K2" s="146">
        <v>10</v>
      </c>
      <c r="L2" s="146">
        <v>11</v>
      </c>
      <c r="M2" s="146">
        <v>12</v>
      </c>
      <c r="N2" s="146">
        <v>13</v>
      </c>
      <c r="O2" s="146">
        <v>14</v>
      </c>
      <c r="P2" s="146">
        <v>15</v>
      </c>
      <c r="Q2" s="146">
        <v>16</v>
      </c>
      <c r="R2" s="146">
        <v>17</v>
      </c>
      <c r="S2" s="146">
        <v>18</v>
      </c>
      <c r="T2" s="146">
        <v>19</v>
      </c>
      <c r="U2" s="146">
        <v>20</v>
      </c>
      <c r="V2" s="146">
        <v>21</v>
      </c>
      <c r="W2" s="146">
        <v>22</v>
      </c>
      <c r="X2" s="146">
        <v>23</v>
      </c>
      <c r="Y2" s="146">
        <v>24</v>
      </c>
      <c r="Z2" s="146">
        <v>25</v>
      </c>
      <c r="AA2" s="146">
        <v>26</v>
      </c>
      <c r="AB2" s="146">
        <v>27</v>
      </c>
      <c r="AC2" s="146">
        <v>28</v>
      </c>
      <c r="AD2" s="146">
        <v>29</v>
      </c>
      <c r="AE2" s="146">
        <v>30</v>
      </c>
      <c r="AF2" s="146">
        <v>31</v>
      </c>
      <c r="AG2" s="146">
        <v>32</v>
      </c>
    </row>
    <row r="3" spans="1:159" ht="89.25" x14ac:dyDescent="0.2">
      <c r="A3" s="145" t="s">
        <v>46</v>
      </c>
      <c r="B3" s="145" t="s">
        <v>47</v>
      </c>
      <c r="C3" s="147" t="s">
        <v>48</v>
      </c>
      <c r="D3" s="147" t="s">
        <v>49</v>
      </c>
      <c r="E3" s="147" t="s">
        <v>50</v>
      </c>
      <c r="F3" s="147" t="s">
        <v>51</v>
      </c>
      <c r="G3" s="147" t="s">
        <v>52</v>
      </c>
      <c r="H3" s="147" t="s">
        <v>53</v>
      </c>
      <c r="I3" s="148" t="s">
        <v>54</v>
      </c>
      <c r="J3" s="148" t="s">
        <v>55</v>
      </c>
      <c r="K3" s="149" t="s">
        <v>56</v>
      </c>
      <c r="L3" s="149" t="s">
        <v>57</v>
      </c>
      <c r="M3" s="149" t="s">
        <v>58</v>
      </c>
      <c r="N3" s="150" t="s">
        <v>59</v>
      </c>
      <c r="O3" s="149" t="s">
        <v>60</v>
      </c>
      <c r="P3" s="151" t="s">
        <v>61</v>
      </c>
      <c r="Q3" s="151" t="s">
        <v>62</v>
      </c>
      <c r="R3" s="151" t="s">
        <v>58</v>
      </c>
      <c r="S3" s="151" t="s">
        <v>63</v>
      </c>
      <c r="T3" s="151" t="s">
        <v>64</v>
      </c>
      <c r="U3" s="152" t="s">
        <v>65</v>
      </c>
      <c r="V3" s="152" t="s">
        <v>66</v>
      </c>
      <c r="W3" s="153" t="s">
        <v>67</v>
      </c>
      <c r="X3" s="153" t="s">
        <v>68</v>
      </c>
      <c r="Y3" s="154" t="s">
        <v>69</v>
      </c>
      <c r="Z3" s="154" t="s">
        <v>70</v>
      </c>
      <c r="AA3" s="154" t="s">
        <v>71</v>
      </c>
      <c r="AB3" s="154" t="s">
        <v>72</v>
      </c>
      <c r="AC3" s="154" t="s">
        <v>73</v>
      </c>
      <c r="AD3" s="155" t="s">
        <v>74</v>
      </c>
      <c r="AE3" s="155" t="s">
        <v>75</v>
      </c>
      <c r="AF3" s="155" t="s">
        <v>76</v>
      </c>
      <c r="AG3" s="155" t="s">
        <v>77</v>
      </c>
    </row>
    <row r="4" spans="1:159" ht="15" x14ac:dyDescent="0.25">
      <c r="A4" s="187" t="s">
        <v>13</v>
      </c>
      <c r="B4" s="187" t="s">
        <v>13</v>
      </c>
      <c r="C4" s="187">
        <v>2234560</v>
      </c>
      <c r="D4" s="187">
        <v>9807</v>
      </c>
      <c r="E4" s="187">
        <v>139334</v>
      </c>
      <c r="F4" s="187">
        <v>261627</v>
      </c>
      <c r="G4" s="187">
        <v>237359</v>
      </c>
      <c r="H4" s="187">
        <v>2882687</v>
      </c>
      <c r="I4" s="187">
        <v>2645328</v>
      </c>
      <c r="J4" s="187">
        <v>15497</v>
      </c>
      <c r="K4" s="187">
        <v>102.15</v>
      </c>
      <c r="L4" s="187">
        <v>101.55</v>
      </c>
      <c r="M4" s="187">
        <v>7.58</v>
      </c>
      <c r="N4" s="187">
        <v>106.83</v>
      </c>
      <c r="O4" s="187">
        <v>1831331</v>
      </c>
      <c r="P4" s="187">
        <v>100.43</v>
      </c>
      <c r="Q4" s="187">
        <v>90.29</v>
      </c>
      <c r="R4" s="187">
        <v>48.03</v>
      </c>
      <c r="S4" s="187">
        <v>146.16</v>
      </c>
      <c r="T4" s="187">
        <v>332898</v>
      </c>
      <c r="U4" s="187">
        <v>143.80000000000001</v>
      </c>
      <c r="V4" s="187">
        <v>315847</v>
      </c>
      <c r="W4" s="187">
        <v>193.03</v>
      </c>
      <c r="X4" s="187">
        <v>15683</v>
      </c>
      <c r="Y4" s="187">
        <v>4878</v>
      </c>
      <c r="Z4" s="187">
        <v>4581</v>
      </c>
      <c r="AA4" s="187">
        <v>2675</v>
      </c>
      <c r="AB4" s="187">
        <v>17126</v>
      </c>
      <c r="AC4" s="187">
        <v>5517</v>
      </c>
      <c r="AD4" s="187">
        <v>2178923</v>
      </c>
      <c r="AE4" s="187">
        <v>16534</v>
      </c>
      <c r="AF4" s="187">
        <v>18990</v>
      </c>
      <c r="AG4" s="187">
        <v>35524</v>
      </c>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DZ4" s="187"/>
      <c r="EA4" s="187"/>
      <c r="EB4" s="187"/>
      <c r="EC4" s="187"/>
      <c r="ED4" s="187"/>
      <c r="EE4" s="187"/>
      <c r="EF4" s="187"/>
      <c r="EG4" s="187"/>
      <c r="EH4" s="187"/>
      <c r="EI4" s="187"/>
      <c r="EJ4" s="187"/>
      <c r="EK4" s="187"/>
      <c r="EL4" s="187"/>
      <c r="EM4" s="187"/>
      <c r="EN4" s="187"/>
      <c r="EO4" s="187"/>
      <c r="EP4" s="187"/>
      <c r="EQ4" s="187"/>
      <c r="ER4" s="187"/>
      <c r="ES4" s="187"/>
      <c r="ET4" s="187"/>
      <c r="EU4" s="187"/>
      <c r="EV4" s="187"/>
      <c r="EW4" s="187"/>
      <c r="EX4" s="187"/>
      <c r="EY4" s="187"/>
      <c r="EZ4" s="187"/>
      <c r="FA4" s="187"/>
      <c r="FB4" s="187"/>
      <c r="FC4" s="187"/>
    </row>
    <row r="5" spans="1:159" ht="15" x14ac:dyDescent="0.25">
      <c r="A5" s="187" t="s">
        <v>78</v>
      </c>
      <c r="B5" s="187" t="s">
        <v>78</v>
      </c>
      <c r="C5" s="187">
        <v>120656</v>
      </c>
      <c r="D5" s="187">
        <v>480</v>
      </c>
      <c r="E5" s="187">
        <v>9275</v>
      </c>
      <c r="F5" s="187">
        <v>22400</v>
      </c>
      <c r="G5" s="187">
        <v>17369</v>
      </c>
      <c r="H5" s="187">
        <v>170180</v>
      </c>
      <c r="I5" s="187">
        <v>152811</v>
      </c>
      <c r="J5" s="187">
        <v>1026</v>
      </c>
      <c r="K5" s="187">
        <v>94.24</v>
      </c>
      <c r="L5" s="187">
        <v>93.27</v>
      </c>
      <c r="M5" s="187">
        <v>5.59</v>
      </c>
      <c r="N5" s="187">
        <v>97.92</v>
      </c>
      <c r="O5" s="187">
        <v>94932</v>
      </c>
      <c r="P5" s="187">
        <v>97.1</v>
      </c>
      <c r="Q5" s="187">
        <v>85.2</v>
      </c>
      <c r="R5" s="187">
        <v>45.1</v>
      </c>
      <c r="S5" s="187">
        <v>140.02000000000001</v>
      </c>
      <c r="T5" s="187">
        <v>27984</v>
      </c>
      <c r="U5" s="187">
        <v>119.1</v>
      </c>
      <c r="V5" s="187">
        <v>21114</v>
      </c>
      <c r="W5" s="187">
        <v>196.55</v>
      </c>
      <c r="X5" s="187">
        <v>733</v>
      </c>
      <c r="Y5" s="187">
        <v>464</v>
      </c>
      <c r="Z5" s="187">
        <v>186</v>
      </c>
      <c r="AA5" s="187">
        <v>154</v>
      </c>
      <c r="AB5" s="187">
        <v>1307</v>
      </c>
      <c r="AC5" s="187">
        <v>365</v>
      </c>
      <c r="AD5" s="187">
        <v>118191</v>
      </c>
      <c r="AE5" s="187">
        <v>719</v>
      </c>
      <c r="AF5" s="187">
        <v>718</v>
      </c>
      <c r="AG5" s="187">
        <v>1437</v>
      </c>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7"/>
      <c r="CN5" s="187"/>
      <c r="CO5" s="187"/>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c r="DP5" s="187"/>
      <c r="DQ5" s="187"/>
      <c r="DR5" s="187"/>
      <c r="DS5" s="187"/>
      <c r="DT5" s="187"/>
      <c r="DU5" s="187"/>
      <c r="DV5" s="187"/>
      <c r="DW5" s="187"/>
      <c r="DX5" s="187"/>
      <c r="DY5" s="187"/>
      <c r="DZ5" s="187"/>
      <c r="EA5" s="187"/>
      <c r="EB5" s="187"/>
      <c r="EC5" s="187"/>
      <c r="ED5" s="187"/>
      <c r="EE5" s="187"/>
      <c r="EF5" s="187"/>
      <c r="EG5" s="187"/>
      <c r="EH5" s="187"/>
      <c r="EI5" s="187"/>
      <c r="EJ5" s="187"/>
      <c r="EK5" s="187"/>
      <c r="EL5" s="187"/>
      <c r="EM5" s="187"/>
      <c r="EN5" s="187"/>
      <c r="EO5" s="187"/>
      <c r="EP5" s="187"/>
      <c r="EQ5" s="187"/>
      <c r="ER5" s="187"/>
      <c r="ES5" s="187"/>
      <c r="ET5" s="187"/>
      <c r="EU5" s="187"/>
      <c r="EV5" s="187"/>
      <c r="EW5" s="187"/>
      <c r="EX5" s="187"/>
      <c r="EY5" s="187"/>
      <c r="EZ5" s="187"/>
      <c r="FA5" s="187"/>
      <c r="FB5" s="187"/>
      <c r="FC5" s="187"/>
    </row>
    <row r="6" spans="1:159" ht="15" x14ac:dyDescent="0.25">
      <c r="A6" s="187" t="s">
        <v>79</v>
      </c>
      <c r="B6" s="187" t="s">
        <v>79</v>
      </c>
      <c r="C6" s="187">
        <v>232030</v>
      </c>
      <c r="D6" s="187">
        <v>1741</v>
      </c>
      <c r="E6" s="187">
        <v>12200</v>
      </c>
      <c r="F6" s="187">
        <v>26160</v>
      </c>
      <c r="G6" s="187">
        <v>27111</v>
      </c>
      <c r="H6" s="187">
        <v>299242</v>
      </c>
      <c r="I6" s="187">
        <v>272131</v>
      </c>
      <c r="J6" s="187">
        <v>2503</v>
      </c>
      <c r="K6" s="187">
        <v>105.96</v>
      </c>
      <c r="L6" s="187">
        <v>105.28</v>
      </c>
      <c r="M6" s="187">
        <v>6.89</v>
      </c>
      <c r="N6" s="187">
        <v>109.79</v>
      </c>
      <c r="O6" s="187">
        <v>185749</v>
      </c>
      <c r="P6" s="187">
        <v>102.71</v>
      </c>
      <c r="Q6" s="187">
        <v>92.64</v>
      </c>
      <c r="R6" s="187">
        <v>46.13</v>
      </c>
      <c r="S6" s="187">
        <v>147.16999999999999</v>
      </c>
      <c r="T6" s="187">
        <v>32663</v>
      </c>
      <c r="U6" s="187">
        <v>152.5</v>
      </c>
      <c r="V6" s="187">
        <v>39943</v>
      </c>
      <c r="W6" s="187">
        <v>200.03</v>
      </c>
      <c r="X6" s="187">
        <v>795</v>
      </c>
      <c r="Y6" s="187">
        <v>410</v>
      </c>
      <c r="Z6" s="187">
        <v>252</v>
      </c>
      <c r="AA6" s="187">
        <v>259</v>
      </c>
      <c r="AB6" s="187">
        <v>2089</v>
      </c>
      <c r="AC6" s="187">
        <v>569</v>
      </c>
      <c r="AD6" s="187">
        <v>229873</v>
      </c>
      <c r="AE6" s="187">
        <v>1827</v>
      </c>
      <c r="AF6" s="187">
        <v>1822</v>
      </c>
      <c r="AG6" s="187">
        <v>3649</v>
      </c>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c r="CC6" s="187"/>
      <c r="CD6" s="187"/>
      <c r="CE6" s="187"/>
      <c r="CF6" s="187"/>
      <c r="CG6" s="187"/>
      <c r="CH6" s="187"/>
      <c r="CI6" s="187"/>
      <c r="CJ6" s="187"/>
      <c r="CK6" s="187"/>
      <c r="CL6" s="187"/>
      <c r="CM6" s="187"/>
      <c r="CN6" s="187"/>
      <c r="CO6" s="187"/>
      <c r="CP6" s="187"/>
      <c r="CQ6" s="187"/>
      <c r="CR6" s="187"/>
      <c r="CS6" s="187"/>
      <c r="CT6" s="187"/>
      <c r="CU6" s="187"/>
      <c r="CV6" s="187"/>
      <c r="CW6" s="187"/>
      <c r="CX6" s="187"/>
      <c r="CY6" s="187"/>
      <c r="CZ6" s="187"/>
      <c r="DA6" s="187"/>
      <c r="DB6" s="187"/>
      <c r="DC6" s="187"/>
      <c r="DD6" s="187"/>
      <c r="DE6" s="187"/>
      <c r="DF6" s="187"/>
      <c r="DG6" s="187"/>
      <c r="DH6" s="187"/>
      <c r="DI6" s="187"/>
      <c r="DJ6" s="187"/>
      <c r="DK6" s="187"/>
      <c r="DL6" s="187"/>
      <c r="DM6" s="187"/>
      <c r="DN6" s="187"/>
      <c r="DO6" s="187"/>
      <c r="DP6" s="187"/>
      <c r="DQ6" s="187"/>
      <c r="DR6" s="187"/>
      <c r="DS6" s="187"/>
      <c r="DT6" s="187"/>
      <c r="DU6" s="187"/>
      <c r="DV6" s="187"/>
      <c r="DW6" s="187"/>
      <c r="DX6" s="187"/>
      <c r="DY6" s="187"/>
      <c r="DZ6" s="187"/>
      <c r="EA6" s="187"/>
      <c r="EB6" s="187"/>
      <c r="EC6" s="187"/>
      <c r="ED6" s="187"/>
      <c r="EE6" s="187"/>
      <c r="EF6" s="187"/>
      <c r="EG6" s="187"/>
      <c r="EH6" s="187"/>
      <c r="EI6" s="187"/>
      <c r="EJ6" s="187"/>
      <c r="EK6" s="187"/>
      <c r="EL6" s="187"/>
      <c r="EM6" s="187"/>
      <c r="EN6" s="187"/>
      <c r="EO6" s="187"/>
      <c r="EP6" s="187"/>
      <c r="EQ6" s="187"/>
      <c r="ER6" s="187"/>
      <c r="ES6" s="187"/>
      <c r="ET6" s="187"/>
      <c r="EU6" s="187"/>
      <c r="EV6" s="187"/>
      <c r="EW6" s="187"/>
      <c r="EX6" s="187"/>
      <c r="EY6" s="187"/>
      <c r="EZ6" s="187"/>
      <c r="FA6" s="187"/>
      <c r="FB6" s="187"/>
      <c r="FC6" s="187"/>
    </row>
    <row r="7" spans="1:159" ht="15" x14ac:dyDescent="0.25">
      <c r="A7" s="187" t="s">
        <v>80</v>
      </c>
      <c r="B7" s="187" t="s">
        <v>80</v>
      </c>
      <c r="C7" s="187">
        <v>365450</v>
      </c>
      <c r="D7" s="187">
        <v>5387</v>
      </c>
      <c r="E7" s="187">
        <v>26626</v>
      </c>
      <c r="F7" s="187">
        <v>28956</v>
      </c>
      <c r="G7" s="187">
        <v>54705</v>
      </c>
      <c r="H7" s="187">
        <v>481124</v>
      </c>
      <c r="I7" s="187">
        <v>426419</v>
      </c>
      <c r="J7" s="187">
        <v>3376</v>
      </c>
      <c r="K7" s="187">
        <v>130.27000000000001</v>
      </c>
      <c r="L7" s="187">
        <v>133.77000000000001</v>
      </c>
      <c r="M7" s="187">
        <v>13.23</v>
      </c>
      <c r="N7" s="187">
        <v>140.30000000000001</v>
      </c>
      <c r="O7" s="187">
        <v>288639</v>
      </c>
      <c r="P7" s="187">
        <v>120.59</v>
      </c>
      <c r="Q7" s="187">
        <v>113.28</v>
      </c>
      <c r="R7" s="187">
        <v>64.44</v>
      </c>
      <c r="S7" s="187">
        <v>181.24</v>
      </c>
      <c r="T7" s="187">
        <v>43824</v>
      </c>
      <c r="U7" s="187">
        <v>208.93</v>
      </c>
      <c r="V7" s="187">
        <v>41789</v>
      </c>
      <c r="W7" s="187">
        <v>236.77</v>
      </c>
      <c r="X7" s="187">
        <v>1814</v>
      </c>
      <c r="Y7" s="187">
        <v>1166</v>
      </c>
      <c r="Z7" s="187">
        <v>199</v>
      </c>
      <c r="AA7" s="187">
        <v>570</v>
      </c>
      <c r="AB7" s="187">
        <v>2923</v>
      </c>
      <c r="AC7" s="187">
        <v>1647</v>
      </c>
      <c r="AD7" s="187">
        <v>342726</v>
      </c>
      <c r="AE7" s="187">
        <v>3834</v>
      </c>
      <c r="AF7" s="187">
        <v>3002</v>
      </c>
      <c r="AG7" s="187">
        <v>6836</v>
      </c>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DZ7" s="187"/>
      <c r="EA7" s="187"/>
      <c r="EB7" s="187"/>
      <c r="EC7" s="187"/>
      <c r="ED7" s="187"/>
      <c r="EE7" s="187"/>
      <c r="EF7" s="187"/>
      <c r="EG7" s="187"/>
      <c r="EH7" s="187"/>
      <c r="EI7" s="187"/>
      <c r="EJ7" s="187"/>
      <c r="EK7" s="187"/>
      <c r="EL7" s="187"/>
      <c r="EM7" s="187"/>
      <c r="EN7" s="187"/>
      <c r="EO7" s="187"/>
      <c r="EP7" s="187"/>
      <c r="EQ7" s="187"/>
      <c r="ER7" s="187"/>
      <c r="ES7" s="187"/>
      <c r="ET7" s="187"/>
      <c r="EU7" s="187"/>
      <c r="EV7" s="187"/>
      <c r="EW7" s="187"/>
      <c r="EX7" s="187"/>
      <c r="EY7" s="187"/>
      <c r="EZ7" s="187"/>
      <c r="FA7" s="187"/>
      <c r="FB7" s="187"/>
      <c r="FC7" s="187"/>
    </row>
    <row r="8" spans="1:159" ht="15" x14ac:dyDescent="0.25">
      <c r="A8" s="187" t="s">
        <v>81</v>
      </c>
      <c r="B8" s="187" t="s">
        <v>81</v>
      </c>
      <c r="C8" s="187">
        <v>159370</v>
      </c>
      <c r="D8" s="187">
        <v>133</v>
      </c>
      <c r="E8" s="187">
        <v>7194</v>
      </c>
      <c r="F8" s="187">
        <v>17124</v>
      </c>
      <c r="G8" s="187">
        <v>4451</v>
      </c>
      <c r="H8" s="187">
        <v>188272</v>
      </c>
      <c r="I8" s="187">
        <v>183821</v>
      </c>
      <c r="J8" s="187">
        <v>1090</v>
      </c>
      <c r="K8" s="187">
        <v>83.85</v>
      </c>
      <c r="L8" s="187">
        <v>82.74</v>
      </c>
      <c r="M8" s="187">
        <v>6.53</v>
      </c>
      <c r="N8" s="187">
        <v>85.99</v>
      </c>
      <c r="O8" s="187">
        <v>138236</v>
      </c>
      <c r="P8" s="187">
        <v>93.71</v>
      </c>
      <c r="Q8" s="187">
        <v>80.09</v>
      </c>
      <c r="R8" s="187">
        <v>54.56</v>
      </c>
      <c r="S8" s="187">
        <v>143.38999999999999</v>
      </c>
      <c r="T8" s="187">
        <v>20151</v>
      </c>
      <c r="U8" s="187">
        <v>105.24</v>
      </c>
      <c r="V8" s="187">
        <v>18513</v>
      </c>
      <c r="W8" s="187">
        <v>176.74</v>
      </c>
      <c r="X8" s="187">
        <v>2047</v>
      </c>
      <c r="Y8" s="187">
        <v>15</v>
      </c>
      <c r="Z8" s="187">
        <v>618</v>
      </c>
      <c r="AA8" s="187">
        <v>81</v>
      </c>
      <c r="AB8" s="187">
        <v>330</v>
      </c>
      <c r="AC8" s="187">
        <v>113</v>
      </c>
      <c r="AD8" s="187">
        <v>157213</v>
      </c>
      <c r="AE8" s="187">
        <v>1139</v>
      </c>
      <c r="AF8" s="187">
        <v>1968</v>
      </c>
      <c r="AG8" s="187">
        <v>3107</v>
      </c>
      <c r="AH8" s="187"/>
      <c r="AI8" s="187"/>
      <c r="AJ8" s="187"/>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187"/>
      <c r="BK8" s="187"/>
      <c r="BL8" s="187"/>
      <c r="BM8" s="187"/>
      <c r="BN8" s="187"/>
      <c r="BO8" s="187"/>
      <c r="BP8" s="187"/>
      <c r="BQ8" s="187"/>
      <c r="BR8" s="187"/>
      <c r="BS8" s="187"/>
      <c r="BT8" s="187"/>
      <c r="BU8" s="187"/>
      <c r="BV8" s="187"/>
      <c r="BW8" s="187"/>
      <c r="BX8" s="187"/>
      <c r="BY8" s="187"/>
      <c r="BZ8" s="187"/>
      <c r="CA8" s="187"/>
      <c r="CB8" s="187"/>
      <c r="CC8" s="187"/>
      <c r="CD8" s="187"/>
      <c r="CE8" s="187"/>
      <c r="CF8" s="187"/>
      <c r="CG8" s="187"/>
      <c r="CH8" s="187"/>
      <c r="CI8" s="187"/>
      <c r="CJ8" s="187"/>
      <c r="CK8" s="187"/>
      <c r="CL8" s="187"/>
      <c r="CM8" s="187"/>
      <c r="CN8" s="187"/>
      <c r="CO8" s="187"/>
      <c r="CP8" s="187"/>
      <c r="CQ8" s="187"/>
      <c r="CR8" s="187"/>
      <c r="CS8" s="187"/>
      <c r="CT8" s="187"/>
      <c r="CU8" s="187"/>
      <c r="CV8" s="187"/>
      <c r="CW8" s="187"/>
      <c r="CX8" s="187"/>
      <c r="CY8" s="187"/>
      <c r="CZ8" s="187"/>
      <c r="DA8" s="187"/>
      <c r="DB8" s="187"/>
      <c r="DC8" s="187"/>
      <c r="DD8" s="187"/>
      <c r="DE8" s="187"/>
      <c r="DF8" s="187"/>
      <c r="DG8" s="187"/>
      <c r="DH8" s="187"/>
      <c r="DI8" s="187"/>
      <c r="DJ8" s="187"/>
      <c r="DK8" s="187"/>
      <c r="DL8" s="187"/>
      <c r="DM8" s="187"/>
      <c r="DN8" s="187"/>
      <c r="DO8" s="187"/>
      <c r="DP8" s="187"/>
      <c r="DQ8" s="187"/>
      <c r="DR8" s="187"/>
      <c r="DS8" s="187"/>
      <c r="DT8" s="187"/>
      <c r="DU8" s="187"/>
      <c r="DV8" s="187"/>
      <c r="DW8" s="187"/>
      <c r="DX8" s="187"/>
      <c r="DY8" s="187"/>
      <c r="DZ8" s="187"/>
      <c r="EA8" s="187"/>
      <c r="EB8" s="187"/>
      <c r="EC8" s="187"/>
      <c r="ED8" s="187"/>
      <c r="EE8" s="187"/>
      <c r="EF8" s="187"/>
      <c r="EG8" s="187"/>
      <c r="EH8" s="187"/>
      <c r="EI8" s="187"/>
      <c r="EJ8" s="187"/>
      <c r="EK8" s="187"/>
      <c r="EL8" s="187"/>
      <c r="EM8" s="187"/>
      <c r="EN8" s="187"/>
      <c r="EO8" s="187"/>
      <c r="EP8" s="187"/>
      <c r="EQ8" s="187"/>
      <c r="ER8" s="187"/>
      <c r="ES8" s="187"/>
      <c r="ET8" s="187"/>
      <c r="EU8" s="187"/>
      <c r="EV8" s="187"/>
      <c r="EW8" s="187"/>
      <c r="EX8" s="187"/>
      <c r="EY8" s="187"/>
      <c r="EZ8" s="187"/>
      <c r="FA8" s="187"/>
      <c r="FB8" s="187"/>
      <c r="FC8" s="187"/>
    </row>
    <row r="9" spans="1:159" ht="15" x14ac:dyDescent="0.25">
      <c r="A9" s="187" t="s">
        <v>82</v>
      </c>
      <c r="B9" s="187" t="s">
        <v>82</v>
      </c>
      <c r="C9" s="187">
        <v>435431</v>
      </c>
      <c r="D9" s="187">
        <v>129</v>
      </c>
      <c r="E9" s="187">
        <v>23462</v>
      </c>
      <c r="F9" s="187">
        <v>51860</v>
      </c>
      <c r="G9" s="187">
        <v>20964</v>
      </c>
      <c r="H9" s="187">
        <v>531846</v>
      </c>
      <c r="I9" s="187">
        <v>510882</v>
      </c>
      <c r="J9" s="187">
        <v>771</v>
      </c>
      <c r="K9" s="187">
        <v>88.34</v>
      </c>
      <c r="L9" s="187">
        <v>87.56</v>
      </c>
      <c r="M9" s="187">
        <v>5.65</v>
      </c>
      <c r="N9" s="187">
        <v>91.53</v>
      </c>
      <c r="O9" s="187">
        <v>366860</v>
      </c>
      <c r="P9" s="187">
        <v>91.89</v>
      </c>
      <c r="Q9" s="187">
        <v>81.27</v>
      </c>
      <c r="R9" s="187">
        <v>41.08</v>
      </c>
      <c r="S9" s="187">
        <v>130.43</v>
      </c>
      <c r="T9" s="187">
        <v>65589</v>
      </c>
      <c r="U9" s="187">
        <v>112.98</v>
      </c>
      <c r="V9" s="187">
        <v>57898</v>
      </c>
      <c r="W9" s="187">
        <v>176.67</v>
      </c>
      <c r="X9" s="187">
        <v>3011</v>
      </c>
      <c r="Y9" s="187">
        <v>27</v>
      </c>
      <c r="Z9" s="187">
        <v>1980</v>
      </c>
      <c r="AA9" s="187">
        <v>257</v>
      </c>
      <c r="AB9" s="187">
        <v>1921</v>
      </c>
      <c r="AC9" s="187">
        <v>508</v>
      </c>
      <c r="AD9" s="187">
        <v>426855</v>
      </c>
      <c r="AE9" s="187">
        <v>2864</v>
      </c>
      <c r="AF9" s="187">
        <v>4330</v>
      </c>
      <c r="AG9" s="187">
        <v>7194</v>
      </c>
      <c r="AH9" s="187"/>
      <c r="AI9" s="187"/>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187"/>
      <c r="BK9" s="187"/>
      <c r="BL9" s="187"/>
      <c r="BM9" s="187"/>
      <c r="BN9" s="187"/>
      <c r="BO9" s="187"/>
      <c r="BP9" s="187"/>
      <c r="BQ9" s="187"/>
      <c r="BR9" s="187"/>
      <c r="BS9" s="187"/>
      <c r="BT9" s="187"/>
      <c r="BU9" s="187"/>
      <c r="BV9" s="187"/>
      <c r="BW9" s="187"/>
      <c r="BX9" s="187"/>
      <c r="BY9" s="187"/>
      <c r="BZ9" s="187"/>
      <c r="CA9" s="187"/>
      <c r="CB9" s="187"/>
      <c r="CC9" s="187"/>
      <c r="CD9" s="187"/>
      <c r="CE9" s="187"/>
      <c r="CF9" s="187"/>
      <c r="CG9" s="187"/>
      <c r="CH9" s="187"/>
      <c r="CI9" s="187"/>
      <c r="CJ9" s="187"/>
      <c r="CK9" s="187"/>
      <c r="CL9" s="187"/>
      <c r="CM9" s="187"/>
      <c r="CN9" s="187"/>
      <c r="CO9" s="187"/>
      <c r="CP9" s="187"/>
      <c r="CQ9" s="187"/>
      <c r="CR9" s="187"/>
      <c r="CS9" s="187"/>
      <c r="CT9" s="187"/>
      <c r="CU9" s="187"/>
      <c r="CV9" s="187"/>
      <c r="CW9" s="187"/>
      <c r="CX9" s="187"/>
      <c r="CY9" s="187"/>
      <c r="CZ9" s="187"/>
      <c r="DA9" s="187"/>
      <c r="DB9" s="187"/>
      <c r="DC9" s="187"/>
      <c r="DD9" s="187"/>
      <c r="DE9" s="187"/>
      <c r="DF9" s="187"/>
      <c r="DG9" s="187"/>
      <c r="DH9" s="187"/>
      <c r="DI9" s="187"/>
      <c r="DJ9" s="187"/>
      <c r="DK9" s="187"/>
      <c r="DL9" s="187"/>
      <c r="DM9" s="187"/>
      <c r="DN9" s="187"/>
      <c r="DO9" s="187"/>
      <c r="DP9" s="187"/>
      <c r="DQ9" s="187"/>
      <c r="DR9" s="187"/>
      <c r="DS9" s="187"/>
      <c r="DT9" s="187"/>
      <c r="DU9" s="187"/>
      <c r="DV9" s="187"/>
      <c r="DW9" s="187"/>
      <c r="DX9" s="187"/>
      <c r="DY9" s="187"/>
      <c r="DZ9" s="187"/>
      <c r="EA9" s="187"/>
      <c r="EB9" s="187"/>
      <c r="EC9" s="187"/>
      <c r="ED9" s="187"/>
      <c r="EE9" s="187"/>
      <c r="EF9" s="187"/>
      <c r="EG9" s="187"/>
      <c r="EH9" s="187"/>
      <c r="EI9" s="187"/>
      <c r="EJ9" s="187"/>
      <c r="EK9" s="187"/>
      <c r="EL9" s="187"/>
      <c r="EM9" s="187"/>
      <c r="EN9" s="187"/>
      <c r="EO9" s="187"/>
      <c r="EP9" s="187"/>
      <c r="EQ9" s="187"/>
      <c r="ER9" s="187"/>
      <c r="ES9" s="187"/>
      <c r="ET9" s="187"/>
      <c r="EU9" s="187"/>
      <c r="EV9" s="187"/>
      <c r="EW9" s="187"/>
      <c r="EX9" s="187"/>
      <c r="EY9" s="187"/>
      <c r="EZ9" s="187"/>
      <c r="FA9" s="187"/>
      <c r="FB9" s="187"/>
      <c r="FC9" s="187"/>
    </row>
    <row r="10" spans="1:159" ht="15" x14ac:dyDescent="0.25">
      <c r="A10" s="187" t="s">
        <v>83</v>
      </c>
      <c r="B10" s="187" t="s">
        <v>83</v>
      </c>
      <c r="C10" s="187">
        <v>314158</v>
      </c>
      <c r="D10" s="187">
        <v>1155</v>
      </c>
      <c r="E10" s="187">
        <v>15900</v>
      </c>
      <c r="F10" s="187">
        <v>39161</v>
      </c>
      <c r="G10" s="187">
        <v>55381</v>
      </c>
      <c r="H10" s="187">
        <v>425755</v>
      </c>
      <c r="I10" s="187">
        <v>370374</v>
      </c>
      <c r="J10" s="187">
        <v>2065</v>
      </c>
      <c r="K10" s="187">
        <v>115.85</v>
      </c>
      <c r="L10" s="187">
        <v>114.21</v>
      </c>
      <c r="M10" s="187">
        <v>7.27</v>
      </c>
      <c r="N10" s="187">
        <v>120.49</v>
      </c>
      <c r="O10" s="187">
        <v>247974</v>
      </c>
      <c r="P10" s="187">
        <v>106.55</v>
      </c>
      <c r="Q10" s="187">
        <v>96.12</v>
      </c>
      <c r="R10" s="187">
        <v>44.82</v>
      </c>
      <c r="S10" s="187">
        <v>149.53</v>
      </c>
      <c r="T10" s="187">
        <v>43531</v>
      </c>
      <c r="U10" s="187">
        <v>172.63</v>
      </c>
      <c r="V10" s="187">
        <v>55216</v>
      </c>
      <c r="W10" s="187">
        <v>194.7</v>
      </c>
      <c r="X10" s="187">
        <v>2026</v>
      </c>
      <c r="Y10" s="187">
        <v>2260</v>
      </c>
      <c r="Z10" s="187">
        <v>181</v>
      </c>
      <c r="AA10" s="187">
        <v>344</v>
      </c>
      <c r="AB10" s="187">
        <v>4051</v>
      </c>
      <c r="AC10" s="187">
        <v>1054</v>
      </c>
      <c r="AD10" s="187">
        <v>306889</v>
      </c>
      <c r="AE10" s="187">
        <v>2391</v>
      </c>
      <c r="AF10" s="187">
        <v>2473</v>
      </c>
      <c r="AG10" s="187">
        <v>4864</v>
      </c>
      <c r="AH10" s="187"/>
      <c r="AI10" s="187"/>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c r="CV10" s="187"/>
      <c r="CW10" s="187"/>
      <c r="CX10" s="187"/>
      <c r="CY10" s="187"/>
      <c r="CZ10" s="187"/>
      <c r="DA10" s="187"/>
      <c r="DB10" s="187"/>
      <c r="DC10" s="187"/>
      <c r="DD10" s="187"/>
      <c r="DE10" s="187"/>
      <c r="DF10" s="187"/>
      <c r="DG10" s="187"/>
      <c r="DH10" s="187"/>
      <c r="DI10" s="187"/>
      <c r="DJ10" s="187"/>
      <c r="DK10" s="187"/>
      <c r="DL10" s="187"/>
      <c r="DM10" s="187"/>
      <c r="DN10" s="187"/>
      <c r="DO10" s="187"/>
      <c r="DP10" s="187"/>
      <c r="DQ10" s="187"/>
      <c r="DR10" s="187"/>
      <c r="DS10" s="187"/>
      <c r="DT10" s="187"/>
      <c r="DU10" s="187"/>
      <c r="DV10" s="187"/>
      <c r="DW10" s="187"/>
      <c r="DX10" s="187"/>
      <c r="DY10" s="187"/>
      <c r="DZ10" s="187"/>
      <c r="EA10" s="187"/>
      <c r="EB10" s="187"/>
      <c r="EC10" s="187"/>
      <c r="ED10" s="187"/>
      <c r="EE10" s="187"/>
      <c r="EF10" s="187"/>
      <c r="EG10" s="187"/>
      <c r="EH10" s="187"/>
      <c r="EI10" s="187"/>
      <c r="EJ10" s="187"/>
      <c r="EK10" s="187"/>
      <c r="EL10" s="187"/>
      <c r="EM10" s="187"/>
      <c r="EN10" s="187"/>
      <c r="EO10" s="187"/>
      <c r="EP10" s="187"/>
      <c r="EQ10" s="187"/>
      <c r="ER10" s="187"/>
      <c r="ES10" s="187"/>
      <c r="ET10" s="187"/>
      <c r="EU10" s="187"/>
      <c r="EV10" s="187"/>
      <c r="EW10" s="187"/>
      <c r="EX10" s="187"/>
      <c r="EY10" s="187"/>
      <c r="EZ10" s="187"/>
      <c r="FA10" s="187"/>
      <c r="FB10" s="187"/>
      <c r="FC10" s="187"/>
    </row>
    <row r="11" spans="1:159" ht="15" x14ac:dyDescent="0.25">
      <c r="A11" s="187" t="s">
        <v>84</v>
      </c>
      <c r="B11" s="187" t="s">
        <v>84</v>
      </c>
      <c r="C11" s="187">
        <v>206188</v>
      </c>
      <c r="D11" s="187">
        <v>166</v>
      </c>
      <c r="E11" s="187">
        <v>15347</v>
      </c>
      <c r="F11" s="187">
        <v>29788</v>
      </c>
      <c r="G11" s="187">
        <v>26156</v>
      </c>
      <c r="H11" s="187">
        <v>277645</v>
      </c>
      <c r="I11" s="187">
        <v>251489</v>
      </c>
      <c r="J11" s="187">
        <v>1258</v>
      </c>
      <c r="K11" s="187">
        <v>99.44</v>
      </c>
      <c r="L11" s="187">
        <v>96.98</v>
      </c>
      <c r="M11" s="187">
        <v>5.71</v>
      </c>
      <c r="N11" s="187">
        <v>103.38</v>
      </c>
      <c r="O11" s="187">
        <v>168320</v>
      </c>
      <c r="P11" s="187">
        <v>95.02</v>
      </c>
      <c r="Q11" s="187">
        <v>86.67</v>
      </c>
      <c r="R11" s="187">
        <v>37.39</v>
      </c>
      <c r="S11" s="187">
        <v>131.28</v>
      </c>
      <c r="T11" s="187">
        <v>38382</v>
      </c>
      <c r="U11" s="187">
        <v>134.84</v>
      </c>
      <c r="V11" s="187">
        <v>30715</v>
      </c>
      <c r="W11" s="187">
        <v>144.44</v>
      </c>
      <c r="X11" s="187">
        <v>1542</v>
      </c>
      <c r="Y11" s="187">
        <v>70</v>
      </c>
      <c r="Z11" s="187">
        <v>230</v>
      </c>
      <c r="AA11" s="187">
        <v>436</v>
      </c>
      <c r="AB11" s="187">
        <v>2079</v>
      </c>
      <c r="AC11" s="187">
        <v>551</v>
      </c>
      <c r="AD11" s="187">
        <v>201409</v>
      </c>
      <c r="AE11" s="187">
        <v>1049</v>
      </c>
      <c r="AF11" s="187">
        <v>1479</v>
      </c>
      <c r="AG11" s="187">
        <v>2528</v>
      </c>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7"/>
      <c r="CT11" s="187"/>
      <c r="CU11" s="187"/>
      <c r="CV11" s="187"/>
      <c r="CW11" s="187"/>
      <c r="CX11" s="187"/>
      <c r="CY11" s="187"/>
      <c r="CZ11" s="187"/>
      <c r="DA11" s="187"/>
      <c r="DB11" s="187"/>
      <c r="DC11" s="187"/>
      <c r="DD11" s="187"/>
      <c r="DE11" s="187"/>
      <c r="DF11" s="187"/>
      <c r="DG11" s="187"/>
      <c r="DH11" s="187"/>
      <c r="DI11" s="187"/>
      <c r="DJ11" s="187"/>
      <c r="DK11" s="187"/>
      <c r="DL11" s="187"/>
      <c r="DM11" s="187"/>
      <c r="DN11" s="187"/>
      <c r="DO11" s="187"/>
      <c r="DP11" s="187"/>
      <c r="DQ11" s="187"/>
      <c r="DR11" s="187"/>
      <c r="DS11" s="187"/>
      <c r="DT11" s="187"/>
      <c r="DU11" s="187"/>
      <c r="DV11" s="187"/>
      <c r="DW11" s="187"/>
      <c r="DX11" s="187"/>
      <c r="DY11" s="187"/>
      <c r="DZ11" s="187"/>
      <c r="EA11" s="187"/>
      <c r="EB11" s="187"/>
      <c r="EC11" s="187"/>
      <c r="ED11" s="187"/>
      <c r="EE11" s="187"/>
      <c r="EF11" s="187"/>
      <c r="EG11" s="187"/>
      <c r="EH11" s="187"/>
      <c r="EI11" s="187"/>
      <c r="EJ11" s="187"/>
      <c r="EK11" s="187"/>
      <c r="EL11" s="187"/>
      <c r="EM11" s="187"/>
      <c r="EN11" s="187"/>
      <c r="EO11" s="187"/>
      <c r="EP11" s="187"/>
      <c r="EQ11" s="187"/>
      <c r="ER11" s="187"/>
      <c r="ES11" s="187"/>
      <c r="ET11" s="187"/>
      <c r="EU11" s="187"/>
      <c r="EV11" s="187"/>
      <c r="EW11" s="187"/>
      <c r="EX11" s="187"/>
      <c r="EY11" s="187"/>
      <c r="EZ11" s="187"/>
      <c r="FA11" s="187"/>
      <c r="FB11" s="187"/>
      <c r="FC11" s="187"/>
    </row>
    <row r="12" spans="1:159" ht="15" x14ac:dyDescent="0.25">
      <c r="A12" s="187" t="s">
        <v>85</v>
      </c>
      <c r="B12" s="187" t="s">
        <v>85</v>
      </c>
      <c r="C12" s="187">
        <v>230044</v>
      </c>
      <c r="D12" s="187">
        <v>581</v>
      </c>
      <c r="E12" s="187">
        <v>16450</v>
      </c>
      <c r="F12" s="187">
        <v>27780</v>
      </c>
      <c r="G12" s="187">
        <v>20143</v>
      </c>
      <c r="H12" s="187">
        <v>294998</v>
      </c>
      <c r="I12" s="187">
        <v>274855</v>
      </c>
      <c r="J12" s="187">
        <v>1857</v>
      </c>
      <c r="K12" s="187">
        <v>95.28</v>
      </c>
      <c r="L12" s="187">
        <v>94.01</v>
      </c>
      <c r="M12" s="187">
        <v>6.67</v>
      </c>
      <c r="N12" s="187">
        <v>99.8</v>
      </c>
      <c r="O12" s="187">
        <v>196192</v>
      </c>
      <c r="P12" s="187">
        <v>96.68</v>
      </c>
      <c r="Q12" s="187">
        <v>88.01</v>
      </c>
      <c r="R12" s="187">
        <v>57.26</v>
      </c>
      <c r="S12" s="187">
        <v>152.1</v>
      </c>
      <c r="T12" s="187">
        <v>35009</v>
      </c>
      <c r="U12" s="187">
        <v>122.48</v>
      </c>
      <c r="V12" s="187">
        <v>27349</v>
      </c>
      <c r="W12" s="187">
        <v>207.72</v>
      </c>
      <c r="X12" s="187">
        <v>2539</v>
      </c>
      <c r="Y12" s="187">
        <v>435</v>
      </c>
      <c r="Z12" s="187">
        <v>430</v>
      </c>
      <c r="AA12" s="187">
        <v>423</v>
      </c>
      <c r="AB12" s="187">
        <v>1454</v>
      </c>
      <c r="AC12" s="187">
        <v>429</v>
      </c>
      <c r="AD12" s="187">
        <v>226162</v>
      </c>
      <c r="AE12" s="187">
        <v>1383</v>
      </c>
      <c r="AF12" s="187">
        <v>2026</v>
      </c>
      <c r="AG12" s="187">
        <v>3409</v>
      </c>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row>
    <row r="13" spans="1:159" ht="15" x14ac:dyDescent="0.25">
      <c r="A13" s="187" t="s">
        <v>807</v>
      </c>
      <c r="B13" s="187" t="s">
        <v>807</v>
      </c>
      <c r="C13" s="187">
        <v>171233</v>
      </c>
      <c r="D13" s="187">
        <v>35</v>
      </c>
      <c r="E13" s="187">
        <v>12880</v>
      </c>
      <c r="F13" s="187">
        <v>18398</v>
      </c>
      <c r="G13" s="187">
        <v>11079</v>
      </c>
      <c r="H13" s="187">
        <v>213625</v>
      </c>
      <c r="I13" s="187">
        <v>202546</v>
      </c>
      <c r="J13" s="187">
        <v>1551</v>
      </c>
      <c r="K13" s="187">
        <v>87.78</v>
      </c>
      <c r="L13" s="187">
        <v>85.47</v>
      </c>
      <c r="M13" s="187">
        <v>5.18</v>
      </c>
      <c r="N13" s="187">
        <v>90.86</v>
      </c>
      <c r="O13" s="187">
        <v>144429</v>
      </c>
      <c r="P13" s="187">
        <v>96.69</v>
      </c>
      <c r="Q13" s="187">
        <v>81.36</v>
      </c>
      <c r="R13" s="187">
        <v>47.42</v>
      </c>
      <c r="S13" s="187">
        <v>142.47</v>
      </c>
      <c r="T13" s="187">
        <v>25765</v>
      </c>
      <c r="U13" s="187">
        <v>110.16</v>
      </c>
      <c r="V13" s="187">
        <v>23310</v>
      </c>
      <c r="W13" s="187">
        <v>218.01</v>
      </c>
      <c r="X13" s="187">
        <v>1176</v>
      </c>
      <c r="Y13" s="187">
        <v>31</v>
      </c>
      <c r="Z13" s="187">
        <v>505</v>
      </c>
      <c r="AA13" s="187">
        <v>151</v>
      </c>
      <c r="AB13" s="187">
        <v>972</v>
      </c>
      <c r="AC13" s="187">
        <v>281</v>
      </c>
      <c r="AD13" s="187">
        <v>169605</v>
      </c>
      <c r="AE13" s="187">
        <v>1328</v>
      </c>
      <c r="AF13" s="187">
        <v>1172</v>
      </c>
      <c r="AG13" s="187">
        <v>2500</v>
      </c>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c r="CA13" s="187"/>
      <c r="CB13" s="187"/>
      <c r="CC13" s="187"/>
      <c r="CD13" s="187"/>
      <c r="CE13" s="187"/>
      <c r="CF13" s="187"/>
      <c r="CG13" s="187"/>
      <c r="CH13" s="187"/>
      <c r="CI13" s="187"/>
      <c r="CJ13" s="187"/>
      <c r="CK13" s="187"/>
      <c r="CL13" s="187"/>
      <c r="CM13" s="187"/>
      <c r="CN13" s="187"/>
      <c r="CO13" s="187"/>
      <c r="CP13" s="187"/>
      <c r="CQ13" s="187"/>
      <c r="CR13" s="187"/>
      <c r="CS13" s="187"/>
      <c r="CT13" s="187"/>
      <c r="CU13" s="187"/>
      <c r="CV13" s="187"/>
      <c r="CW13" s="187"/>
      <c r="CX13" s="187"/>
      <c r="CY13" s="187"/>
      <c r="CZ13" s="187"/>
      <c r="DA13" s="187"/>
      <c r="DB13" s="187"/>
      <c r="DC13" s="187"/>
      <c r="DD13" s="187"/>
      <c r="DE13" s="187"/>
      <c r="DF13" s="187"/>
      <c r="DG13" s="187"/>
      <c r="DH13" s="187"/>
      <c r="DI13" s="187"/>
      <c r="DJ13" s="187"/>
      <c r="DK13" s="187"/>
      <c r="DL13" s="187"/>
      <c r="DM13" s="187"/>
      <c r="DN13" s="187"/>
      <c r="DO13" s="187"/>
      <c r="DP13" s="187"/>
      <c r="DQ13" s="187"/>
      <c r="DR13" s="187"/>
      <c r="DS13" s="187"/>
      <c r="DT13" s="187"/>
      <c r="DU13" s="187"/>
      <c r="DV13" s="187"/>
      <c r="DW13" s="187"/>
      <c r="DX13" s="187"/>
      <c r="DY13" s="187"/>
      <c r="DZ13" s="187"/>
      <c r="EA13" s="187"/>
      <c r="EB13" s="187"/>
      <c r="EC13" s="187"/>
      <c r="ED13" s="187"/>
      <c r="EE13" s="187"/>
      <c r="EF13" s="187"/>
      <c r="EG13" s="187"/>
      <c r="EH13" s="187"/>
      <c r="EI13" s="187"/>
      <c r="EJ13" s="187"/>
      <c r="EK13" s="187"/>
      <c r="EL13" s="187"/>
      <c r="EM13" s="187"/>
      <c r="EN13" s="187"/>
      <c r="EO13" s="187"/>
      <c r="EP13" s="187"/>
      <c r="EQ13" s="187"/>
      <c r="ER13" s="187"/>
      <c r="ES13" s="187"/>
      <c r="ET13" s="187"/>
      <c r="EU13" s="187"/>
      <c r="EV13" s="187"/>
      <c r="EW13" s="187"/>
      <c r="EX13" s="187"/>
      <c r="EY13" s="187"/>
      <c r="EZ13" s="187"/>
      <c r="FA13" s="187"/>
      <c r="FB13" s="187"/>
      <c r="FC13" s="187"/>
    </row>
    <row r="14" spans="1:159" ht="15" x14ac:dyDescent="0.25">
      <c r="A14" s="187" t="s">
        <v>86</v>
      </c>
      <c r="B14" s="187" t="s">
        <v>87</v>
      </c>
      <c r="C14" s="187">
        <v>842</v>
      </c>
      <c r="D14" s="187">
        <v>0</v>
      </c>
      <c r="E14" s="187">
        <v>64</v>
      </c>
      <c r="F14" s="187">
        <v>138</v>
      </c>
      <c r="G14" s="187">
        <v>173</v>
      </c>
      <c r="H14" s="187">
        <v>1217</v>
      </c>
      <c r="I14" s="187">
        <v>1044</v>
      </c>
      <c r="J14" s="187">
        <v>16</v>
      </c>
      <c r="K14" s="187">
        <v>121.09</v>
      </c>
      <c r="L14" s="187">
        <v>117.99</v>
      </c>
      <c r="M14" s="187">
        <v>6.49</v>
      </c>
      <c r="N14" s="187">
        <v>126.21</v>
      </c>
      <c r="O14" s="187">
        <v>684</v>
      </c>
      <c r="P14" s="187">
        <v>91.47</v>
      </c>
      <c r="Q14" s="187">
        <v>87.11</v>
      </c>
      <c r="R14" s="187">
        <v>51.57</v>
      </c>
      <c r="S14" s="187">
        <v>142.77000000000001</v>
      </c>
      <c r="T14" s="187">
        <v>190</v>
      </c>
      <c r="U14" s="187">
        <v>173.99</v>
      </c>
      <c r="V14" s="187">
        <v>125</v>
      </c>
      <c r="W14" s="187">
        <v>0</v>
      </c>
      <c r="X14" s="187">
        <v>0</v>
      </c>
      <c r="Y14" s="187">
        <v>0</v>
      </c>
      <c r="Z14" s="187">
        <v>0</v>
      </c>
      <c r="AA14" s="187">
        <v>0</v>
      </c>
      <c r="AB14" s="187">
        <v>0</v>
      </c>
      <c r="AC14" s="187">
        <v>4</v>
      </c>
      <c r="AD14" s="187">
        <v>821</v>
      </c>
      <c r="AE14" s="187">
        <v>5</v>
      </c>
      <c r="AF14" s="187">
        <v>1</v>
      </c>
      <c r="AG14" s="187">
        <v>6</v>
      </c>
      <c r="AH14" s="187"/>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c r="CE14" s="187"/>
      <c r="CF14" s="187"/>
      <c r="CG14" s="187"/>
      <c r="CH14" s="187"/>
      <c r="CI14" s="187"/>
      <c r="CJ14" s="187"/>
      <c r="CK14" s="187"/>
      <c r="CL14" s="187"/>
      <c r="CM14" s="187"/>
      <c r="CN14" s="187"/>
      <c r="CO14" s="187"/>
      <c r="CP14" s="187"/>
      <c r="CQ14" s="187"/>
      <c r="CR14" s="187"/>
      <c r="CS14" s="187"/>
      <c r="CT14" s="187"/>
      <c r="CU14" s="187"/>
      <c r="CV14" s="187"/>
      <c r="CW14" s="187"/>
      <c r="CX14" s="187"/>
      <c r="CY14" s="187"/>
      <c r="CZ14" s="187"/>
      <c r="DA14" s="187"/>
      <c r="DB14" s="187"/>
      <c r="DC14" s="187"/>
      <c r="DD14" s="187"/>
      <c r="DE14" s="187"/>
      <c r="DF14" s="187"/>
      <c r="DG14" s="187"/>
      <c r="DH14" s="187"/>
      <c r="DI14" s="187"/>
      <c r="DJ14" s="187"/>
      <c r="DK14" s="187"/>
      <c r="DL14" s="187"/>
      <c r="DM14" s="187"/>
      <c r="DN14" s="187"/>
      <c r="DO14" s="187"/>
      <c r="DP14" s="187"/>
      <c r="DQ14" s="187"/>
      <c r="DR14" s="187"/>
      <c r="DS14" s="187"/>
      <c r="DT14" s="187"/>
      <c r="DU14" s="187"/>
      <c r="DV14" s="187"/>
      <c r="DW14" s="187"/>
      <c r="DX14" s="187"/>
      <c r="DY14" s="187"/>
      <c r="DZ14" s="187"/>
      <c r="EA14" s="187"/>
      <c r="EB14" s="187"/>
      <c r="EC14" s="187"/>
      <c r="ED14" s="187"/>
      <c r="EE14" s="187"/>
      <c r="EF14" s="187"/>
      <c r="EG14" s="187"/>
      <c r="EH14" s="187"/>
      <c r="EI14" s="187"/>
      <c r="EJ14" s="187"/>
      <c r="EK14" s="187"/>
      <c r="EL14" s="187"/>
      <c r="EM14" s="187"/>
      <c r="EN14" s="187"/>
      <c r="EO14" s="187"/>
      <c r="EP14" s="187"/>
      <c r="EQ14" s="187"/>
      <c r="ER14" s="187"/>
      <c r="ES14" s="187"/>
      <c r="ET14" s="187"/>
      <c r="EU14" s="187"/>
      <c r="EV14" s="187"/>
      <c r="EW14" s="187"/>
      <c r="EX14" s="187"/>
      <c r="EY14" s="187"/>
      <c r="EZ14" s="187"/>
      <c r="FA14" s="187"/>
      <c r="FB14" s="187"/>
      <c r="FC14" s="187"/>
    </row>
    <row r="15" spans="1:159" ht="15" x14ac:dyDescent="0.25">
      <c r="A15" s="187" t="s">
        <v>88</v>
      </c>
      <c r="B15" s="187" t="s">
        <v>89</v>
      </c>
      <c r="C15" s="187">
        <v>8322</v>
      </c>
      <c r="D15" s="187">
        <v>0</v>
      </c>
      <c r="E15" s="187">
        <v>181</v>
      </c>
      <c r="F15" s="187">
        <v>404</v>
      </c>
      <c r="G15" s="187">
        <v>121</v>
      </c>
      <c r="H15" s="187">
        <v>9028</v>
      </c>
      <c r="I15" s="187">
        <v>8907</v>
      </c>
      <c r="J15" s="187">
        <v>68</v>
      </c>
      <c r="K15" s="187">
        <v>91.8</v>
      </c>
      <c r="L15" s="187">
        <v>88.66</v>
      </c>
      <c r="M15" s="187">
        <v>2.37</v>
      </c>
      <c r="N15" s="187">
        <v>93.8</v>
      </c>
      <c r="O15" s="187">
        <v>7270</v>
      </c>
      <c r="P15" s="187">
        <v>89.43</v>
      </c>
      <c r="Q15" s="187">
        <v>78.489999999999995</v>
      </c>
      <c r="R15" s="187">
        <v>42.36</v>
      </c>
      <c r="S15" s="187">
        <v>130.13</v>
      </c>
      <c r="T15" s="187">
        <v>487</v>
      </c>
      <c r="U15" s="187">
        <v>110.97</v>
      </c>
      <c r="V15" s="187">
        <v>488</v>
      </c>
      <c r="W15" s="187">
        <v>145.28</v>
      </c>
      <c r="X15" s="187">
        <v>52</v>
      </c>
      <c r="Y15" s="187">
        <v>0</v>
      </c>
      <c r="Z15" s="187">
        <v>6</v>
      </c>
      <c r="AA15" s="187">
        <v>3</v>
      </c>
      <c r="AB15" s="187">
        <v>0</v>
      </c>
      <c r="AC15" s="187">
        <v>6</v>
      </c>
      <c r="AD15" s="187">
        <v>7625</v>
      </c>
      <c r="AE15" s="187">
        <v>25</v>
      </c>
      <c r="AF15" s="187">
        <v>101</v>
      </c>
      <c r="AG15" s="187">
        <v>126</v>
      </c>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c r="BM15" s="187"/>
      <c r="BN15" s="187"/>
      <c r="BO15" s="187"/>
      <c r="BP15" s="187"/>
      <c r="BQ15" s="187"/>
      <c r="BR15" s="187"/>
      <c r="BS15" s="187"/>
      <c r="BT15" s="187"/>
      <c r="BU15" s="187"/>
      <c r="BV15" s="187"/>
      <c r="BW15" s="187"/>
      <c r="BX15" s="187"/>
      <c r="BY15" s="187"/>
      <c r="BZ15" s="187"/>
      <c r="CA15" s="187"/>
      <c r="CB15" s="187"/>
      <c r="CC15" s="187"/>
      <c r="CD15" s="187"/>
      <c r="CE15" s="187"/>
      <c r="CF15" s="187"/>
      <c r="CG15" s="187"/>
      <c r="CH15" s="187"/>
      <c r="CI15" s="187"/>
      <c r="CJ15" s="187"/>
      <c r="CK15" s="187"/>
      <c r="CL15" s="187"/>
      <c r="CM15" s="187"/>
      <c r="CN15" s="187"/>
      <c r="CO15" s="187"/>
      <c r="CP15" s="187"/>
      <c r="CQ15" s="187"/>
      <c r="CR15" s="187"/>
      <c r="CS15" s="187"/>
      <c r="CT15" s="187"/>
      <c r="CU15" s="187"/>
      <c r="CV15" s="187"/>
      <c r="CW15" s="187"/>
      <c r="CX15" s="187"/>
      <c r="CY15" s="187"/>
      <c r="CZ15" s="187"/>
      <c r="DA15" s="187"/>
      <c r="DB15" s="187"/>
      <c r="DC15" s="187"/>
      <c r="DD15" s="187"/>
      <c r="DE15" s="187"/>
      <c r="DF15" s="187"/>
      <c r="DG15" s="187"/>
      <c r="DH15" s="187"/>
      <c r="DI15" s="187"/>
      <c r="DJ15" s="187"/>
      <c r="DK15" s="187"/>
      <c r="DL15" s="187"/>
      <c r="DM15" s="187"/>
      <c r="DN15" s="187"/>
      <c r="DO15" s="187"/>
      <c r="DP15" s="187"/>
      <c r="DQ15" s="187"/>
      <c r="DR15" s="187"/>
      <c r="DS15" s="187"/>
      <c r="DT15" s="187"/>
      <c r="DU15" s="187"/>
      <c r="DV15" s="187"/>
      <c r="DW15" s="187"/>
      <c r="DX15" s="187"/>
      <c r="DY15" s="187"/>
      <c r="DZ15" s="187"/>
      <c r="EA15" s="187"/>
      <c r="EB15" s="187"/>
      <c r="EC15" s="187"/>
      <c r="ED15" s="187"/>
      <c r="EE15" s="187"/>
      <c r="EF15" s="187"/>
      <c r="EG15" s="187"/>
      <c r="EH15" s="187"/>
      <c r="EI15" s="187"/>
      <c r="EJ15" s="187"/>
      <c r="EK15" s="187"/>
      <c r="EL15" s="187"/>
      <c r="EM15" s="187"/>
      <c r="EN15" s="187"/>
      <c r="EO15" s="187"/>
      <c r="EP15" s="187"/>
      <c r="EQ15" s="187"/>
      <c r="ER15" s="187"/>
      <c r="ES15" s="187"/>
      <c r="ET15" s="187"/>
      <c r="EU15" s="187"/>
      <c r="EV15" s="187"/>
      <c r="EW15" s="187"/>
      <c r="EX15" s="187"/>
      <c r="EY15" s="187"/>
      <c r="EZ15" s="187"/>
      <c r="FA15" s="187"/>
      <c r="FB15" s="187"/>
      <c r="FC15" s="187"/>
    </row>
    <row r="16" spans="1:159" ht="15" x14ac:dyDescent="0.25">
      <c r="A16" s="187" t="s">
        <v>90</v>
      </c>
      <c r="B16" s="187" t="s">
        <v>91</v>
      </c>
      <c r="C16" s="187">
        <v>4785</v>
      </c>
      <c r="D16" s="187">
        <v>0</v>
      </c>
      <c r="E16" s="187">
        <v>170</v>
      </c>
      <c r="F16" s="187">
        <v>2442</v>
      </c>
      <c r="G16" s="187">
        <v>249</v>
      </c>
      <c r="H16" s="187">
        <v>7646</v>
      </c>
      <c r="I16" s="187">
        <v>7397</v>
      </c>
      <c r="J16" s="187">
        <v>6</v>
      </c>
      <c r="K16" s="187">
        <v>95.48</v>
      </c>
      <c r="L16" s="187">
        <v>93.63</v>
      </c>
      <c r="M16" s="187">
        <v>2.5099999999999998</v>
      </c>
      <c r="N16" s="187">
        <v>97.8</v>
      </c>
      <c r="O16" s="187">
        <v>4236</v>
      </c>
      <c r="P16" s="187">
        <v>90.86</v>
      </c>
      <c r="Q16" s="187">
        <v>84.35</v>
      </c>
      <c r="R16" s="187">
        <v>8.7899999999999991</v>
      </c>
      <c r="S16" s="187">
        <v>99.59</v>
      </c>
      <c r="T16" s="187">
        <v>2554</v>
      </c>
      <c r="U16" s="187">
        <v>113.05</v>
      </c>
      <c r="V16" s="187">
        <v>503</v>
      </c>
      <c r="W16" s="187">
        <v>0</v>
      </c>
      <c r="X16" s="187">
        <v>0</v>
      </c>
      <c r="Y16" s="187">
        <v>0</v>
      </c>
      <c r="Z16" s="187">
        <v>21</v>
      </c>
      <c r="AA16" s="187">
        <v>2</v>
      </c>
      <c r="AB16" s="187">
        <v>27</v>
      </c>
      <c r="AC16" s="187">
        <v>2</v>
      </c>
      <c r="AD16" s="187">
        <v>4779</v>
      </c>
      <c r="AE16" s="187">
        <v>16</v>
      </c>
      <c r="AF16" s="187">
        <v>6</v>
      </c>
      <c r="AG16" s="187">
        <v>22</v>
      </c>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7"/>
      <c r="BR16" s="187"/>
      <c r="BS16" s="187"/>
      <c r="BT16" s="187"/>
      <c r="BU16" s="187"/>
      <c r="BV16" s="187"/>
      <c r="BW16" s="187"/>
      <c r="BX16" s="187"/>
      <c r="BY16" s="187"/>
      <c r="BZ16" s="187"/>
      <c r="CA16" s="187"/>
      <c r="CB16" s="187"/>
      <c r="CC16" s="187"/>
      <c r="CD16" s="187"/>
      <c r="CE16" s="187"/>
      <c r="CF16" s="187"/>
      <c r="CG16" s="187"/>
      <c r="CH16" s="187"/>
      <c r="CI16" s="187"/>
      <c r="CJ16" s="187"/>
      <c r="CK16" s="187"/>
      <c r="CL16" s="187"/>
      <c r="CM16" s="187"/>
      <c r="CN16" s="187"/>
      <c r="CO16" s="187"/>
      <c r="CP16" s="187"/>
      <c r="CQ16" s="187"/>
      <c r="CR16" s="187"/>
      <c r="CS16" s="187"/>
      <c r="CT16" s="187"/>
      <c r="CU16" s="187"/>
      <c r="CV16" s="187"/>
      <c r="CW16" s="187"/>
      <c r="CX16" s="187"/>
      <c r="CY16" s="187"/>
      <c r="CZ16" s="187"/>
      <c r="DA16" s="187"/>
      <c r="DB16" s="187"/>
      <c r="DC16" s="187"/>
      <c r="DD16" s="187"/>
      <c r="DE16" s="187"/>
      <c r="DF16" s="187"/>
      <c r="DG16" s="187"/>
      <c r="DH16" s="187"/>
      <c r="DI16" s="187"/>
      <c r="DJ16" s="187"/>
      <c r="DK16" s="187"/>
      <c r="DL16" s="187"/>
      <c r="DM16" s="187"/>
      <c r="DN16" s="187"/>
      <c r="DO16" s="187"/>
      <c r="DP16" s="187"/>
      <c r="DQ16" s="187"/>
      <c r="DR16" s="187"/>
      <c r="DS16" s="187"/>
      <c r="DT16" s="187"/>
      <c r="DU16" s="187"/>
      <c r="DV16" s="187"/>
      <c r="DW16" s="187"/>
      <c r="DX16" s="187"/>
      <c r="DY16" s="187"/>
      <c r="DZ16" s="187"/>
      <c r="EA16" s="187"/>
      <c r="EB16" s="187"/>
      <c r="EC16" s="187"/>
      <c r="ED16" s="187"/>
      <c r="EE16" s="187"/>
      <c r="EF16" s="187"/>
      <c r="EG16" s="187"/>
      <c r="EH16" s="187"/>
      <c r="EI16" s="187"/>
      <c r="EJ16" s="187"/>
      <c r="EK16" s="187"/>
      <c r="EL16" s="187"/>
      <c r="EM16" s="187"/>
      <c r="EN16" s="187"/>
      <c r="EO16" s="187"/>
      <c r="EP16" s="187"/>
      <c r="EQ16" s="187"/>
      <c r="ER16" s="187"/>
      <c r="ES16" s="187"/>
      <c r="ET16" s="187"/>
      <c r="EU16" s="187"/>
      <c r="EV16" s="187"/>
      <c r="EW16" s="187"/>
      <c r="EX16" s="187"/>
      <c r="EY16" s="187"/>
      <c r="EZ16" s="187"/>
      <c r="FA16" s="187"/>
      <c r="FB16" s="187"/>
      <c r="FC16" s="187"/>
    </row>
    <row r="17" spans="1:159" ht="15" x14ac:dyDescent="0.25">
      <c r="A17" s="187" t="s">
        <v>92</v>
      </c>
      <c r="B17" s="187" t="s">
        <v>93</v>
      </c>
      <c r="C17" s="187">
        <v>3193</v>
      </c>
      <c r="D17" s="187">
        <v>1</v>
      </c>
      <c r="E17" s="187">
        <v>237</v>
      </c>
      <c r="F17" s="187">
        <v>378</v>
      </c>
      <c r="G17" s="187">
        <v>903</v>
      </c>
      <c r="H17" s="187">
        <v>4712</v>
      </c>
      <c r="I17" s="187">
        <v>3809</v>
      </c>
      <c r="J17" s="187">
        <v>11</v>
      </c>
      <c r="K17" s="187">
        <v>116.59</v>
      </c>
      <c r="L17" s="187">
        <v>114.3</v>
      </c>
      <c r="M17" s="187">
        <v>5.64</v>
      </c>
      <c r="N17" s="187">
        <v>121.38</v>
      </c>
      <c r="O17" s="187">
        <v>2277</v>
      </c>
      <c r="P17" s="187">
        <v>101.14</v>
      </c>
      <c r="Q17" s="187">
        <v>93.07</v>
      </c>
      <c r="R17" s="187">
        <v>60.7</v>
      </c>
      <c r="S17" s="187">
        <v>161.41999999999999</v>
      </c>
      <c r="T17" s="187">
        <v>423</v>
      </c>
      <c r="U17" s="187">
        <v>165.72</v>
      </c>
      <c r="V17" s="187">
        <v>848</v>
      </c>
      <c r="W17" s="187">
        <v>0</v>
      </c>
      <c r="X17" s="187">
        <v>0</v>
      </c>
      <c r="Y17" s="187">
        <v>1</v>
      </c>
      <c r="Z17" s="187">
        <v>0</v>
      </c>
      <c r="AA17" s="187">
        <v>0</v>
      </c>
      <c r="AB17" s="187">
        <v>98</v>
      </c>
      <c r="AC17" s="187">
        <v>7</v>
      </c>
      <c r="AD17" s="187">
        <v>3191</v>
      </c>
      <c r="AE17" s="187">
        <v>21</v>
      </c>
      <c r="AF17" s="187">
        <v>8</v>
      </c>
      <c r="AG17" s="187">
        <v>29</v>
      </c>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7"/>
      <c r="BT17" s="187"/>
      <c r="BU17" s="187"/>
      <c r="BV17" s="187"/>
      <c r="BW17" s="187"/>
      <c r="BX17" s="187"/>
      <c r="BY17" s="187"/>
      <c r="BZ17" s="187"/>
      <c r="CA17" s="187"/>
      <c r="CB17" s="187"/>
      <c r="CC17" s="187"/>
      <c r="CD17" s="187"/>
      <c r="CE17" s="187"/>
      <c r="CF17" s="187"/>
      <c r="CG17" s="187"/>
      <c r="CH17" s="187"/>
      <c r="CI17" s="187"/>
      <c r="CJ17" s="187"/>
      <c r="CK17" s="187"/>
      <c r="CL17" s="187"/>
      <c r="CM17" s="187"/>
      <c r="CN17" s="187"/>
      <c r="CO17" s="187"/>
      <c r="CP17" s="187"/>
      <c r="CQ17" s="187"/>
      <c r="CR17" s="187"/>
      <c r="CS17" s="187"/>
      <c r="CT17" s="187"/>
      <c r="CU17" s="187"/>
      <c r="CV17" s="187"/>
      <c r="CW17" s="187"/>
      <c r="CX17" s="187"/>
      <c r="CY17" s="187"/>
      <c r="CZ17" s="187"/>
      <c r="DA17" s="187"/>
      <c r="DB17" s="187"/>
      <c r="DC17" s="187"/>
      <c r="DD17" s="187"/>
      <c r="DE17" s="187"/>
      <c r="DF17" s="187"/>
      <c r="DG17" s="187"/>
      <c r="DH17" s="187"/>
      <c r="DI17" s="187"/>
      <c r="DJ17" s="187"/>
      <c r="DK17" s="187"/>
      <c r="DL17" s="187"/>
      <c r="DM17" s="187"/>
      <c r="DN17" s="187"/>
      <c r="DO17" s="187"/>
      <c r="DP17" s="187"/>
      <c r="DQ17" s="187"/>
      <c r="DR17" s="187"/>
      <c r="DS17" s="187"/>
      <c r="DT17" s="187"/>
      <c r="DU17" s="187"/>
      <c r="DV17" s="187"/>
      <c r="DW17" s="187"/>
      <c r="DX17" s="187"/>
      <c r="DY17" s="187"/>
      <c r="DZ17" s="187"/>
      <c r="EA17" s="187"/>
      <c r="EB17" s="187"/>
      <c r="EC17" s="187"/>
      <c r="ED17" s="187"/>
      <c r="EE17" s="187"/>
      <c r="EF17" s="187"/>
      <c r="EG17" s="187"/>
      <c r="EH17" s="187"/>
      <c r="EI17" s="187"/>
      <c r="EJ17" s="187"/>
      <c r="EK17" s="187"/>
      <c r="EL17" s="187"/>
      <c r="EM17" s="187"/>
      <c r="EN17" s="187"/>
      <c r="EO17" s="187"/>
      <c r="EP17" s="187"/>
      <c r="EQ17" s="187"/>
      <c r="ER17" s="187"/>
      <c r="ES17" s="187"/>
      <c r="ET17" s="187"/>
      <c r="EU17" s="187"/>
      <c r="EV17" s="187"/>
      <c r="EW17" s="187"/>
      <c r="EX17" s="187"/>
      <c r="EY17" s="187"/>
      <c r="EZ17" s="187"/>
      <c r="FA17" s="187"/>
      <c r="FB17" s="187"/>
      <c r="FC17" s="187"/>
    </row>
    <row r="18" spans="1:159" ht="15" x14ac:dyDescent="0.25">
      <c r="A18" s="187" t="s">
        <v>94</v>
      </c>
      <c r="B18" s="187" t="s">
        <v>95</v>
      </c>
      <c r="C18" s="187">
        <v>1665</v>
      </c>
      <c r="D18" s="187">
        <v>0</v>
      </c>
      <c r="E18" s="187">
        <v>221</v>
      </c>
      <c r="F18" s="187">
        <v>284</v>
      </c>
      <c r="G18" s="187">
        <v>222</v>
      </c>
      <c r="H18" s="187">
        <v>2392</v>
      </c>
      <c r="I18" s="187">
        <v>2170</v>
      </c>
      <c r="J18" s="187">
        <v>22</v>
      </c>
      <c r="K18" s="187">
        <v>92.19</v>
      </c>
      <c r="L18" s="187">
        <v>91.02</v>
      </c>
      <c r="M18" s="187">
        <v>5.38</v>
      </c>
      <c r="N18" s="187">
        <v>94.91</v>
      </c>
      <c r="O18" s="187">
        <v>1323</v>
      </c>
      <c r="P18" s="187">
        <v>114.4</v>
      </c>
      <c r="Q18" s="187">
        <v>88.5</v>
      </c>
      <c r="R18" s="187">
        <v>53.99</v>
      </c>
      <c r="S18" s="187">
        <v>164.51</v>
      </c>
      <c r="T18" s="187">
        <v>500</v>
      </c>
      <c r="U18" s="187">
        <v>113.06</v>
      </c>
      <c r="V18" s="187">
        <v>270</v>
      </c>
      <c r="W18" s="187">
        <v>0</v>
      </c>
      <c r="X18" s="187">
        <v>0</v>
      </c>
      <c r="Y18" s="187">
        <v>0</v>
      </c>
      <c r="Z18" s="187">
        <v>3</v>
      </c>
      <c r="AA18" s="187">
        <v>0</v>
      </c>
      <c r="AB18" s="187">
        <v>0</v>
      </c>
      <c r="AC18" s="187">
        <v>6</v>
      </c>
      <c r="AD18" s="187">
        <v>1665</v>
      </c>
      <c r="AE18" s="187">
        <v>10</v>
      </c>
      <c r="AF18" s="187">
        <v>6</v>
      </c>
      <c r="AG18" s="187">
        <v>16</v>
      </c>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c r="BF18" s="187"/>
      <c r="BG18" s="187"/>
      <c r="BH18" s="187"/>
      <c r="BI18" s="187"/>
      <c r="BJ18" s="187"/>
      <c r="BK18" s="187"/>
      <c r="BL18" s="187"/>
      <c r="BM18" s="187"/>
      <c r="BN18" s="187"/>
      <c r="BO18" s="187"/>
      <c r="BP18" s="187"/>
      <c r="BQ18" s="187"/>
      <c r="BR18" s="187"/>
      <c r="BS18" s="187"/>
      <c r="BT18" s="187"/>
      <c r="BU18" s="187"/>
      <c r="BV18" s="187"/>
      <c r="BW18" s="187"/>
      <c r="BX18" s="187"/>
      <c r="BY18" s="187"/>
      <c r="BZ18" s="187"/>
      <c r="CA18" s="187"/>
      <c r="CB18" s="187"/>
      <c r="CC18" s="187"/>
      <c r="CD18" s="187"/>
      <c r="CE18" s="187"/>
      <c r="CF18" s="187"/>
      <c r="CG18" s="187"/>
      <c r="CH18" s="187"/>
      <c r="CI18" s="187"/>
      <c r="CJ18" s="187"/>
      <c r="CK18" s="187"/>
      <c r="CL18" s="187"/>
      <c r="CM18" s="187"/>
      <c r="CN18" s="187"/>
      <c r="CO18" s="187"/>
      <c r="CP18" s="187"/>
      <c r="CQ18" s="187"/>
      <c r="CR18" s="187"/>
      <c r="CS18" s="187"/>
      <c r="CT18" s="187"/>
      <c r="CU18" s="187"/>
      <c r="CV18" s="187"/>
      <c r="CW18" s="187"/>
      <c r="CX18" s="187"/>
      <c r="CY18" s="187"/>
      <c r="CZ18" s="187"/>
      <c r="DA18" s="187"/>
      <c r="DB18" s="187"/>
      <c r="DC18" s="187"/>
      <c r="DD18" s="187"/>
      <c r="DE18" s="187"/>
      <c r="DF18" s="187"/>
      <c r="DG18" s="187"/>
      <c r="DH18" s="187"/>
      <c r="DI18" s="187"/>
      <c r="DJ18" s="187"/>
      <c r="DK18" s="187"/>
      <c r="DL18" s="187"/>
      <c r="DM18" s="187"/>
      <c r="DN18" s="187"/>
      <c r="DO18" s="187"/>
      <c r="DP18" s="187"/>
      <c r="DQ18" s="187"/>
      <c r="DR18" s="187"/>
      <c r="DS18" s="187"/>
      <c r="DT18" s="187"/>
      <c r="DU18" s="187"/>
      <c r="DV18" s="187"/>
      <c r="DW18" s="187"/>
      <c r="DX18" s="187"/>
      <c r="DY18" s="187"/>
      <c r="DZ18" s="187"/>
      <c r="EA18" s="187"/>
      <c r="EB18" s="187"/>
      <c r="EC18" s="187"/>
      <c r="ED18" s="187"/>
      <c r="EE18" s="187"/>
      <c r="EF18" s="187"/>
      <c r="EG18" s="187"/>
      <c r="EH18" s="187"/>
      <c r="EI18" s="187"/>
      <c r="EJ18" s="187"/>
      <c r="EK18" s="187"/>
      <c r="EL18" s="187"/>
      <c r="EM18" s="187"/>
      <c r="EN18" s="187"/>
      <c r="EO18" s="187"/>
      <c r="EP18" s="187"/>
      <c r="EQ18" s="187"/>
      <c r="ER18" s="187"/>
      <c r="ES18" s="187"/>
      <c r="ET18" s="187"/>
      <c r="EU18" s="187"/>
      <c r="EV18" s="187"/>
      <c r="EW18" s="187"/>
      <c r="EX18" s="187"/>
      <c r="EY18" s="187"/>
      <c r="EZ18" s="187"/>
      <c r="FA18" s="187"/>
      <c r="FB18" s="187"/>
      <c r="FC18" s="187"/>
    </row>
    <row r="19" spans="1:159" ht="15" x14ac:dyDescent="0.25">
      <c r="A19" s="187" t="s">
        <v>96</v>
      </c>
      <c r="B19" s="187" t="s">
        <v>97</v>
      </c>
      <c r="C19" s="187">
        <v>2483</v>
      </c>
      <c r="D19" s="187">
        <v>0</v>
      </c>
      <c r="E19" s="187">
        <v>119</v>
      </c>
      <c r="F19" s="187">
        <v>276</v>
      </c>
      <c r="G19" s="187">
        <v>983</v>
      </c>
      <c r="H19" s="187">
        <v>3861</v>
      </c>
      <c r="I19" s="187">
        <v>2878</v>
      </c>
      <c r="J19" s="187">
        <v>17</v>
      </c>
      <c r="K19" s="187">
        <v>107.24</v>
      </c>
      <c r="L19" s="187">
        <v>104.93</v>
      </c>
      <c r="M19" s="187">
        <v>7.09</v>
      </c>
      <c r="N19" s="187">
        <v>112.85</v>
      </c>
      <c r="O19" s="187">
        <v>1792</v>
      </c>
      <c r="P19" s="187">
        <v>130.96</v>
      </c>
      <c r="Q19" s="187">
        <v>94.33</v>
      </c>
      <c r="R19" s="187">
        <v>61.84</v>
      </c>
      <c r="S19" s="187">
        <v>189.44</v>
      </c>
      <c r="T19" s="187">
        <v>295</v>
      </c>
      <c r="U19" s="187">
        <v>155.43</v>
      </c>
      <c r="V19" s="187">
        <v>627</v>
      </c>
      <c r="W19" s="187">
        <v>170.78</v>
      </c>
      <c r="X19" s="187">
        <v>91</v>
      </c>
      <c r="Y19" s="187">
        <v>0</v>
      </c>
      <c r="Z19" s="187">
        <v>2</v>
      </c>
      <c r="AA19" s="187">
        <v>0</v>
      </c>
      <c r="AB19" s="187">
        <v>69</v>
      </c>
      <c r="AC19" s="187">
        <v>12</v>
      </c>
      <c r="AD19" s="187">
        <v>2443</v>
      </c>
      <c r="AE19" s="187">
        <v>44</v>
      </c>
      <c r="AF19" s="187">
        <v>7</v>
      </c>
      <c r="AG19" s="187">
        <v>51</v>
      </c>
      <c r="AH19" s="187"/>
      <c r="AI19" s="187"/>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c r="BK19" s="187"/>
      <c r="BL19" s="187"/>
      <c r="BM19" s="187"/>
      <c r="BN19" s="187"/>
      <c r="BO19" s="187"/>
      <c r="BP19" s="187"/>
      <c r="BQ19" s="187"/>
      <c r="BR19" s="187"/>
      <c r="BS19" s="187"/>
      <c r="BT19" s="187"/>
      <c r="BU19" s="187"/>
      <c r="BV19" s="187"/>
      <c r="BW19" s="187"/>
      <c r="BX19" s="187"/>
      <c r="BY19" s="187"/>
      <c r="BZ19" s="187"/>
      <c r="CA19" s="187"/>
      <c r="CB19" s="187"/>
      <c r="CC19" s="187"/>
      <c r="CD19" s="187"/>
      <c r="CE19" s="187"/>
      <c r="CF19" s="187"/>
      <c r="CG19" s="187"/>
      <c r="CH19" s="187"/>
      <c r="CI19" s="187"/>
      <c r="CJ19" s="187"/>
      <c r="CK19" s="187"/>
      <c r="CL19" s="187"/>
      <c r="CM19" s="187"/>
      <c r="CN19" s="187"/>
      <c r="CO19" s="187"/>
      <c r="CP19" s="187"/>
      <c r="CQ19" s="187"/>
      <c r="CR19" s="187"/>
      <c r="CS19" s="187"/>
      <c r="CT19" s="187"/>
      <c r="CU19" s="187"/>
      <c r="CV19" s="187"/>
      <c r="CW19" s="187"/>
      <c r="CX19" s="187"/>
      <c r="CY19" s="187"/>
      <c r="CZ19" s="187"/>
      <c r="DA19" s="187"/>
      <c r="DB19" s="187"/>
      <c r="DC19" s="187"/>
      <c r="DD19" s="187"/>
      <c r="DE19" s="187"/>
      <c r="DF19" s="187"/>
      <c r="DG19" s="187"/>
      <c r="DH19" s="187"/>
      <c r="DI19" s="187"/>
      <c r="DJ19" s="187"/>
      <c r="DK19" s="187"/>
      <c r="DL19" s="187"/>
      <c r="DM19" s="187"/>
      <c r="DN19" s="187"/>
      <c r="DO19" s="187"/>
      <c r="DP19" s="187"/>
      <c r="DQ19" s="187"/>
      <c r="DR19" s="187"/>
      <c r="DS19" s="187"/>
      <c r="DT19" s="187"/>
      <c r="DU19" s="187"/>
      <c r="DV19" s="187"/>
      <c r="DW19" s="187"/>
      <c r="DX19" s="187"/>
      <c r="DY19" s="187"/>
      <c r="DZ19" s="187"/>
      <c r="EA19" s="187"/>
      <c r="EB19" s="187"/>
      <c r="EC19" s="187"/>
      <c r="ED19" s="187"/>
      <c r="EE19" s="187"/>
      <c r="EF19" s="187"/>
      <c r="EG19" s="187"/>
      <c r="EH19" s="187"/>
      <c r="EI19" s="187"/>
      <c r="EJ19" s="187"/>
      <c r="EK19" s="187"/>
      <c r="EL19" s="187"/>
      <c r="EM19" s="187"/>
      <c r="EN19" s="187"/>
      <c r="EO19" s="187"/>
      <c r="EP19" s="187"/>
      <c r="EQ19" s="187"/>
      <c r="ER19" s="187"/>
      <c r="ES19" s="187"/>
      <c r="ET19" s="187"/>
      <c r="EU19" s="187"/>
      <c r="EV19" s="187"/>
      <c r="EW19" s="187"/>
      <c r="EX19" s="187"/>
      <c r="EY19" s="187"/>
      <c r="EZ19" s="187"/>
      <c r="FA19" s="187"/>
      <c r="FB19" s="187"/>
      <c r="FC19" s="187"/>
    </row>
    <row r="20" spans="1:159" ht="15" x14ac:dyDescent="0.25">
      <c r="A20" s="187" t="s">
        <v>98</v>
      </c>
      <c r="B20" s="187" t="s">
        <v>99</v>
      </c>
      <c r="C20" s="187">
        <v>2045</v>
      </c>
      <c r="D20" s="187">
        <v>0</v>
      </c>
      <c r="E20" s="187">
        <v>148</v>
      </c>
      <c r="F20" s="187">
        <v>74</v>
      </c>
      <c r="G20" s="187">
        <v>248</v>
      </c>
      <c r="H20" s="187">
        <v>2515</v>
      </c>
      <c r="I20" s="187">
        <v>2267</v>
      </c>
      <c r="J20" s="187">
        <v>44</v>
      </c>
      <c r="K20" s="187">
        <v>99.53</v>
      </c>
      <c r="L20" s="187">
        <v>97.94</v>
      </c>
      <c r="M20" s="187">
        <v>5.23</v>
      </c>
      <c r="N20" s="187">
        <v>102.35</v>
      </c>
      <c r="O20" s="187">
        <v>1297</v>
      </c>
      <c r="P20" s="187">
        <v>127.52</v>
      </c>
      <c r="Q20" s="187">
        <v>92.01</v>
      </c>
      <c r="R20" s="187">
        <v>87.02</v>
      </c>
      <c r="S20" s="187">
        <v>212.29</v>
      </c>
      <c r="T20" s="187">
        <v>194</v>
      </c>
      <c r="U20" s="187">
        <v>133.84</v>
      </c>
      <c r="V20" s="187">
        <v>698</v>
      </c>
      <c r="W20" s="187">
        <v>0</v>
      </c>
      <c r="X20" s="187">
        <v>0</v>
      </c>
      <c r="Y20" s="187">
        <v>0</v>
      </c>
      <c r="Z20" s="187">
        <v>0</v>
      </c>
      <c r="AA20" s="187">
        <v>2</v>
      </c>
      <c r="AB20" s="187">
        <v>26</v>
      </c>
      <c r="AC20" s="187">
        <v>1</v>
      </c>
      <c r="AD20" s="187">
        <v>2014</v>
      </c>
      <c r="AE20" s="187">
        <v>77</v>
      </c>
      <c r="AF20" s="187">
        <v>259</v>
      </c>
      <c r="AG20" s="187">
        <v>336</v>
      </c>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187"/>
      <c r="BZ20" s="187"/>
      <c r="CA20" s="187"/>
      <c r="CB20" s="187"/>
      <c r="CC20" s="187"/>
      <c r="CD20" s="187"/>
      <c r="CE20" s="187"/>
      <c r="CF20" s="187"/>
      <c r="CG20" s="187"/>
      <c r="CH20" s="187"/>
      <c r="CI20" s="187"/>
      <c r="CJ20" s="187"/>
      <c r="CK20" s="187"/>
      <c r="CL20" s="187"/>
      <c r="CM20" s="187"/>
      <c r="CN20" s="187"/>
      <c r="CO20" s="187"/>
      <c r="CP20" s="187"/>
      <c r="CQ20" s="187"/>
      <c r="CR20" s="187"/>
      <c r="CS20" s="187"/>
      <c r="CT20" s="187"/>
      <c r="CU20" s="187"/>
      <c r="CV20" s="187"/>
      <c r="CW20" s="187"/>
      <c r="CX20" s="187"/>
      <c r="CY20" s="187"/>
      <c r="CZ20" s="187"/>
      <c r="DA20" s="187"/>
      <c r="DB20" s="187"/>
      <c r="DC20" s="187"/>
      <c r="DD20" s="187"/>
      <c r="DE20" s="187"/>
      <c r="DF20" s="187"/>
      <c r="DG20" s="187"/>
      <c r="DH20" s="187"/>
      <c r="DI20" s="187"/>
      <c r="DJ20" s="187"/>
      <c r="DK20" s="187"/>
      <c r="DL20" s="187"/>
      <c r="DM20" s="187"/>
      <c r="DN20" s="187"/>
      <c r="DO20" s="187"/>
      <c r="DP20" s="187"/>
      <c r="DQ20" s="187"/>
      <c r="DR20" s="187"/>
      <c r="DS20" s="187"/>
      <c r="DT20" s="187"/>
      <c r="DU20" s="187"/>
      <c r="DV20" s="187"/>
      <c r="DW20" s="187"/>
      <c r="DX20" s="187"/>
      <c r="DY20" s="187"/>
      <c r="DZ20" s="187"/>
      <c r="EA20" s="187"/>
      <c r="EB20" s="187"/>
      <c r="EC20" s="187"/>
      <c r="ED20" s="187"/>
      <c r="EE20" s="187"/>
      <c r="EF20" s="187"/>
      <c r="EG20" s="187"/>
      <c r="EH20" s="187"/>
      <c r="EI20" s="187"/>
      <c r="EJ20" s="187"/>
      <c r="EK20" s="187"/>
      <c r="EL20" s="187"/>
      <c r="EM20" s="187"/>
      <c r="EN20" s="187"/>
      <c r="EO20" s="187"/>
      <c r="EP20" s="187"/>
      <c r="EQ20" s="187"/>
      <c r="ER20" s="187"/>
      <c r="ES20" s="187"/>
      <c r="ET20" s="187"/>
      <c r="EU20" s="187"/>
      <c r="EV20" s="187"/>
      <c r="EW20" s="187"/>
      <c r="EX20" s="187"/>
      <c r="EY20" s="187"/>
      <c r="EZ20" s="187"/>
      <c r="FA20" s="187"/>
      <c r="FB20" s="187"/>
      <c r="FC20" s="187"/>
    </row>
    <row r="21" spans="1:159" ht="15" x14ac:dyDescent="0.25">
      <c r="A21" s="187" t="s">
        <v>100</v>
      </c>
      <c r="B21" s="187" t="s">
        <v>101</v>
      </c>
      <c r="C21" s="187">
        <v>4789</v>
      </c>
      <c r="D21" s="187">
        <v>1</v>
      </c>
      <c r="E21" s="187">
        <v>391</v>
      </c>
      <c r="F21" s="187">
        <v>441</v>
      </c>
      <c r="G21" s="187">
        <v>1297</v>
      </c>
      <c r="H21" s="187">
        <v>6919</v>
      </c>
      <c r="I21" s="187">
        <v>5622</v>
      </c>
      <c r="J21" s="187">
        <v>15</v>
      </c>
      <c r="K21" s="187">
        <v>125.53</v>
      </c>
      <c r="L21" s="187">
        <v>123.31</v>
      </c>
      <c r="M21" s="187">
        <v>10.210000000000001</v>
      </c>
      <c r="N21" s="187">
        <v>131.09</v>
      </c>
      <c r="O21" s="187">
        <v>2802</v>
      </c>
      <c r="P21" s="187">
        <v>112.2</v>
      </c>
      <c r="Q21" s="187">
        <v>106.89</v>
      </c>
      <c r="R21" s="187">
        <v>67.16</v>
      </c>
      <c r="S21" s="187">
        <v>178.55</v>
      </c>
      <c r="T21" s="187">
        <v>664</v>
      </c>
      <c r="U21" s="187">
        <v>184.71</v>
      </c>
      <c r="V21" s="187">
        <v>1107</v>
      </c>
      <c r="W21" s="187">
        <v>188.7</v>
      </c>
      <c r="X21" s="187">
        <v>9</v>
      </c>
      <c r="Y21" s="187">
        <v>0</v>
      </c>
      <c r="Z21" s="187">
        <v>1</v>
      </c>
      <c r="AA21" s="187">
        <v>1</v>
      </c>
      <c r="AB21" s="187">
        <v>111</v>
      </c>
      <c r="AC21" s="187">
        <v>30</v>
      </c>
      <c r="AD21" s="187">
        <v>4693</v>
      </c>
      <c r="AE21" s="187">
        <v>117</v>
      </c>
      <c r="AF21" s="187">
        <v>21</v>
      </c>
      <c r="AG21" s="187">
        <v>138</v>
      </c>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7"/>
      <c r="BN21" s="187"/>
      <c r="BO21" s="187"/>
      <c r="BP21" s="187"/>
      <c r="BQ21" s="187"/>
      <c r="BR21" s="187"/>
      <c r="BS21" s="187"/>
      <c r="BT21" s="187"/>
      <c r="BU21" s="187"/>
      <c r="BV21" s="187"/>
      <c r="BW21" s="187"/>
      <c r="BX21" s="187"/>
      <c r="BY21" s="187"/>
      <c r="BZ21" s="187"/>
      <c r="CA21" s="187"/>
      <c r="CB21" s="187"/>
      <c r="CC21" s="187"/>
      <c r="CD21" s="187"/>
      <c r="CE21" s="187"/>
      <c r="CF21" s="187"/>
      <c r="CG21" s="187"/>
      <c r="CH21" s="187"/>
      <c r="CI21" s="187"/>
      <c r="CJ21" s="187"/>
      <c r="CK21" s="187"/>
      <c r="CL21" s="187"/>
      <c r="CM21" s="187"/>
      <c r="CN21" s="187"/>
      <c r="CO21" s="187"/>
      <c r="CP21" s="187"/>
      <c r="CQ21" s="187"/>
      <c r="CR21" s="187"/>
      <c r="CS21" s="187"/>
      <c r="CT21" s="187"/>
      <c r="CU21" s="187"/>
      <c r="CV21" s="187"/>
      <c r="CW21" s="187"/>
      <c r="CX21" s="187"/>
      <c r="CY21" s="187"/>
      <c r="CZ21" s="187"/>
      <c r="DA21" s="187"/>
      <c r="DB21" s="187"/>
      <c r="DC21" s="187"/>
      <c r="DD21" s="187"/>
      <c r="DE21" s="187"/>
      <c r="DF21" s="187"/>
      <c r="DG21" s="187"/>
      <c r="DH21" s="187"/>
      <c r="DI21" s="187"/>
      <c r="DJ21" s="187"/>
      <c r="DK21" s="187"/>
      <c r="DL21" s="187"/>
      <c r="DM21" s="187"/>
      <c r="DN21" s="187"/>
      <c r="DO21" s="187"/>
      <c r="DP21" s="187"/>
      <c r="DQ21" s="187"/>
      <c r="DR21" s="187"/>
      <c r="DS21" s="187"/>
      <c r="DT21" s="187"/>
      <c r="DU21" s="187"/>
      <c r="DV21" s="187"/>
      <c r="DW21" s="187"/>
      <c r="DX21" s="187"/>
      <c r="DY21" s="187"/>
      <c r="DZ21" s="187"/>
      <c r="EA21" s="187"/>
      <c r="EB21" s="187"/>
      <c r="EC21" s="187"/>
      <c r="ED21" s="187"/>
      <c r="EE21" s="187"/>
      <c r="EF21" s="187"/>
      <c r="EG21" s="187"/>
      <c r="EH21" s="187"/>
      <c r="EI21" s="187"/>
      <c r="EJ21" s="187"/>
      <c r="EK21" s="187"/>
      <c r="EL21" s="187"/>
      <c r="EM21" s="187"/>
      <c r="EN21" s="187"/>
      <c r="EO21" s="187"/>
      <c r="EP21" s="187"/>
      <c r="EQ21" s="187"/>
      <c r="ER21" s="187"/>
      <c r="ES21" s="187"/>
      <c r="ET21" s="187"/>
      <c r="EU21" s="187"/>
      <c r="EV21" s="187"/>
      <c r="EW21" s="187"/>
      <c r="EX21" s="187"/>
      <c r="EY21" s="187"/>
      <c r="EZ21" s="187"/>
      <c r="FA21" s="187"/>
      <c r="FB21" s="187"/>
      <c r="FC21" s="187"/>
    </row>
    <row r="22" spans="1:159" ht="15" x14ac:dyDescent="0.25">
      <c r="A22" s="187" t="s">
        <v>102</v>
      </c>
      <c r="B22" s="187" t="s">
        <v>103</v>
      </c>
      <c r="C22" s="187">
        <v>7988</v>
      </c>
      <c r="D22" s="187">
        <v>25</v>
      </c>
      <c r="E22" s="187">
        <v>637</v>
      </c>
      <c r="F22" s="187">
        <v>1193</v>
      </c>
      <c r="G22" s="187">
        <v>1548</v>
      </c>
      <c r="H22" s="187">
        <v>11391</v>
      </c>
      <c r="I22" s="187">
        <v>9843</v>
      </c>
      <c r="J22" s="187">
        <v>105</v>
      </c>
      <c r="K22" s="187">
        <v>136.32</v>
      </c>
      <c r="L22" s="187">
        <v>135.07</v>
      </c>
      <c r="M22" s="187">
        <v>12.88</v>
      </c>
      <c r="N22" s="187">
        <v>147.36000000000001</v>
      </c>
      <c r="O22" s="187">
        <v>5800</v>
      </c>
      <c r="P22" s="187">
        <v>121.01</v>
      </c>
      <c r="Q22" s="187">
        <v>113.28</v>
      </c>
      <c r="R22" s="187">
        <v>62</v>
      </c>
      <c r="S22" s="187">
        <v>177.22</v>
      </c>
      <c r="T22" s="187">
        <v>899</v>
      </c>
      <c r="U22" s="187">
        <v>230.23</v>
      </c>
      <c r="V22" s="187">
        <v>1793</v>
      </c>
      <c r="W22" s="187">
        <v>236.26</v>
      </c>
      <c r="X22" s="187">
        <v>47</v>
      </c>
      <c r="Y22" s="187">
        <v>18</v>
      </c>
      <c r="Z22" s="187">
        <v>3</v>
      </c>
      <c r="AA22" s="187">
        <v>4</v>
      </c>
      <c r="AB22" s="187">
        <v>107</v>
      </c>
      <c r="AC22" s="187">
        <v>63</v>
      </c>
      <c r="AD22" s="187">
        <v>7262</v>
      </c>
      <c r="AE22" s="187">
        <v>29</v>
      </c>
      <c r="AF22" s="187">
        <v>106</v>
      </c>
      <c r="AG22" s="187">
        <v>135</v>
      </c>
      <c r="AH22" s="187"/>
      <c r="AI22" s="187"/>
      <c r="AJ22" s="187"/>
      <c r="AK22" s="187"/>
      <c r="AL22" s="187"/>
      <c r="AM22" s="187"/>
      <c r="AN22" s="187"/>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c r="BK22" s="187"/>
      <c r="BL22" s="187"/>
      <c r="BM22" s="187"/>
      <c r="BN22" s="187"/>
      <c r="BO22" s="187"/>
      <c r="BP22" s="187"/>
      <c r="BQ22" s="187"/>
      <c r="BR22" s="187"/>
      <c r="BS22" s="187"/>
      <c r="BT22" s="187"/>
      <c r="BU22" s="187"/>
      <c r="BV22" s="187"/>
      <c r="BW22" s="187"/>
      <c r="BX22" s="187"/>
      <c r="BY22" s="187"/>
      <c r="BZ22" s="187"/>
      <c r="CA22" s="187"/>
      <c r="CB22" s="187"/>
      <c r="CC22" s="187"/>
      <c r="CD22" s="187"/>
      <c r="CE22" s="187"/>
      <c r="CF22" s="187"/>
      <c r="CG22" s="187"/>
      <c r="CH22" s="187"/>
      <c r="CI22" s="187"/>
      <c r="CJ22" s="187"/>
      <c r="CK22" s="187"/>
      <c r="CL22" s="187"/>
      <c r="CM22" s="187"/>
      <c r="CN22" s="187"/>
      <c r="CO22" s="187"/>
      <c r="CP22" s="187"/>
      <c r="CQ22" s="187"/>
      <c r="CR22" s="187"/>
      <c r="CS22" s="187"/>
      <c r="CT22" s="187"/>
      <c r="CU22" s="187"/>
      <c r="CV22" s="187"/>
      <c r="CW22" s="187"/>
      <c r="CX22" s="187"/>
      <c r="CY22" s="187"/>
      <c r="CZ22" s="187"/>
      <c r="DA22" s="187"/>
      <c r="DB22" s="187"/>
      <c r="DC22" s="187"/>
      <c r="DD22" s="187"/>
      <c r="DE22" s="187"/>
      <c r="DF22" s="187"/>
      <c r="DG22" s="187"/>
      <c r="DH22" s="187"/>
      <c r="DI22" s="187"/>
      <c r="DJ22" s="187"/>
      <c r="DK22" s="187"/>
      <c r="DL22" s="187"/>
      <c r="DM22" s="187"/>
      <c r="DN22" s="187"/>
      <c r="DO22" s="187"/>
      <c r="DP22" s="187"/>
      <c r="DQ22" s="187"/>
      <c r="DR22" s="187"/>
      <c r="DS22" s="187"/>
      <c r="DT22" s="187"/>
      <c r="DU22" s="187"/>
      <c r="DV22" s="187"/>
      <c r="DW22" s="187"/>
      <c r="DX22" s="187"/>
      <c r="DY22" s="187"/>
      <c r="DZ22" s="187"/>
      <c r="EA22" s="187"/>
      <c r="EB22" s="187"/>
      <c r="EC22" s="187"/>
      <c r="ED22" s="187"/>
      <c r="EE22" s="187"/>
      <c r="EF22" s="187"/>
      <c r="EG22" s="187"/>
      <c r="EH22" s="187"/>
      <c r="EI22" s="187"/>
      <c r="EJ22" s="187"/>
      <c r="EK22" s="187"/>
      <c r="EL22" s="187"/>
      <c r="EM22" s="187"/>
      <c r="EN22" s="187"/>
      <c r="EO22" s="187"/>
      <c r="EP22" s="187"/>
      <c r="EQ22" s="187"/>
      <c r="ER22" s="187"/>
      <c r="ES22" s="187"/>
      <c r="ET22" s="187"/>
      <c r="EU22" s="187"/>
      <c r="EV22" s="187"/>
      <c r="EW22" s="187"/>
      <c r="EX22" s="187"/>
      <c r="EY22" s="187"/>
      <c r="EZ22" s="187"/>
      <c r="FA22" s="187"/>
      <c r="FB22" s="187"/>
      <c r="FC22" s="187"/>
    </row>
    <row r="23" spans="1:159" ht="15" x14ac:dyDescent="0.25">
      <c r="A23" s="187" t="s">
        <v>104</v>
      </c>
      <c r="B23" s="187" t="s">
        <v>105</v>
      </c>
      <c r="C23" s="187">
        <v>3111</v>
      </c>
      <c r="D23" s="187">
        <v>0</v>
      </c>
      <c r="E23" s="187">
        <v>297</v>
      </c>
      <c r="F23" s="187">
        <v>677</v>
      </c>
      <c r="G23" s="187">
        <v>440</v>
      </c>
      <c r="H23" s="187">
        <v>4525</v>
      </c>
      <c r="I23" s="187">
        <v>4085</v>
      </c>
      <c r="J23" s="187">
        <v>13</v>
      </c>
      <c r="K23" s="187">
        <v>91.58</v>
      </c>
      <c r="L23" s="187">
        <v>88.18</v>
      </c>
      <c r="M23" s="187">
        <v>4.8899999999999997</v>
      </c>
      <c r="N23" s="187">
        <v>93.82</v>
      </c>
      <c r="O23" s="187">
        <v>1842</v>
      </c>
      <c r="P23" s="187">
        <v>92.55</v>
      </c>
      <c r="Q23" s="187">
        <v>86.13</v>
      </c>
      <c r="R23" s="187">
        <v>31.27</v>
      </c>
      <c r="S23" s="187">
        <v>120.8</v>
      </c>
      <c r="T23" s="187">
        <v>943</v>
      </c>
      <c r="U23" s="187">
        <v>101.7</v>
      </c>
      <c r="V23" s="187">
        <v>1178</v>
      </c>
      <c r="W23" s="187">
        <v>210.69</v>
      </c>
      <c r="X23" s="187">
        <v>24</v>
      </c>
      <c r="Y23" s="187">
        <v>0</v>
      </c>
      <c r="Z23" s="187">
        <v>1</v>
      </c>
      <c r="AA23" s="187">
        <v>26</v>
      </c>
      <c r="AB23" s="187">
        <v>24</v>
      </c>
      <c r="AC23" s="187">
        <v>9</v>
      </c>
      <c r="AD23" s="187">
        <v>3105</v>
      </c>
      <c r="AE23" s="187">
        <v>27</v>
      </c>
      <c r="AF23" s="187">
        <v>11</v>
      </c>
      <c r="AG23" s="187">
        <v>38</v>
      </c>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87"/>
      <c r="BL23" s="187"/>
      <c r="BM23" s="187"/>
      <c r="BN23" s="187"/>
      <c r="BO23" s="187"/>
      <c r="BP23" s="187"/>
      <c r="BQ23" s="187"/>
      <c r="BR23" s="187"/>
      <c r="BS23" s="187"/>
      <c r="BT23" s="187"/>
      <c r="BU23" s="187"/>
      <c r="BV23" s="187"/>
      <c r="BW23" s="187"/>
      <c r="BX23" s="187"/>
      <c r="BY23" s="187"/>
      <c r="BZ23" s="187"/>
      <c r="CA23" s="187"/>
      <c r="CB23" s="187"/>
      <c r="CC23" s="187"/>
      <c r="CD23" s="187"/>
      <c r="CE23" s="187"/>
      <c r="CF23" s="187"/>
      <c r="CG23" s="187"/>
      <c r="CH23" s="187"/>
      <c r="CI23" s="187"/>
      <c r="CJ23" s="187"/>
      <c r="CK23" s="187"/>
      <c r="CL23" s="187"/>
      <c r="CM23" s="187"/>
      <c r="CN23" s="187"/>
      <c r="CO23" s="187"/>
      <c r="CP23" s="187"/>
      <c r="CQ23" s="187"/>
      <c r="CR23" s="187"/>
      <c r="CS23" s="187"/>
      <c r="CT23" s="187"/>
      <c r="CU23" s="187"/>
      <c r="CV23" s="187"/>
      <c r="CW23" s="187"/>
      <c r="CX23" s="187"/>
      <c r="CY23" s="187"/>
      <c r="CZ23" s="187"/>
      <c r="DA23" s="187"/>
      <c r="DB23" s="187"/>
      <c r="DC23" s="187"/>
      <c r="DD23" s="187"/>
      <c r="DE23" s="187"/>
      <c r="DF23" s="187"/>
      <c r="DG23" s="187"/>
      <c r="DH23" s="187"/>
      <c r="DI23" s="187"/>
      <c r="DJ23" s="187"/>
      <c r="DK23" s="187"/>
      <c r="DL23" s="187"/>
      <c r="DM23" s="187"/>
      <c r="DN23" s="187"/>
      <c r="DO23" s="187"/>
      <c r="DP23" s="187"/>
      <c r="DQ23" s="187"/>
      <c r="DR23" s="187"/>
      <c r="DS23" s="187"/>
      <c r="DT23" s="187"/>
      <c r="DU23" s="187"/>
      <c r="DV23" s="187"/>
      <c r="DW23" s="187"/>
      <c r="DX23" s="187"/>
      <c r="DY23" s="187"/>
      <c r="DZ23" s="187"/>
      <c r="EA23" s="187"/>
      <c r="EB23" s="187"/>
      <c r="EC23" s="187"/>
      <c r="ED23" s="187"/>
      <c r="EE23" s="187"/>
      <c r="EF23" s="187"/>
      <c r="EG23" s="187"/>
      <c r="EH23" s="187"/>
      <c r="EI23" s="187"/>
      <c r="EJ23" s="187"/>
      <c r="EK23" s="187"/>
      <c r="EL23" s="187"/>
      <c r="EM23" s="187"/>
      <c r="EN23" s="187"/>
      <c r="EO23" s="187"/>
      <c r="EP23" s="187"/>
      <c r="EQ23" s="187"/>
      <c r="ER23" s="187"/>
      <c r="ES23" s="187"/>
      <c r="ET23" s="187"/>
      <c r="EU23" s="187"/>
      <c r="EV23" s="187"/>
      <c r="EW23" s="187"/>
      <c r="EX23" s="187"/>
      <c r="EY23" s="187"/>
      <c r="EZ23" s="187"/>
      <c r="FA23" s="187"/>
      <c r="FB23" s="187"/>
      <c r="FC23" s="187"/>
    </row>
    <row r="24" spans="1:159" ht="15" x14ac:dyDescent="0.25">
      <c r="A24" s="187" t="s">
        <v>106</v>
      </c>
      <c r="B24" s="187" t="s">
        <v>107</v>
      </c>
      <c r="C24" s="187">
        <v>531</v>
      </c>
      <c r="D24" s="187">
        <v>0</v>
      </c>
      <c r="E24" s="187">
        <v>170</v>
      </c>
      <c r="F24" s="187">
        <v>196</v>
      </c>
      <c r="G24" s="187">
        <v>25</v>
      </c>
      <c r="H24" s="187">
        <v>922</v>
      </c>
      <c r="I24" s="187">
        <v>897</v>
      </c>
      <c r="J24" s="187">
        <v>0</v>
      </c>
      <c r="K24" s="187">
        <v>85.62</v>
      </c>
      <c r="L24" s="187">
        <v>81.81</v>
      </c>
      <c r="M24" s="187">
        <v>8.16</v>
      </c>
      <c r="N24" s="187">
        <v>90.77</v>
      </c>
      <c r="O24" s="187">
        <v>475</v>
      </c>
      <c r="P24" s="187">
        <v>102.72</v>
      </c>
      <c r="Q24" s="187">
        <v>84.13</v>
      </c>
      <c r="R24" s="187">
        <v>64.34</v>
      </c>
      <c r="S24" s="187">
        <v>167.06</v>
      </c>
      <c r="T24" s="187">
        <v>305</v>
      </c>
      <c r="U24" s="187">
        <v>117.99</v>
      </c>
      <c r="V24" s="187">
        <v>39</v>
      </c>
      <c r="W24" s="187">
        <v>156.05000000000001</v>
      </c>
      <c r="X24" s="187">
        <v>8</v>
      </c>
      <c r="Y24" s="187">
        <v>0</v>
      </c>
      <c r="Z24" s="187">
        <v>0</v>
      </c>
      <c r="AA24" s="187">
        <v>0</v>
      </c>
      <c r="AB24" s="187">
        <v>0</v>
      </c>
      <c r="AC24" s="187">
        <v>0</v>
      </c>
      <c r="AD24" s="187">
        <v>529</v>
      </c>
      <c r="AE24" s="187">
        <v>8</v>
      </c>
      <c r="AF24" s="187">
        <v>1</v>
      </c>
      <c r="AG24" s="187">
        <v>9</v>
      </c>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c r="CS24" s="187"/>
      <c r="CT24" s="187"/>
      <c r="CU24" s="187"/>
      <c r="CV24" s="187"/>
      <c r="CW24" s="187"/>
      <c r="CX24" s="187"/>
      <c r="CY24" s="187"/>
      <c r="CZ24" s="187"/>
      <c r="DA24" s="187"/>
      <c r="DB24" s="187"/>
      <c r="DC24" s="187"/>
      <c r="DD24" s="187"/>
      <c r="DE24" s="187"/>
      <c r="DF24" s="187"/>
      <c r="DG24" s="187"/>
      <c r="DH24" s="187"/>
      <c r="DI24" s="187"/>
      <c r="DJ24" s="187"/>
      <c r="DK24" s="187"/>
      <c r="DL24" s="187"/>
      <c r="DM24" s="187"/>
      <c r="DN24" s="187"/>
      <c r="DO24" s="187"/>
      <c r="DP24" s="187"/>
      <c r="DQ24" s="187"/>
      <c r="DR24" s="187"/>
      <c r="DS24" s="187"/>
      <c r="DT24" s="187"/>
      <c r="DU24" s="187"/>
      <c r="DV24" s="187"/>
      <c r="DW24" s="187"/>
      <c r="DX24" s="187"/>
      <c r="DY24" s="187"/>
      <c r="DZ24" s="187"/>
      <c r="EA24" s="187"/>
      <c r="EB24" s="187"/>
      <c r="EC24" s="187"/>
      <c r="ED24" s="187"/>
      <c r="EE24" s="187"/>
      <c r="EF24" s="187"/>
      <c r="EG24" s="187"/>
      <c r="EH24" s="187"/>
      <c r="EI24" s="187"/>
      <c r="EJ24" s="187"/>
      <c r="EK24" s="187"/>
      <c r="EL24" s="187"/>
      <c r="EM24" s="187"/>
      <c r="EN24" s="187"/>
      <c r="EO24" s="187"/>
      <c r="EP24" s="187"/>
      <c r="EQ24" s="187"/>
      <c r="ER24" s="187"/>
      <c r="ES24" s="187"/>
      <c r="ET24" s="187"/>
      <c r="EU24" s="187"/>
      <c r="EV24" s="187"/>
      <c r="EW24" s="187"/>
      <c r="EX24" s="187"/>
      <c r="EY24" s="187"/>
      <c r="EZ24" s="187"/>
      <c r="FA24" s="187"/>
      <c r="FB24" s="187"/>
      <c r="FC24" s="187"/>
    </row>
    <row r="25" spans="1:159" ht="15" x14ac:dyDescent="0.25">
      <c r="A25" s="187" t="s">
        <v>108</v>
      </c>
      <c r="B25" s="187" t="s">
        <v>109</v>
      </c>
      <c r="C25" s="187">
        <v>5339</v>
      </c>
      <c r="D25" s="187">
        <v>0</v>
      </c>
      <c r="E25" s="187">
        <v>242</v>
      </c>
      <c r="F25" s="187">
        <v>331</v>
      </c>
      <c r="G25" s="187">
        <v>702</v>
      </c>
      <c r="H25" s="187">
        <v>6614</v>
      </c>
      <c r="I25" s="187">
        <v>5912</v>
      </c>
      <c r="J25" s="187">
        <v>35</v>
      </c>
      <c r="K25" s="187">
        <v>116.72</v>
      </c>
      <c r="L25" s="187">
        <v>116.9</v>
      </c>
      <c r="M25" s="187">
        <v>5.88</v>
      </c>
      <c r="N25" s="187">
        <v>119.84</v>
      </c>
      <c r="O25" s="187">
        <v>5008</v>
      </c>
      <c r="P25" s="187">
        <v>109.39</v>
      </c>
      <c r="Q25" s="187">
        <v>93.27</v>
      </c>
      <c r="R25" s="187">
        <v>46.78</v>
      </c>
      <c r="S25" s="187">
        <v>155.22999999999999</v>
      </c>
      <c r="T25" s="187">
        <v>498</v>
      </c>
      <c r="U25" s="187">
        <v>146.12</v>
      </c>
      <c r="V25" s="187">
        <v>197</v>
      </c>
      <c r="W25" s="187">
        <v>0</v>
      </c>
      <c r="X25" s="187">
        <v>0</v>
      </c>
      <c r="Y25" s="187">
        <v>0</v>
      </c>
      <c r="Z25" s="187">
        <v>1</v>
      </c>
      <c r="AA25" s="187">
        <v>1</v>
      </c>
      <c r="AB25" s="187">
        <v>1</v>
      </c>
      <c r="AC25" s="187">
        <v>14</v>
      </c>
      <c r="AD25" s="187">
        <v>5339</v>
      </c>
      <c r="AE25" s="187">
        <v>40</v>
      </c>
      <c r="AF25" s="187">
        <v>24</v>
      </c>
      <c r="AG25" s="187">
        <v>64</v>
      </c>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c r="BG25" s="187"/>
      <c r="BH25" s="187"/>
      <c r="BI25" s="187"/>
      <c r="BJ25" s="187"/>
      <c r="BK25" s="187"/>
      <c r="BL25" s="187"/>
      <c r="BM25" s="187"/>
      <c r="BN25" s="187"/>
      <c r="BO25" s="187"/>
      <c r="BP25" s="187"/>
      <c r="BQ25" s="187"/>
      <c r="BR25" s="187"/>
      <c r="BS25" s="187"/>
      <c r="BT25" s="187"/>
      <c r="BU25" s="187"/>
      <c r="BV25" s="187"/>
      <c r="BW25" s="187"/>
      <c r="BX25" s="187"/>
      <c r="BY25" s="187"/>
      <c r="BZ25" s="187"/>
      <c r="CA25" s="187"/>
      <c r="CB25" s="187"/>
      <c r="CC25" s="187"/>
      <c r="CD25" s="187"/>
      <c r="CE25" s="187"/>
      <c r="CF25" s="187"/>
      <c r="CG25" s="187"/>
      <c r="CH25" s="187"/>
      <c r="CI25" s="187"/>
      <c r="CJ25" s="187"/>
      <c r="CK25" s="187"/>
      <c r="CL25" s="187"/>
      <c r="CM25" s="187"/>
      <c r="CN25" s="187"/>
      <c r="CO25" s="187"/>
      <c r="CP25" s="187"/>
      <c r="CQ25" s="187"/>
      <c r="CR25" s="187"/>
      <c r="CS25" s="187"/>
      <c r="CT25" s="187"/>
      <c r="CU25" s="187"/>
      <c r="CV25" s="187"/>
      <c r="CW25" s="187"/>
      <c r="CX25" s="187"/>
      <c r="CY25" s="187"/>
      <c r="CZ25" s="187"/>
      <c r="DA25" s="187"/>
      <c r="DB25" s="187"/>
      <c r="DC25" s="187"/>
      <c r="DD25" s="187"/>
      <c r="DE25" s="187"/>
      <c r="DF25" s="187"/>
      <c r="DG25" s="187"/>
      <c r="DH25" s="187"/>
      <c r="DI25" s="187"/>
      <c r="DJ25" s="187"/>
      <c r="DK25" s="187"/>
      <c r="DL25" s="187"/>
      <c r="DM25" s="187"/>
      <c r="DN25" s="187"/>
      <c r="DO25" s="187"/>
      <c r="DP25" s="187"/>
      <c r="DQ25" s="187"/>
      <c r="DR25" s="187"/>
      <c r="DS25" s="187"/>
      <c r="DT25" s="187"/>
      <c r="DU25" s="187"/>
      <c r="DV25" s="187"/>
      <c r="DW25" s="187"/>
      <c r="DX25" s="187"/>
      <c r="DY25" s="187"/>
      <c r="DZ25" s="187"/>
      <c r="EA25" s="187"/>
      <c r="EB25" s="187"/>
      <c r="EC25" s="187"/>
      <c r="ED25" s="187"/>
      <c r="EE25" s="187"/>
      <c r="EF25" s="187"/>
      <c r="EG25" s="187"/>
      <c r="EH25" s="187"/>
      <c r="EI25" s="187"/>
      <c r="EJ25" s="187"/>
      <c r="EK25" s="187"/>
      <c r="EL25" s="187"/>
      <c r="EM25" s="187"/>
      <c r="EN25" s="187"/>
      <c r="EO25" s="187"/>
      <c r="EP25" s="187"/>
      <c r="EQ25" s="187"/>
      <c r="ER25" s="187"/>
      <c r="ES25" s="187"/>
      <c r="ET25" s="187"/>
      <c r="EU25" s="187"/>
      <c r="EV25" s="187"/>
      <c r="EW25" s="187"/>
      <c r="EX25" s="187"/>
      <c r="EY25" s="187"/>
      <c r="EZ25" s="187"/>
      <c r="FA25" s="187"/>
      <c r="FB25" s="187"/>
      <c r="FC25" s="187"/>
    </row>
    <row r="26" spans="1:159" ht="15" x14ac:dyDescent="0.25">
      <c r="A26" s="187" t="s">
        <v>110</v>
      </c>
      <c r="B26" s="187" t="s">
        <v>111</v>
      </c>
      <c r="C26" s="187">
        <v>13330</v>
      </c>
      <c r="D26" s="187">
        <v>312</v>
      </c>
      <c r="E26" s="187">
        <v>407</v>
      </c>
      <c r="F26" s="187">
        <v>865</v>
      </c>
      <c r="G26" s="187">
        <v>1608</v>
      </c>
      <c r="H26" s="187">
        <v>16522</v>
      </c>
      <c r="I26" s="187">
        <v>14914</v>
      </c>
      <c r="J26" s="187">
        <v>69</v>
      </c>
      <c r="K26" s="187">
        <v>120.06</v>
      </c>
      <c r="L26" s="187">
        <v>115.43</v>
      </c>
      <c r="M26" s="187">
        <v>5.84</v>
      </c>
      <c r="N26" s="187">
        <v>122.48</v>
      </c>
      <c r="O26" s="187">
        <v>11397</v>
      </c>
      <c r="P26" s="187">
        <v>109.1</v>
      </c>
      <c r="Q26" s="187">
        <v>95.43</v>
      </c>
      <c r="R26" s="187">
        <v>45.31</v>
      </c>
      <c r="S26" s="187">
        <v>151.03</v>
      </c>
      <c r="T26" s="187">
        <v>1114</v>
      </c>
      <c r="U26" s="187">
        <v>167.74</v>
      </c>
      <c r="V26" s="187">
        <v>1657</v>
      </c>
      <c r="W26" s="187">
        <v>159.71</v>
      </c>
      <c r="X26" s="187">
        <v>2</v>
      </c>
      <c r="Y26" s="187">
        <v>0</v>
      </c>
      <c r="Z26" s="187">
        <v>7</v>
      </c>
      <c r="AA26" s="187">
        <v>5</v>
      </c>
      <c r="AB26" s="187">
        <v>91</v>
      </c>
      <c r="AC26" s="187">
        <v>28</v>
      </c>
      <c r="AD26" s="187">
        <v>13291</v>
      </c>
      <c r="AE26" s="187">
        <v>94</v>
      </c>
      <c r="AF26" s="187">
        <v>102</v>
      </c>
      <c r="AG26" s="187">
        <v>196</v>
      </c>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187"/>
      <c r="BR26" s="187"/>
      <c r="BS26" s="187"/>
      <c r="BT26" s="187"/>
      <c r="BU26" s="187"/>
      <c r="BV26" s="187"/>
      <c r="BW26" s="187"/>
      <c r="BX26" s="187"/>
      <c r="BY26" s="187"/>
      <c r="BZ26" s="187"/>
      <c r="CA26" s="187"/>
      <c r="CB26" s="187"/>
      <c r="CC26" s="187"/>
      <c r="CD26" s="187"/>
      <c r="CE26" s="187"/>
      <c r="CF26" s="187"/>
      <c r="CG26" s="187"/>
      <c r="CH26" s="187"/>
      <c r="CI26" s="187"/>
      <c r="CJ26" s="187"/>
      <c r="CK26" s="187"/>
      <c r="CL26" s="187"/>
      <c r="CM26" s="187"/>
      <c r="CN26" s="187"/>
      <c r="CO26" s="187"/>
      <c r="CP26" s="187"/>
      <c r="CQ26" s="187"/>
      <c r="CR26" s="187"/>
      <c r="CS26" s="187"/>
      <c r="CT26" s="187"/>
      <c r="CU26" s="187"/>
      <c r="CV26" s="187"/>
      <c r="CW26" s="187"/>
      <c r="CX26" s="187"/>
      <c r="CY26" s="187"/>
      <c r="CZ26" s="187"/>
      <c r="DA26" s="187"/>
      <c r="DB26" s="187"/>
      <c r="DC26" s="187"/>
      <c r="DD26" s="187"/>
      <c r="DE26" s="187"/>
      <c r="DF26" s="187"/>
      <c r="DG26" s="187"/>
      <c r="DH26" s="187"/>
      <c r="DI26" s="187"/>
      <c r="DJ26" s="187"/>
      <c r="DK26" s="187"/>
      <c r="DL26" s="187"/>
      <c r="DM26" s="187"/>
      <c r="DN26" s="187"/>
      <c r="DO26" s="187"/>
      <c r="DP26" s="187"/>
      <c r="DQ26" s="187"/>
      <c r="DR26" s="187"/>
      <c r="DS26" s="187"/>
      <c r="DT26" s="187"/>
      <c r="DU26" s="187"/>
      <c r="DV26" s="187"/>
      <c r="DW26" s="187"/>
      <c r="DX26" s="187"/>
      <c r="DY26" s="187"/>
      <c r="DZ26" s="187"/>
      <c r="EA26" s="187"/>
      <c r="EB26" s="187"/>
      <c r="EC26" s="187"/>
      <c r="ED26" s="187"/>
      <c r="EE26" s="187"/>
      <c r="EF26" s="187"/>
      <c r="EG26" s="187"/>
      <c r="EH26" s="187"/>
      <c r="EI26" s="187"/>
      <c r="EJ26" s="187"/>
      <c r="EK26" s="187"/>
      <c r="EL26" s="187"/>
      <c r="EM26" s="187"/>
      <c r="EN26" s="187"/>
      <c r="EO26" s="187"/>
      <c r="EP26" s="187"/>
      <c r="EQ26" s="187"/>
      <c r="ER26" s="187"/>
      <c r="ES26" s="187"/>
      <c r="ET26" s="187"/>
      <c r="EU26" s="187"/>
      <c r="EV26" s="187"/>
      <c r="EW26" s="187"/>
      <c r="EX26" s="187"/>
      <c r="EY26" s="187"/>
      <c r="EZ26" s="187"/>
      <c r="FA26" s="187"/>
      <c r="FB26" s="187"/>
      <c r="FC26" s="187"/>
    </row>
    <row r="27" spans="1:159" ht="15" x14ac:dyDescent="0.25">
      <c r="A27" s="187" t="s">
        <v>112</v>
      </c>
      <c r="B27" s="187" t="s">
        <v>113</v>
      </c>
      <c r="C27" s="187">
        <v>1266</v>
      </c>
      <c r="D27" s="187">
        <v>0</v>
      </c>
      <c r="E27" s="187">
        <v>251</v>
      </c>
      <c r="F27" s="187">
        <v>158</v>
      </c>
      <c r="G27" s="187">
        <v>217</v>
      </c>
      <c r="H27" s="187">
        <v>1892</v>
      </c>
      <c r="I27" s="187">
        <v>1675</v>
      </c>
      <c r="J27" s="187">
        <v>4</v>
      </c>
      <c r="K27" s="187">
        <v>93.07</v>
      </c>
      <c r="L27" s="187">
        <v>90.25</v>
      </c>
      <c r="M27" s="187">
        <v>3.09</v>
      </c>
      <c r="N27" s="187">
        <v>95.09</v>
      </c>
      <c r="O27" s="187">
        <v>888</v>
      </c>
      <c r="P27" s="187">
        <v>133.16</v>
      </c>
      <c r="Q27" s="187">
        <v>75.790000000000006</v>
      </c>
      <c r="R27" s="187">
        <v>73.44</v>
      </c>
      <c r="S27" s="187">
        <v>204.03</v>
      </c>
      <c r="T27" s="187">
        <v>343</v>
      </c>
      <c r="U27" s="187">
        <v>109.67</v>
      </c>
      <c r="V27" s="187">
        <v>347</v>
      </c>
      <c r="W27" s="187">
        <v>155.41999999999999</v>
      </c>
      <c r="X27" s="187">
        <v>21</v>
      </c>
      <c r="Y27" s="187">
        <v>0</v>
      </c>
      <c r="Z27" s="187">
        <v>1</v>
      </c>
      <c r="AA27" s="187">
        <v>5</v>
      </c>
      <c r="AB27" s="187">
        <v>47</v>
      </c>
      <c r="AC27" s="187">
        <v>9</v>
      </c>
      <c r="AD27" s="187">
        <v>1262</v>
      </c>
      <c r="AE27" s="187">
        <v>7</v>
      </c>
      <c r="AF27" s="187">
        <v>12</v>
      </c>
      <c r="AG27" s="187">
        <v>19</v>
      </c>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c r="CZ27" s="187"/>
      <c r="DA27" s="187"/>
      <c r="DB27" s="187"/>
      <c r="DC27" s="187"/>
      <c r="DD27" s="187"/>
      <c r="DE27" s="187"/>
      <c r="DF27" s="187"/>
      <c r="DG27" s="187"/>
      <c r="DH27" s="187"/>
      <c r="DI27" s="187"/>
      <c r="DJ27" s="187"/>
      <c r="DK27" s="187"/>
      <c r="DL27" s="187"/>
      <c r="DM27" s="187"/>
      <c r="DN27" s="187"/>
      <c r="DO27" s="187"/>
      <c r="DP27" s="187"/>
      <c r="DQ27" s="187"/>
      <c r="DR27" s="187"/>
      <c r="DS27" s="187"/>
      <c r="DT27" s="187"/>
      <c r="DU27" s="187"/>
      <c r="DV27" s="187"/>
      <c r="DW27" s="187"/>
      <c r="DX27" s="187"/>
      <c r="DY27" s="187"/>
      <c r="DZ27" s="187"/>
      <c r="EA27" s="187"/>
      <c r="EB27" s="187"/>
      <c r="EC27" s="187"/>
      <c r="ED27" s="187"/>
      <c r="EE27" s="187"/>
      <c r="EF27" s="187"/>
      <c r="EG27" s="187"/>
      <c r="EH27" s="187"/>
      <c r="EI27" s="187"/>
      <c r="EJ27" s="187"/>
      <c r="EK27" s="187"/>
      <c r="EL27" s="187"/>
      <c r="EM27" s="187"/>
      <c r="EN27" s="187"/>
      <c r="EO27" s="187"/>
      <c r="EP27" s="187"/>
      <c r="EQ27" s="187"/>
      <c r="ER27" s="187"/>
      <c r="ES27" s="187"/>
      <c r="ET27" s="187"/>
      <c r="EU27" s="187"/>
      <c r="EV27" s="187"/>
      <c r="EW27" s="187"/>
      <c r="EX27" s="187"/>
      <c r="EY27" s="187"/>
      <c r="EZ27" s="187"/>
      <c r="FA27" s="187"/>
      <c r="FB27" s="187"/>
      <c r="FC27" s="187"/>
    </row>
    <row r="28" spans="1:159" ht="15" x14ac:dyDescent="0.25">
      <c r="A28" s="187" t="s">
        <v>114</v>
      </c>
      <c r="B28" s="187" t="s">
        <v>115</v>
      </c>
      <c r="C28" s="187">
        <v>9317</v>
      </c>
      <c r="D28" s="187">
        <v>0</v>
      </c>
      <c r="E28" s="187">
        <v>477</v>
      </c>
      <c r="F28" s="187">
        <v>2107</v>
      </c>
      <c r="G28" s="187">
        <v>728</v>
      </c>
      <c r="H28" s="187">
        <v>12629</v>
      </c>
      <c r="I28" s="187">
        <v>11901</v>
      </c>
      <c r="J28" s="187">
        <v>22</v>
      </c>
      <c r="K28" s="187">
        <v>107.64</v>
      </c>
      <c r="L28" s="187">
        <v>104.92</v>
      </c>
      <c r="M28" s="187">
        <v>5.19</v>
      </c>
      <c r="N28" s="187">
        <v>112.15</v>
      </c>
      <c r="O28" s="187">
        <v>8528</v>
      </c>
      <c r="P28" s="187">
        <v>100.63</v>
      </c>
      <c r="Q28" s="187">
        <v>92.28</v>
      </c>
      <c r="R28" s="187">
        <v>19.91</v>
      </c>
      <c r="S28" s="187">
        <v>119.98</v>
      </c>
      <c r="T28" s="187">
        <v>2211</v>
      </c>
      <c r="U28" s="187">
        <v>148.9</v>
      </c>
      <c r="V28" s="187">
        <v>699</v>
      </c>
      <c r="W28" s="187">
        <v>129.66</v>
      </c>
      <c r="X28" s="187">
        <v>79</v>
      </c>
      <c r="Y28" s="187">
        <v>0</v>
      </c>
      <c r="Z28" s="187">
        <v>14</v>
      </c>
      <c r="AA28" s="187">
        <v>10</v>
      </c>
      <c r="AB28" s="187">
        <v>41</v>
      </c>
      <c r="AC28" s="187">
        <v>17</v>
      </c>
      <c r="AD28" s="187">
        <v>9251</v>
      </c>
      <c r="AE28" s="187">
        <v>49</v>
      </c>
      <c r="AF28" s="187">
        <v>48</v>
      </c>
      <c r="AG28" s="187">
        <v>97</v>
      </c>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c r="CA28" s="187"/>
      <c r="CB28" s="187"/>
      <c r="CC28" s="187"/>
      <c r="CD28" s="187"/>
      <c r="CE28" s="187"/>
      <c r="CF28" s="187"/>
      <c r="CG28" s="187"/>
      <c r="CH28" s="187"/>
      <c r="CI28" s="187"/>
      <c r="CJ28" s="187"/>
      <c r="CK28" s="187"/>
      <c r="CL28" s="187"/>
      <c r="CM28" s="187"/>
      <c r="CN28" s="187"/>
      <c r="CO28" s="187"/>
      <c r="CP28" s="187"/>
      <c r="CQ28" s="187"/>
      <c r="CR28" s="187"/>
      <c r="CS28" s="187"/>
      <c r="CT28" s="187"/>
      <c r="CU28" s="187"/>
      <c r="CV28" s="187"/>
      <c r="CW28" s="187"/>
      <c r="CX28" s="187"/>
      <c r="CY28" s="187"/>
      <c r="CZ28" s="187"/>
      <c r="DA28" s="187"/>
      <c r="DB28" s="187"/>
      <c r="DC28" s="187"/>
      <c r="DD28" s="187"/>
      <c r="DE28" s="187"/>
      <c r="DF28" s="187"/>
      <c r="DG28" s="187"/>
      <c r="DH28" s="187"/>
      <c r="DI28" s="187"/>
      <c r="DJ28" s="187"/>
      <c r="DK28" s="187"/>
      <c r="DL28" s="187"/>
      <c r="DM28" s="187"/>
      <c r="DN28" s="187"/>
      <c r="DO28" s="187"/>
      <c r="DP28" s="187"/>
      <c r="DQ28" s="187"/>
      <c r="DR28" s="187"/>
      <c r="DS28" s="187"/>
      <c r="DT28" s="187"/>
      <c r="DU28" s="187"/>
      <c r="DV28" s="187"/>
      <c r="DW28" s="187"/>
      <c r="DX28" s="187"/>
      <c r="DY28" s="187"/>
      <c r="DZ28" s="187"/>
      <c r="EA28" s="187"/>
      <c r="EB28" s="187"/>
      <c r="EC28" s="187"/>
      <c r="ED28" s="187"/>
      <c r="EE28" s="187"/>
      <c r="EF28" s="187"/>
      <c r="EG28" s="187"/>
      <c r="EH28" s="187"/>
      <c r="EI28" s="187"/>
      <c r="EJ28" s="187"/>
      <c r="EK28" s="187"/>
      <c r="EL28" s="187"/>
      <c r="EM28" s="187"/>
      <c r="EN28" s="187"/>
      <c r="EO28" s="187"/>
      <c r="EP28" s="187"/>
      <c r="EQ28" s="187"/>
      <c r="ER28" s="187"/>
      <c r="ES28" s="187"/>
      <c r="ET28" s="187"/>
      <c r="EU28" s="187"/>
      <c r="EV28" s="187"/>
      <c r="EW28" s="187"/>
      <c r="EX28" s="187"/>
      <c r="EY28" s="187"/>
      <c r="EZ28" s="187"/>
      <c r="FA28" s="187"/>
      <c r="FB28" s="187"/>
      <c r="FC28" s="187"/>
    </row>
    <row r="29" spans="1:159" ht="15" x14ac:dyDescent="0.25">
      <c r="A29" s="187" t="s">
        <v>116</v>
      </c>
      <c r="B29" s="187" t="s">
        <v>117</v>
      </c>
      <c r="C29" s="187">
        <v>11227</v>
      </c>
      <c r="D29" s="187">
        <v>66</v>
      </c>
      <c r="E29" s="187">
        <v>508</v>
      </c>
      <c r="F29" s="187">
        <v>1100</v>
      </c>
      <c r="G29" s="187">
        <v>1488</v>
      </c>
      <c r="H29" s="187">
        <v>14389</v>
      </c>
      <c r="I29" s="187">
        <v>12901</v>
      </c>
      <c r="J29" s="187">
        <v>55</v>
      </c>
      <c r="K29" s="187">
        <v>105.17</v>
      </c>
      <c r="L29" s="187">
        <v>104.32</v>
      </c>
      <c r="M29" s="187">
        <v>8.7200000000000006</v>
      </c>
      <c r="N29" s="187">
        <v>111.42</v>
      </c>
      <c r="O29" s="187">
        <v>9237</v>
      </c>
      <c r="P29" s="187">
        <v>110.71</v>
      </c>
      <c r="Q29" s="187">
        <v>98.74</v>
      </c>
      <c r="R29" s="187">
        <v>50.23</v>
      </c>
      <c r="S29" s="187">
        <v>159.30000000000001</v>
      </c>
      <c r="T29" s="187">
        <v>1277</v>
      </c>
      <c r="U29" s="187">
        <v>149.29</v>
      </c>
      <c r="V29" s="187">
        <v>1657</v>
      </c>
      <c r="W29" s="187">
        <v>142.54</v>
      </c>
      <c r="X29" s="187">
        <v>23</v>
      </c>
      <c r="Y29" s="187">
        <v>0</v>
      </c>
      <c r="Z29" s="187">
        <v>5</v>
      </c>
      <c r="AA29" s="187">
        <v>9</v>
      </c>
      <c r="AB29" s="187">
        <v>69</v>
      </c>
      <c r="AC29" s="187">
        <v>43</v>
      </c>
      <c r="AD29" s="187">
        <v>11039</v>
      </c>
      <c r="AE29" s="187">
        <v>110</v>
      </c>
      <c r="AF29" s="187">
        <v>25</v>
      </c>
      <c r="AG29" s="187">
        <v>135</v>
      </c>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87"/>
      <c r="BN29" s="187"/>
      <c r="BO29" s="187"/>
      <c r="BP29" s="187"/>
      <c r="BQ29" s="187"/>
      <c r="BR29" s="187"/>
      <c r="BS29" s="187"/>
      <c r="BT29" s="187"/>
      <c r="BU29" s="187"/>
      <c r="BV29" s="187"/>
      <c r="BW29" s="187"/>
      <c r="BX29" s="187"/>
      <c r="BY29" s="187"/>
      <c r="BZ29" s="187"/>
      <c r="CA29" s="187"/>
      <c r="CB29" s="187"/>
      <c r="CC29" s="187"/>
      <c r="CD29" s="187"/>
      <c r="CE29" s="187"/>
      <c r="CF29" s="187"/>
      <c r="CG29" s="187"/>
      <c r="CH29" s="187"/>
      <c r="CI29" s="187"/>
      <c r="CJ29" s="187"/>
      <c r="CK29" s="187"/>
      <c r="CL29" s="187"/>
      <c r="CM29" s="187"/>
      <c r="CN29" s="187"/>
      <c r="CO29" s="187"/>
      <c r="CP29" s="187"/>
      <c r="CQ29" s="187"/>
      <c r="CR29" s="187"/>
      <c r="CS29" s="187"/>
      <c r="CT29" s="187"/>
      <c r="CU29" s="187"/>
      <c r="CV29" s="187"/>
      <c r="CW29" s="187"/>
      <c r="CX29" s="187"/>
      <c r="CY29" s="187"/>
      <c r="CZ29" s="187"/>
      <c r="DA29" s="187"/>
      <c r="DB29" s="187"/>
      <c r="DC29" s="187"/>
      <c r="DD29" s="187"/>
      <c r="DE29" s="187"/>
      <c r="DF29" s="187"/>
      <c r="DG29" s="187"/>
      <c r="DH29" s="187"/>
      <c r="DI29" s="187"/>
      <c r="DJ29" s="187"/>
      <c r="DK29" s="187"/>
      <c r="DL29" s="187"/>
      <c r="DM29" s="187"/>
      <c r="DN29" s="187"/>
      <c r="DO29" s="187"/>
      <c r="DP29" s="187"/>
      <c r="DQ29" s="187"/>
      <c r="DR29" s="187"/>
      <c r="DS29" s="187"/>
      <c r="DT29" s="187"/>
      <c r="DU29" s="187"/>
      <c r="DV29" s="187"/>
      <c r="DW29" s="187"/>
      <c r="DX29" s="187"/>
      <c r="DY29" s="187"/>
      <c r="DZ29" s="187"/>
      <c r="EA29" s="187"/>
      <c r="EB29" s="187"/>
      <c r="EC29" s="187"/>
      <c r="ED29" s="187"/>
      <c r="EE29" s="187"/>
      <c r="EF29" s="187"/>
      <c r="EG29" s="187"/>
      <c r="EH29" s="187"/>
      <c r="EI29" s="187"/>
      <c r="EJ29" s="187"/>
      <c r="EK29" s="187"/>
      <c r="EL29" s="187"/>
      <c r="EM29" s="187"/>
      <c r="EN29" s="187"/>
      <c r="EO29" s="187"/>
      <c r="EP29" s="187"/>
      <c r="EQ29" s="187"/>
      <c r="ER29" s="187"/>
      <c r="ES29" s="187"/>
      <c r="ET29" s="187"/>
      <c r="EU29" s="187"/>
      <c r="EV29" s="187"/>
      <c r="EW29" s="187"/>
      <c r="EX29" s="187"/>
      <c r="EY29" s="187"/>
      <c r="EZ29" s="187"/>
      <c r="FA29" s="187"/>
      <c r="FB29" s="187"/>
      <c r="FC29" s="187"/>
    </row>
    <row r="30" spans="1:159" ht="15" x14ac:dyDescent="0.25">
      <c r="A30" s="187" t="s">
        <v>118</v>
      </c>
      <c r="B30" s="187" t="s">
        <v>119</v>
      </c>
      <c r="C30" s="187">
        <v>12691</v>
      </c>
      <c r="D30" s="187">
        <v>54</v>
      </c>
      <c r="E30" s="187">
        <v>162</v>
      </c>
      <c r="F30" s="187">
        <v>1331</v>
      </c>
      <c r="G30" s="187">
        <v>1508</v>
      </c>
      <c r="H30" s="187">
        <v>15746</v>
      </c>
      <c r="I30" s="187">
        <v>14238</v>
      </c>
      <c r="J30" s="187">
        <v>45</v>
      </c>
      <c r="K30" s="187">
        <v>118.31</v>
      </c>
      <c r="L30" s="187">
        <v>114.88</v>
      </c>
      <c r="M30" s="187">
        <v>10.06</v>
      </c>
      <c r="N30" s="187">
        <v>127.46</v>
      </c>
      <c r="O30" s="187">
        <v>9635</v>
      </c>
      <c r="P30" s="187">
        <v>104.64</v>
      </c>
      <c r="Q30" s="187">
        <v>98.09</v>
      </c>
      <c r="R30" s="187">
        <v>42.48</v>
      </c>
      <c r="S30" s="187">
        <v>145.44</v>
      </c>
      <c r="T30" s="187">
        <v>1320</v>
      </c>
      <c r="U30" s="187">
        <v>176.65</v>
      </c>
      <c r="V30" s="187">
        <v>1971</v>
      </c>
      <c r="W30" s="187">
        <v>0</v>
      </c>
      <c r="X30" s="187">
        <v>0</v>
      </c>
      <c r="Y30" s="187">
        <v>0</v>
      </c>
      <c r="Z30" s="187">
        <v>14</v>
      </c>
      <c r="AA30" s="187">
        <v>15</v>
      </c>
      <c r="AB30" s="187">
        <v>168</v>
      </c>
      <c r="AC30" s="187">
        <v>43</v>
      </c>
      <c r="AD30" s="187">
        <v>11751</v>
      </c>
      <c r="AE30" s="187">
        <v>109</v>
      </c>
      <c r="AF30" s="187">
        <v>226</v>
      </c>
      <c r="AG30" s="187">
        <v>335</v>
      </c>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c r="BK30" s="187"/>
      <c r="BL30" s="187"/>
      <c r="BM30" s="187"/>
      <c r="BN30" s="187"/>
      <c r="BO30" s="187"/>
      <c r="BP30" s="187"/>
      <c r="BQ30" s="187"/>
      <c r="BR30" s="187"/>
      <c r="BS30" s="187"/>
      <c r="BT30" s="187"/>
      <c r="BU30" s="187"/>
      <c r="BV30" s="187"/>
      <c r="BW30" s="187"/>
      <c r="BX30" s="187"/>
      <c r="BY30" s="187"/>
      <c r="BZ30" s="187"/>
      <c r="CA30" s="187"/>
      <c r="CB30" s="187"/>
      <c r="CC30" s="187"/>
      <c r="CD30" s="187"/>
      <c r="CE30" s="187"/>
      <c r="CF30" s="187"/>
      <c r="CG30" s="187"/>
      <c r="CH30" s="187"/>
      <c r="CI30" s="187"/>
      <c r="CJ30" s="187"/>
      <c r="CK30" s="187"/>
      <c r="CL30" s="187"/>
      <c r="CM30" s="187"/>
      <c r="CN30" s="187"/>
      <c r="CO30" s="187"/>
      <c r="CP30" s="187"/>
      <c r="CQ30" s="187"/>
      <c r="CR30" s="187"/>
      <c r="CS30" s="187"/>
      <c r="CT30" s="187"/>
      <c r="CU30" s="187"/>
      <c r="CV30" s="187"/>
      <c r="CW30" s="187"/>
      <c r="CX30" s="187"/>
      <c r="CY30" s="187"/>
      <c r="CZ30" s="187"/>
      <c r="DA30" s="187"/>
      <c r="DB30" s="187"/>
      <c r="DC30" s="187"/>
      <c r="DD30" s="187"/>
      <c r="DE30" s="187"/>
      <c r="DF30" s="187"/>
      <c r="DG30" s="187"/>
      <c r="DH30" s="187"/>
      <c r="DI30" s="187"/>
      <c r="DJ30" s="187"/>
      <c r="DK30" s="187"/>
      <c r="DL30" s="187"/>
      <c r="DM30" s="187"/>
      <c r="DN30" s="187"/>
      <c r="DO30" s="187"/>
      <c r="DP30" s="187"/>
      <c r="DQ30" s="187"/>
      <c r="DR30" s="187"/>
      <c r="DS30" s="187"/>
      <c r="DT30" s="187"/>
      <c r="DU30" s="187"/>
      <c r="DV30" s="187"/>
      <c r="DW30" s="187"/>
      <c r="DX30" s="187"/>
      <c r="DY30" s="187"/>
      <c r="DZ30" s="187"/>
      <c r="EA30" s="187"/>
      <c r="EB30" s="187"/>
      <c r="EC30" s="187"/>
      <c r="ED30" s="187"/>
      <c r="EE30" s="187"/>
      <c r="EF30" s="187"/>
      <c r="EG30" s="187"/>
      <c r="EH30" s="187"/>
      <c r="EI30" s="187"/>
      <c r="EJ30" s="187"/>
      <c r="EK30" s="187"/>
      <c r="EL30" s="187"/>
      <c r="EM30" s="187"/>
      <c r="EN30" s="187"/>
      <c r="EO30" s="187"/>
      <c r="EP30" s="187"/>
      <c r="EQ30" s="187"/>
      <c r="ER30" s="187"/>
      <c r="ES30" s="187"/>
      <c r="ET30" s="187"/>
      <c r="EU30" s="187"/>
      <c r="EV30" s="187"/>
      <c r="EW30" s="187"/>
      <c r="EX30" s="187"/>
      <c r="EY30" s="187"/>
      <c r="EZ30" s="187"/>
      <c r="FA30" s="187"/>
      <c r="FB30" s="187"/>
      <c r="FC30" s="187"/>
    </row>
    <row r="31" spans="1:159" ht="15" x14ac:dyDescent="0.25">
      <c r="A31" s="187" t="s">
        <v>120</v>
      </c>
      <c r="B31" s="187" t="s">
        <v>121</v>
      </c>
      <c r="C31" s="187">
        <v>33593</v>
      </c>
      <c r="D31" s="187">
        <v>269</v>
      </c>
      <c r="E31" s="187">
        <v>6259</v>
      </c>
      <c r="F31" s="187">
        <v>4827</v>
      </c>
      <c r="G31" s="187">
        <v>3143</v>
      </c>
      <c r="H31" s="187">
        <v>48091</v>
      </c>
      <c r="I31" s="187">
        <v>44948</v>
      </c>
      <c r="J31" s="187">
        <v>315</v>
      </c>
      <c r="K31" s="187">
        <v>99.04</v>
      </c>
      <c r="L31" s="187">
        <v>97.7</v>
      </c>
      <c r="M31" s="187">
        <v>8.77</v>
      </c>
      <c r="N31" s="187">
        <v>105.74</v>
      </c>
      <c r="O31" s="187">
        <v>29875</v>
      </c>
      <c r="P31" s="187">
        <v>88.72</v>
      </c>
      <c r="Q31" s="187">
        <v>84.31</v>
      </c>
      <c r="R31" s="187">
        <v>89.4</v>
      </c>
      <c r="S31" s="187">
        <v>175.96</v>
      </c>
      <c r="T31" s="187">
        <v>7584</v>
      </c>
      <c r="U31" s="187">
        <v>127.97</v>
      </c>
      <c r="V31" s="187">
        <v>1811</v>
      </c>
      <c r="W31" s="187">
        <v>124.25</v>
      </c>
      <c r="X31" s="187">
        <v>33</v>
      </c>
      <c r="Y31" s="187">
        <v>104</v>
      </c>
      <c r="Z31" s="187">
        <v>33</v>
      </c>
      <c r="AA31" s="187">
        <v>200</v>
      </c>
      <c r="AB31" s="187">
        <v>35</v>
      </c>
      <c r="AC31" s="187">
        <v>75</v>
      </c>
      <c r="AD31" s="187">
        <v>32181</v>
      </c>
      <c r="AE31" s="187">
        <v>157</v>
      </c>
      <c r="AF31" s="187">
        <v>139</v>
      </c>
      <c r="AG31" s="187">
        <v>296</v>
      </c>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c r="BS31" s="187"/>
      <c r="BT31" s="187"/>
      <c r="BU31" s="187"/>
      <c r="BV31" s="187"/>
      <c r="BW31" s="187"/>
      <c r="BX31" s="187"/>
      <c r="BY31" s="187"/>
      <c r="BZ31" s="187"/>
      <c r="CA31" s="187"/>
      <c r="CB31" s="187"/>
      <c r="CC31" s="187"/>
      <c r="CD31" s="187"/>
      <c r="CE31" s="187"/>
      <c r="CF31" s="187"/>
      <c r="CG31" s="187"/>
      <c r="CH31" s="187"/>
      <c r="CI31" s="187"/>
      <c r="CJ31" s="187"/>
      <c r="CK31" s="187"/>
      <c r="CL31" s="187"/>
      <c r="CM31" s="187"/>
      <c r="CN31" s="187"/>
      <c r="CO31" s="187"/>
      <c r="CP31" s="187"/>
      <c r="CQ31" s="187"/>
      <c r="CR31" s="187"/>
      <c r="CS31" s="187"/>
      <c r="CT31" s="187"/>
      <c r="CU31" s="187"/>
      <c r="CV31" s="187"/>
      <c r="CW31" s="187"/>
      <c r="CX31" s="187"/>
      <c r="CY31" s="187"/>
      <c r="CZ31" s="187"/>
      <c r="DA31" s="187"/>
      <c r="DB31" s="187"/>
      <c r="DC31" s="187"/>
      <c r="DD31" s="187"/>
      <c r="DE31" s="187"/>
      <c r="DF31" s="187"/>
      <c r="DG31" s="187"/>
      <c r="DH31" s="187"/>
      <c r="DI31" s="187"/>
      <c r="DJ31" s="187"/>
      <c r="DK31" s="187"/>
      <c r="DL31" s="187"/>
      <c r="DM31" s="187"/>
      <c r="DN31" s="187"/>
      <c r="DO31" s="187"/>
      <c r="DP31" s="187"/>
      <c r="DQ31" s="187"/>
      <c r="DR31" s="187"/>
      <c r="DS31" s="187"/>
      <c r="DT31" s="187"/>
      <c r="DU31" s="187"/>
      <c r="DV31" s="187"/>
      <c r="DW31" s="187"/>
      <c r="DX31" s="187"/>
      <c r="DY31" s="187"/>
      <c r="DZ31" s="187"/>
      <c r="EA31" s="187"/>
      <c r="EB31" s="187"/>
      <c r="EC31" s="187"/>
      <c r="ED31" s="187"/>
      <c r="EE31" s="187"/>
      <c r="EF31" s="187"/>
      <c r="EG31" s="187"/>
      <c r="EH31" s="187"/>
      <c r="EI31" s="187"/>
      <c r="EJ31" s="187"/>
      <c r="EK31" s="187"/>
      <c r="EL31" s="187"/>
      <c r="EM31" s="187"/>
      <c r="EN31" s="187"/>
      <c r="EO31" s="187"/>
      <c r="EP31" s="187"/>
      <c r="EQ31" s="187"/>
      <c r="ER31" s="187"/>
      <c r="ES31" s="187"/>
      <c r="ET31" s="187"/>
      <c r="EU31" s="187"/>
      <c r="EV31" s="187"/>
      <c r="EW31" s="187"/>
      <c r="EX31" s="187"/>
      <c r="EY31" s="187"/>
      <c r="EZ31" s="187"/>
      <c r="FA31" s="187"/>
      <c r="FB31" s="187"/>
      <c r="FC31" s="187"/>
    </row>
    <row r="32" spans="1:159" ht="15" x14ac:dyDescent="0.25">
      <c r="A32" s="187" t="s">
        <v>122</v>
      </c>
      <c r="B32" s="187" t="s">
        <v>123</v>
      </c>
      <c r="C32" s="187">
        <v>2310</v>
      </c>
      <c r="D32" s="187">
        <v>0</v>
      </c>
      <c r="E32" s="187">
        <v>126</v>
      </c>
      <c r="F32" s="187">
        <v>1361</v>
      </c>
      <c r="G32" s="187">
        <v>402</v>
      </c>
      <c r="H32" s="187">
        <v>4199</v>
      </c>
      <c r="I32" s="187">
        <v>3797</v>
      </c>
      <c r="J32" s="187">
        <v>120</v>
      </c>
      <c r="K32" s="187">
        <v>94.32</v>
      </c>
      <c r="L32" s="187">
        <v>100.11</v>
      </c>
      <c r="M32" s="187">
        <v>5.54</v>
      </c>
      <c r="N32" s="187">
        <v>97.91</v>
      </c>
      <c r="O32" s="187">
        <v>1670</v>
      </c>
      <c r="P32" s="187">
        <v>81.81</v>
      </c>
      <c r="Q32" s="187">
        <v>92.82</v>
      </c>
      <c r="R32" s="187">
        <v>19.100000000000001</v>
      </c>
      <c r="S32" s="187">
        <v>100.55</v>
      </c>
      <c r="T32" s="187">
        <v>1363</v>
      </c>
      <c r="U32" s="187">
        <v>121.98</v>
      </c>
      <c r="V32" s="187">
        <v>552</v>
      </c>
      <c r="W32" s="187">
        <v>212.85</v>
      </c>
      <c r="X32" s="187">
        <v>114</v>
      </c>
      <c r="Y32" s="187">
        <v>0</v>
      </c>
      <c r="Z32" s="187">
        <v>2</v>
      </c>
      <c r="AA32" s="187">
        <v>7</v>
      </c>
      <c r="AB32" s="187">
        <v>7</v>
      </c>
      <c r="AC32" s="187">
        <v>8</v>
      </c>
      <c r="AD32" s="187">
        <v>2310</v>
      </c>
      <c r="AE32" s="187">
        <v>5</v>
      </c>
      <c r="AF32" s="187">
        <v>24</v>
      </c>
      <c r="AG32" s="187">
        <v>29</v>
      </c>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S32" s="187"/>
      <c r="BT32" s="187"/>
      <c r="BU32" s="187"/>
      <c r="BV32" s="187"/>
      <c r="BW32" s="187"/>
      <c r="BX32" s="187"/>
      <c r="BY32" s="187"/>
      <c r="BZ32" s="187"/>
      <c r="CA32" s="187"/>
      <c r="CB32" s="187"/>
      <c r="CC32" s="187"/>
      <c r="CD32" s="187"/>
      <c r="CE32" s="187"/>
      <c r="CF32" s="187"/>
      <c r="CG32" s="187"/>
      <c r="CH32" s="187"/>
      <c r="CI32" s="187"/>
      <c r="CJ32" s="187"/>
      <c r="CK32" s="187"/>
      <c r="CL32" s="187"/>
      <c r="CM32" s="187"/>
      <c r="CN32" s="187"/>
      <c r="CO32" s="187"/>
      <c r="CP32" s="187"/>
      <c r="CQ32" s="187"/>
      <c r="CR32" s="187"/>
      <c r="CS32" s="187"/>
      <c r="CT32" s="187"/>
      <c r="CU32" s="187"/>
      <c r="CV32" s="187"/>
      <c r="CW32" s="187"/>
      <c r="CX32" s="187"/>
      <c r="CY32" s="187"/>
      <c r="CZ32" s="187"/>
      <c r="DA32" s="187"/>
      <c r="DB32" s="187"/>
      <c r="DC32" s="187"/>
      <c r="DD32" s="187"/>
      <c r="DE32" s="187"/>
      <c r="DF32" s="187"/>
      <c r="DG32" s="187"/>
      <c r="DH32" s="187"/>
      <c r="DI32" s="187"/>
      <c r="DJ32" s="187"/>
      <c r="DK32" s="187"/>
      <c r="DL32" s="187"/>
      <c r="DM32" s="187"/>
      <c r="DN32" s="187"/>
      <c r="DO32" s="187"/>
      <c r="DP32" s="187"/>
      <c r="DQ32" s="187"/>
      <c r="DR32" s="187"/>
      <c r="DS32" s="187"/>
      <c r="DT32" s="187"/>
      <c r="DU32" s="187"/>
      <c r="DV32" s="187"/>
      <c r="DW32" s="187"/>
      <c r="DX32" s="187"/>
      <c r="DY32" s="187"/>
      <c r="DZ32" s="187"/>
      <c r="EA32" s="187"/>
      <c r="EB32" s="187"/>
      <c r="EC32" s="187"/>
      <c r="ED32" s="187"/>
      <c r="EE32" s="187"/>
      <c r="EF32" s="187"/>
      <c r="EG32" s="187"/>
      <c r="EH32" s="187"/>
      <c r="EI32" s="187"/>
      <c r="EJ32" s="187"/>
      <c r="EK32" s="187"/>
      <c r="EL32" s="187"/>
      <c r="EM32" s="187"/>
      <c r="EN32" s="187"/>
      <c r="EO32" s="187"/>
      <c r="EP32" s="187"/>
      <c r="EQ32" s="187"/>
      <c r="ER32" s="187"/>
      <c r="ES32" s="187"/>
      <c r="ET32" s="187"/>
      <c r="EU32" s="187"/>
      <c r="EV32" s="187"/>
      <c r="EW32" s="187"/>
      <c r="EX32" s="187"/>
      <c r="EY32" s="187"/>
      <c r="EZ32" s="187"/>
      <c r="FA32" s="187"/>
      <c r="FB32" s="187"/>
      <c r="FC32" s="187"/>
    </row>
    <row r="33" spans="1:159" ht="15" x14ac:dyDescent="0.25">
      <c r="A33" s="187" t="s">
        <v>124</v>
      </c>
      <c r="B33" s="187" t="s">
        <v>125</v>
      </c>
      <c r="C33" s="187">
        <v>10100</v>
      </c>
      <c r="D33" s="187">
        <v>0</v>
      </c>
      <c r="E33" s="187">
        <v>536</v>
      </c>
      <c r="F33" s="187">
        <v>947</v>
      </c>
      <c r="G33" s="187">
        <v>235</v>
      </c>
      <c r="H33" s="187">
        <v>11818</v>
      </c>
      <c r="I33" s="187">
        <v>11583</v>
      </c>
      <c r="J33" s="187">
        <v>3</v>
      </c>
      <c r="K33" s="187">
        <v>83.27</v>
      </c>
      <c r="L33" s="187">
        <v>79.73</v>
      </c>
      <c r="M33" s="187">
        <v>3.04</v>
      </c>
      <c r="N33" s="187">
        <v>86</v>
      </c>
      <c r="O33" s="187">
        <v>8387</v>
      </c>
      <c r="P33" s="187">
        <v>99.34</v>
      </c>
      <c r="Q33" s="187">
        <v>78.78</v>
      </c>
      <c r="R33" s="187">
        <v>64.02</v>
      </c>
      <c r="S33" s="187">
        <v>161.9</v>
      </c>
      <c r="T33" s="187">
        <v>1316</v>
      </c>
      <c r="U33" s="187">
        <v>104.11</v>
      </c>
      <c r="V33" s="187">
        <v>1650</v>
      </c>
      <c r="W33" s="187">
        <v>187.75</v>
      </c>
      <c r="X33" s="187">
        <v>85</v>
      </c>
      <c r="Y33" s="187">
        <v>0</v>
      </c>
      <c r="Z33" s="187">
        <v>62</v>
      </c>
      <c r="AA33" s="187">
        <v>12</v>
      </c>
      <c r="AB33" s="187">
        <v>21</v>
      </c>
      <c r="AC33" s="187">
        <v>7</v>
      </c>
      <c r="AD33" s="187">
        <v>10091</v>
      </c>
      <c r="AE33" s="187">
        <v>88</v>
      </c>
      <c r="AF33" s="187">
        <v>128</v>
      </c>
      <c r="AG33" s="187">
        <v>216</v>
      </c>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7"/>
      <c r="CF33" s="187"/>
      <c r="CG33" s="187"/>
      <c r="CH33" s="187"/>
      <c r="CI33" s="187"/>
      <c r="CJ33" s="187"/>
      <c r="CK33" s="187"/>
      <c r="CL33" s="187"/>
      <c r="CM33" s="187"/>
      <c r="CN33" s="187"/>
      <c r="CO33" s="187"/>
      <c r="CP33" s="187"/>
      <c r="CQ33" s="187"/>
      <c r="CR33" s="187"/>
      <c r="CS33" s="187"/>
      <c r="CT33" s="187"/>
      <c r="CU33" s="187"/>
      <c r="CV33" s="187"/>
      <c r="CW33" s="187"/>
      <c r="CX33" s="187"/>
      <c r="CY33" s="187"/>
      <c r="CZ33" s="187"/>
      <c r="DA33" s="187"/>
      <c r="DB33" s="187"/>
      <c r="DC33" s="187"/>
      <c r="DD33" s="187"/>
      <c r="DE33" s="187"/>
      <c r="DF33" s="187"/>
      <c r="DG33" s="187"/>
      <c r="DH33" s="187"/>
      <c r="DI33" s="187"/>
      <c r="DJ33" s="187"/>
      <c r="DK33" s="187"/>
      <c r="DL33" s="187"/>
      <c r="DM33" s="187"/>
      <c r="DN33" s="187"/>
      <c r="DO33" s="187"/>
      <c r="DP33" s="187"/>
      <c r="DQ33" s="187"/>
      <c r="DR33" s="187"/>
      <c r="DS33" s="187"/>
      <c r="DT33" s="187"/>
      <c r="DU33" s="187"/>
      <c r="DV33" s="187"/>
      <c r="DW33" s="187"/>
      <c r="DX33" s="187"/>
      <c r="DY33" s="187"/>
      <c r="DZ33" s="187"/>
      <c r="EA33" s="187"/>
      <c r="EB33" s="187"/>
      <c r="EC33" s="187"/>
      <c r="ED33" s="187"/>
      <c r="EE33" s="187"/>
      <c r="EF33" s="187"/>
      <c r="EG33" s="187"/>
      <c r="EH33" s="187"/>
      <c r="EI33" s="187"/>
      <c r="EJ33" s="187"/>
      <c r="EK33" s="187"/>
      <c r="EL33" s="187"/>
      <c r="EM33" s="187"/>
      <c r="EN33" s="187"/>
      <c r="EO33" s="187"/>
      <c r="EP33" s="187"/>
      <c r="EQ33" s="187"/>
      <c r="ER33" s="187"/>
      <c r="ES33" s="187"/>
      <c r="ET33" s="187"/>
      <c r="EU33" s="187"/>
      <c r="EV33" s="187"/>
      <c r="EW33" s="187"/>
      <c r="EX33" s="187"/>
      <c r="EY33" s="187"/>
      <c r="EZ33" s="187"/>
      <c r="FA33" s="187"/>
      <c r="FB33" s="187"/>
      <c r="FC33" s="187"/>
    </row>
    <row r="34" spans="1:159" ht="15" x14ac:dyDescent="0.25">
      <c r="A34" s="187" t="s">
        <v>126</v>
      </c>
      <c r="B34" s="187" t="s">
        <v>127</v>
      </c>
      <c r="C34" s="187">
        <v>1797</v>
      </c>
      <c r="D34" s="187">
        <v>0</v>
      </c>
      <c r="E34" s="187">
        <v>435</v>
      </c>
      <c r="F34" s="187">
        <v>201</v>
      </c>
      <c r="G34" s="187">
        <v>148</v>
      </c>
      <c r="H34" s="187">
        <v>2581</v>
      </c>
      <c r="I34" s="187">
        <v>2433</v>
      </c>
      <c r="J34" s="187">
        <v>8</v>
      </c>
      <c r="K34" s="187">
        <v>91.91</v>
      </c>
      <c r="L34" s="187">
        <v>89.27</v>
      </c>
      <c r="M34" s="187">
        <v>5.52</v>
      </c>
      <c r="N34" s="187">
        <v>96.31</v>
      </c>
      <c r="O34" s="187">
        <v>1191</v>
      </c>
      <c r="P34" s="187">
        <v>114.76</v>
      </c>
      <c r="Q34" s="187">
        <v>89.71</v>
      </c>
      <c r="R34" s="187">
        <v>61.67</v>
      </c>
      <c r="S34" s="187">
        <v>169.98</v>
      </c>
      <c r="T34" s="187">
        <v>555</v>
      </c>
      <c r="U34" s="187">
        <v>112.11</v>
      </c>
      <c r="V34" s="187">
        <v>481</v>
      </c>
      <c r="W34" s="187">
        <v>0</v>
      </c>
      <c r="X34" s="187">
        <v>0</v>
      </c>
      <c r="Y34" s="187">
        <v>0</v>
      </c>
      <c r="Z34" s="187">
        <v>2</v>
      </c>
      <c r="AA34" s="187">
        <v>4</v>
      </c>
      <c r="AB34" s="187">
        <v>3</v>
      </c>
      <c r="AC34" s="187">
        <v>3</v>
      </c>
      <c r="AD34" s="187">
        <v>1667</v>
      </c>
      <c r="AE34" s="187">
        <v>11</v>
      </c>
      <c r="AF34" s="187">
        <v>12</v>
      </c>
      <c r="AG34" s="187">
        <v>23</v>
      </c>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c r="CS34" s="187"/>
      <c r="CT34" s="187"/>
      <c r="CU34" s="187"/>
      <c r="CV34" s="187"/>
      <c r="CW34" s="187"/>
      <c r="CX34" s="187"/>
      <c r="CY34" s="187"/>
      <c r="CZ34" s="187"/>
      <c r="DA34" s="187"/>
      <c r="DB34" s="187"/>
      <c r="DC34" s="187"/>
      <c r="DD34" s="187"/>
      <c r="DE34" s="187"/>
      <c r="DF34" s="187"/>
      <c r="DG34" s="187"/>
      <c r="DH34" s="187"/>
      <c r="DI34" s="187"/>
      <c r="DJ34" s="187"/>
      <c r="DK34" s="187"/>
      <c r="DL34" s="187"/>
      <c r="DM34" s="187"/>
      <c r="DN34" s="187"/>
      <c r="DO34" s="187"/>
      <c r="DP34" s="187"/>
      <c r="DQ34" s="187"/>
      <c r="DR34" s="187"/>
      <c r="DS34" s="187"/>
      <c r="DT34" s="187"/>
      <c r="DU34" s="187"/>
      <c r="DV34" s="187"/>
      <c r="DW34" s="187"/>
      <c r="DX34" s="187"/>
      <c r="DY34" s="187"/>
      <c r="DZ34" s="187"/>
      <c r="EA34" s="187"/>
      <c r="EB34" s="187"/>
      <c r="EC34" s="187"/>
      <c r="ED34" s="187"/>
      <c r="EE34" s="187"/>
      <c r="EF34" s="187"/>
      <c r="EG34" s="187"/>
      <c r="EH34" s="187"/>
      <c r="EI34" s="187"/>
      <c r="EJ34" s="187"/>
      <c r="EK34" s="187"/>
      <c r="EL34" s="187"/>
      <c r="EM34" s="187"/>
      <c r="EN34" s="187"/>
      <c r="EO34" s="187"/>
      <c r="EP34" s="187"/>
      <c r="EQ34" s="187"/>
      <c r="ER34" s="187"/>
      <c r="ES34" s="187"/>
      <c r="ET34" s="187"/>
      <c r="EU34" s="187"/>
      <c r="EV34" s="187"/>
      <c r="EW34" s="187"/>
      <c r="EX34" s="187"/>
      <c r="EY34" s="187"/>
      <c r="EZ34" s="187"/>
      <c r="FA34" s="187"/>
      <c r="FB34" s="187"/>
      <c r="FC34" s="187"/>
    </row>
    <row r="35" spans="1:159" ht="15" x14ac:dyDescent="0.25">
      <c r="A35" s="187" t="s">
        <v>128</v>
      </c>
      <c r="B35" s="187" t="s">
        <v>129</v>
      </c>
      <c r="C35" s="187">
        <v>810</v>
      </c>
      <c r="D35" s="187">
        <v>0</v>
      </c>
      <c r="E35" s="187">
        <v>90</v>
      </c>
      <c r="F35" s="187">
        <v>273</v>
      </c>
      <c r="G35" s="187">
        <v>98</v>
      </c>
      <c r="H35" s="187">
        <v>1271</v>
      </c>
      <c r="I35" s="187">
        <v>1173</v>
      </c>
      <c r="J35" s="187">
        <v>2</v>
      </c>
      <c r="K35" s="187">
        <v>95.57</v>
      </c>
      <c r="L35" s="187">
        <v>93.4</v>
      </c>
      <c r="M35" s="187">
        <v>4.1100000000000003</v>
      </c>
      <c r="N35" s="187">
        <v>98.14</v>
      </c>
      <c r="O35" s="187">
        <v>632</v>
      </c>
      <c r="P35" s="187">
        <v>105.95</v>
      </c>
      <c r="Q35" s="187">
        <v>90.62</v>
      </c>
      <c r="R35" s="187">
        <v>31.84</v>
      </c>
      <c r="S35" s="187">
        <v>134.66999999999999</v>
      </c>
      <c r="T35" s="187">
        <v>347</v>
      </c>
      <c r="U35" s="187">
        <v>103.85</v>
      </c>
      <c r="V35" s="187">
        <v>154</v>
      </c>
      <c r="W35" s="187">
        <v>0</v>
      </c>
      <c r="X35" s="187">
        <v>0</v>
      </c>
      <c r="Y35" s="187">
        <v>0</v>
      </c>
      <c r="Z35" s="187">
        <v>0</v>
      </c>
      <c r="AA35" s="187">
        <v>3</v>
      </c>
      <c r="AB35" s="187">
        <v>11</v>
      </c>
      <c r="AC35" s="187">
        <v>9</v>
      </c>
      <c r="AD35" s="187">
        <v>765</v>
      </c>
      <c r="AE35" s="187">
        <v>10</v>
      </c>
      <c r="AF35" s="187">
        <v>0</v>
      </c>
      <c r="AG35" s="187">
        <v>10</v>
      </c>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7"/>
      <c r="CF35" s="187"/>
      <c r="CG35" s="187"/>
      <c r="CH35" s="187"/>
      <c r="CI35" s="187"/>
      <c r="CJ35" s="187"/>
      <c r="CK35" s="187"/>
      <c r="CL35" s="187"/>
      <c r="CM35" s="187"/>
      <c r="CN35" s="187"/>
      <c r="CO35" s="187"/>
      <c r="CP35" s="187"/>
      <c r="CQ35" s="187"/>
      <c r="CR35" s="187"/>
      <c r="CS35" s="187"/>
      <c r="CT35" s="187"/>
      <c r="CU35" s="187"/>
      <c r="CV35" s="187"/>
      <c r="CW35" s="187"/>
      <c r="CX35" s="187"/>
      <c r="CY35" s="187"/>
      <c r="CZ35" s="187"/>
      <c r="DA35" s="187"/>
      <c r="DB35" s="187"/>
      <c r="DC35" s="187"/>
      <c r="DD35" s="187"/>
      <c r="DE35" s="187"/>
      <c r="DF35" s="187"/>
      <c r="DG35" s="187"/>
      <c r="DH35" s="187"/>
      <c r="DI35" s="187"/>
      <c r="DJ35" s="187"/>
      <c r="DK35" s="187"/>
      <c r="DL35" s="187"/>
      <c r="DM35" s="187"/>
      <c r="DN35" s="187"/>
      <c r="DO35" s="187"/>
      <c r="DP35" s="187"/>
      <c r="DQ35" s="187"/>
      <c r="DR35" s="187"/>
      <c r="DS35" s="187"/>
      <c r="DT35" s="187"/>
      <c r="DU35" s="187"/>
      <c r="DV35" s="187"/>
      <c r="DW35" s="187"/>
      <c r="DX35" s="187"/>
      <c r="DY35" s="187"/>
      <c r="DZ35" s="187"/>
      <c r="EA35" s="187"/>
      <c r="EB35" s="187"/>
      <c r="EC35" s="187"/>
      <c r="ED35" s="187"/>
      <c r="EE35" s="187"/>
      <c r="EF35" s="187"/>
      <c r="EG35" s="187"/>
      <c r="EH35" s="187"/>
      <c r="EI35" s="187"/>
      <c r="EJ35" s="187"/>
      <c r="EK35" s="187"/>
      <c r="EL35" s="187"/>
      <c r="EM35" s="187"/>
      <c r="EN35" s="187"/>
      <c r="EO35" s="187"/>
      <c r="EP35" s="187"/>
      <c r="EQ35" s="187"/>
      <c r="ER35" s="187"/>
      <c r="ES35" s="187"/>
      <c r="ET35" s="187"/>
      <c r="EU35" s="187"/>
      <c r="EV35" s="187"/>
      <c r="EW35" s="187"/>
      <c r="EX35" s="187"/>
      <c r="EY35" s="187"/>
      <c r="EZ35" s="187"/>
      <c r="FA35" s="187"/>
      <c r="FB35" s="187"/>
      <c r="FC35" s="187"/>
    </row>
    <row r="36" spans="1:159" ht="15" x14ac:dyDescent="0.25">
      <c r="A36" s="187" t="s">
        <v>130</v>
      </c>
      <c r="B36" s="187" t="s">
        <v>131</v>
      </c>
      <c r="C36" s="187">
        <v>21023</v>
      </c>
      <c r="D36" s="187">
        <v>11</v>
      </c>
      <c r="E36" s="187">
        <v>743</v>
      </c>
      <c r="F36" s="187">
        <v>3642</v>
      </c>
      <c r="G36" s="187">
        <v>448</v>
      </c>
      <c r="H36" s="187">
        <v>25867</v>
      </c>
      <c r="I36" s="187">
        <v>25419</v>
      </c>
      <c r="J36" s="187">
        <v>78</v>
      </c>
      <c r="K36" s="187">
        <v>82.65</v>
      </c>
      <c r="L36" s="187">
        <v>84.08</v>
      </c>
      <c r="M36" s="187">
        <v>3.89</v>
      </c>
      <c r="N36" s="187">
        <v>86.17</v>
      </c>
      <c r="O36" s="187">
        <v>17093</v>
      </c>
      <c r="P36" s="187">
        <v>82.75</v>
      </c>
      <c r="Q36" s="187">
        <v>77.5</v>
      </c>
      <c r="R36" s="187">
        <v>40.950000000000003</v>
      </c>
      <c r="S36" s="187">
        <v>123.28</v>
      </c>
      <c r="T36" s="187">
        <v>4320</v>
      </c>
      <c r="U36" s="187">
        <v>103.31</v>
      </c>
      <c r="V36" s="187">
        <v>3613</v>
      </c>
      <c r="W36" s="187">
        <v>127.2</v>
      </c>
      <c r="X36" s="187">
        <v>7</v>
      </c>
      <c r="Y36" s="187">
        <v>0</v>
      </c>
      <c r="Z36" s="187">
        <v>159</v>
      </c>
      <c r="AA36" s="187">
        <v>4</v>
      </c>
      <c r="AB36" s="187">
        <v>58</v>
      </c>
      <c r="AC36" s="187">
        <v>17</v>
      </c>
      <c r="AD36" s="187">
        <v>20948</v>
      </c>
      <c r="AE36" s="187">
        <v>124</v>
      </c>
      <c r="AF36" s="187">
        <v>431</v>
      </c>
      <c r="AG36" s="187">
        <v>555</v>
      </c>
      <c r="AH36" s="187"/>
      <c r="AI36" s="187"/>
      <c r="AJ36" s="187"/>
      <c r="AK36" s="187"/>
      <c r="AL36" s="187"/>
      <c r="AM36" s="187"/>
      <c r="AN36" s="187"/>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7"/>
      <c r="CF36" s="187"/>
      <c r="CG36" s="187"/>
      <c r="CH36" s="187"/>
      <c r="CI36" s="187"/>
      <c r="CJ36" s="187"/>
      <c r="CK36" s="187"/>
      <c r="CL36" s="187"/>
      <c r="CM36" s="187"/>
      <c r="CN36" s="187"/>
      <c r="CO36" s="187"/>
      <c r="CP36" s="187"/>
      <c r="CQ36" s="187"/>
      <c r="CR36" s="187"/>
      <c r="CS36" s="187"/>
      <c r="CT36" s="187"/>
      <c r="CU36" s="187"/>
      <c r="CV36" s="187"/>
      <c r="CW36" s="187"/>
      <c r="CX36" s="187"/>
      <c r="CY36" s="187"/>
      <c r="CZ36" s="187"/>
      <c r="DA36" s="187"/>
      <c r="DB36" s="187"/>
      <c r="DC36" s="187"/>
      <c r="DD36" s="187"/>
      <c r="DE36" s="187"/>
      <c r="DF36" s="187"/>
      <c r="DG36" s="187"/>
      <c r="DH36" s="187"/>
      <c r="DI36" s="187"/>
      <c r="DJ36" s="187"/>
      <c r="DK36" s="187"/>
      <c r="DL36" s="187"/>
      <c r="DM36" s="187"/>
      <c r="DN36" s="187"/>
      <c r="DO36" s="187"/>
      <c r="DP36" s="187"/>
      <c r="DQ36" s="187"/>
      <c r="DR36" s="187"/>
      <c r="DS36" s="187"/>
      <c r="DT36" s="187"/>
      <c r="DU36" s="187"/>
      <c r="DV36" s="187"/>
      <c r="DW36" s="187"/>
      <c r="DX36" s="187"/>
      <c r="DY36" s="187"/>
      <c r="DZ36" s="187"/>
      <c r="EA36" s="187"/>
      <c r="EB36" s="187"/>
      <c r="EC36" s="187"/>
      <c r="ED36" s="187"/>
      <c r="EE36" s="187"/>
      <c r="EF36" s="187"/>
      <c r="EG36" s="187"/>
      <c r="EH36" s="187"/>
      <c r="EI36" s="187"/>
      <c r="EJ36" s="187"/>
      <c r="EK36" s="187"/>
      <c r="EL36" s="187"/>
      <c r="EM36" s="187"/>
      <c r="EN36" s="187"/>
      <c r="EO36" s="187"/>
      <c r="EP36" s="187"/>
      <c r="EQ36" s="187"/>
      <c r="ER36" s="187"/>
      <c r="ES36" s="187"/>
      <c r="ET36" s="187"/>
      <c r="EU36" s="187"/>
      <c r="EV36" s="187"/>
      <c r="EW36" s="187"/>
      <c r="EX36" s="187"/>
      <c r="EY36" s="187"/>
      <c r="EZ36" s="187"/>
      <c r="FA36" s="187"/>
      <c r="FB36" s="187"/>
      <c r="FC36" s="187"/>
    </row>
    <row r="37" spans="1:159" ht="15" x14ac:dyDescent="0.25">
      <c r="A37" s="187" t="s">
        <v>132</v>
      </c>
      <c r="B37" s="187" t="s">
        <v>133</v>
      </c>
      <c r="C37" s="187">
        <v>4909</v>
      </c>
      <c r="D37" s="187">
        <v>0</v>
      </c>
      <c r="E37" s="187">
        <v>166</v>
      </c>
      <c r="F37" s="187">
        <v>906</v>
      </c>
      <c r="G37" s="187">
        <v>427</v>
      </c>
      <c r="H37" s="187">
        <v>6408</v>
      </c>
      <c r="I37" s="187">
        <v>5981</v>
      </c>
      <c r="J37" s="187">
        <v>7</v>
      </c>
      <c r="K37" s="187">
        <v>85.56</v>
      </c>
      <c r="L37" s="187">
        <v>82.42</v>
      </c>
      <c r="M37" s="187">
        <v>2.0499999999999998</v>
      </c>
      <c r="N37" s="187">
        <v>87.57</v>
      </c>
      <c r="O37" s="187">
        <v>4183</v>
      </c>
      <c r="P37" s="187">
        <v>85.43</v>
      </c>
      <c r="Q37" s="187">
        <v>75.010000000000005</v>
      </c>
      <c r="R37" s="187">
        <v>24.45</v>
      </c>
      <c r="S37" s="187">
        <v>109.85</v>
      </c>
      <c r="T37" s="187">
        <v>1038</v>
      </c>
      <c r="U37" s="187">
        <v>114.66</v>
      </c>
      <c r="V37" s="187">
        <v>574</v>
      </c>
      <c r="W37" s="187">
        <v>353.92</v>
      </c>
      <c r="X37" s="187">
        <v>6</v>
      </c>
      <c r="Y37" s="187">
        <v>0</v>
      </c>
      <c r="Z37" s="187">
        <v>13</v>
      </c>
      <c r="AA37" s="187">
        <v>0</v>
      </c>
      <c r="AB37" s="187">
        <v>29</v>
      </c>
      <c r="AC37" s="187">
        <v>3</v>
      </c>
      <c r="AD37" s="187">
        <v>4872</v>
      </c>
      <c r="AE37" s="187">
        <v>8</v>
      </c>
      <c r="AF37" s="187">
        <v>34</v>
      </c>
      <c r="AG37" s="187">
        <v>42</v>
      </c>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7"/>
      <c r="BQ37" s="187"/>
      <c r="BR37" s="187"/>
      <c r="BS37" s="187"/>
      <c r="BT37" s="187"/>
      <c r="BU37" s="187"/>
      <c r="BV37" s="187"/>
      <c r="BW37" s="187"/>
      <c r="BX37" s="187"/>
      <c r="BY37" s="187"/>
      <c r="BZ37" s="187"/>
      <c r="CA37" s="187"/>
      <c r="CB37" s="187"/>
      <c r="CC37" s="187"/>
      <c r="CD37" s="187"/>
      <c r="CE37" s="187"/>
      <c r="CF37" s="187"/>
      <c r="CG37" s="187"/>
      <c r="CH37" s="187"/>
      <c r="CI37" s="187"/>
      <c r="CJ37" s="187"/>
      <c r="CK37" s="187"/>
      <c r="CL37" s="187"/>
      <c r="CM37" s="187"/>
      <c r="CN37" s="187"/>
      <c r="CO37" s="187"/>
      <c r="CP37" s="187"/>
      <c r="CQ37" s="187"/>
      <c r="CR37" s="187"/>
      <c r="CS37" s="187"/>
      <c r="CT37" s="187"/>
      <c r="CU37" s="187"/>
      <c r="CV37" s="187"/>
      <c r="CW37" s="187"/>
      <c r="CX37" s="187"/>
      <c r="CY37" s="187"/>
      <c r="CZ37" s="187"/>
      <c r="DA37" s="187"/>
      <c r="DB37" s="187"/>
      <c r="DC37" s="187"/>
      <c r="DD37" s="187"/>
      <c r="DE37" s="187"/>
      <c r="DF37" s="187"/>
      <c r="DG37" s="187"/>
      <c r="DH37" s="187"/>
      <c r="DI37" s="187"/>
      <c r="DJ37" s="187"/>
      <c r="DK37" s="187"/>
      <c r="DL37" s="187"/>
      <c r="DM37" s="187"/>
      <c r="DN37" s="187"/>
      <c r="DO37" s="187"/>
      <c r="DP37" s="187"/>
      <c r="DQ37" s="187"/>
      <c r="DR37" s="187"/>
      <c r="DS37" s="187"/>
      <c r="DT37" s="187"/>
      <c r="DU37" s="187"/>
      <c r="DV37" s="187"/>
      <c r="DW37" s="187"/>
      <c r="DX37" s="187"/>
      <c r="DY37" s="187"/>
      <c r="DZ37" s="187"/>
      <c r="EA37" s="187"/>
      <c r="EB37" s="187"/>
      <c r="EC37" s="187"/>
      <c r="ED37" s="187"/>
      <c r="EE37" s="187"/>
      <c r="EF37" s="187"/>
      <c r="EG37" s="187"/>
      <c r="EH37" s="187"/>
      <c r="EI37" s="187"/>
      <c r="EJ37" s="187"/>
      <c r="EK37" s="187"/>
      <c r="EL37" s="187"/>
      <c r="EM37" s="187"/>
      <c r="EN37" s="187"/>
      <c r="EO37" s="187"/>
      <c r="EP37" s="187"/>
      <c r="EQ37" s="187"/>
      <c r="ER37" s="187"/>
      <c r="ES37" s="187"/>
      <c r="ET37" s="187"/>
      <c r="EU37" s="187"/>
      <c r="EV37" s="187"/>
      <c r="EW37" s="187"/>
      <c r="EX37" s="187"/>
      <c r="EY37" s="187"/>
      <c r="EZ37" s="187"/>
      <c r="FA37" s="187"/>
      <c r="FB37" s="187"/>
      <c r="FC37" s="187"/>
    </row>
    <row r="38" spans="1:159" ht="15" x14ac:dyDescent="0.25">
      <c r="A38" s="187" t="s">
        <v>134</v>
      </c>
      <c r="B38" s="187" t="s">
        <v>135</v>
      </c>
      <c r="C38" s="187">
        <v>6926</v>
      </c>
      <c r="D38" s="187">
        <v>13</v>
      </c>
      <c r="E38" s="187">
        <v>1291</v>
      </c>
      <c r="F38" s="187">
        <v>981</v>
      </c>
      <c r="G38" s="187">
        <v>998</v>
      </c>
      <c r="H38" s="187">
        <v>10209</v>
      </c>
      <c r="I38" s="187">
        <v>9211</v>
      </c>
      <c r="J38" s="187">
        <v>56</v>
      </c>
      <c r="K38" s="187">
        <v>110.52</v>
      </c>
      <c r="L38" s="187">
        <v>106.28</v>
      </c>
      <c r="M38" s="187">
        <v>6.87</v>
      </c>
      <c r="N38" s="187">
        <v>115.28</v>
      </c>
      <c r="O38" s="187">
        <v>5830</v>
      </c>
      <c r="P38" s="187">
        <v>103.64</v>
      </c>
      <c r="Q38" s="187">
        <v>87.2</v>
      </c>
      <c r="R38" s="187">
        <v>51.33</v>
      </c>
      <c r="S38" s="187">
        <v>153.13999999999999</v>
      </c>
      <c r="T38" s="187">
        <v>1740</v>
      </c>
      <c r="U38" s="187">
        <v>157.01</v>
      </c>
      <c r="V38" s="187">
        <v>640</v>
      </c>
      <c r="W38" s="187">
        <v>349.15</v>
      </c>
      <c r="X38" s="187">
        <v>52</v>
      </c>
      <c r="Y38" s="187">
        <v>0</v>
      </c>
      <c r="Z38" s="187">
        <v>5</v>
      </c>
      <c r="AA38" s="187">
        <v>11</v>
      </c>
      <c r="AB38" s="187">
        <v>81</v>
      </c>
      <c r="AC38" s="187">
        <v>20</v>
      </c>
      <c r="AD38" s="187">
        <v>6487</v>
      </c>
      <c r="AE38" s="187">
        <v>14</v>
      </c>
      <c r="AF38" s="187">
        <v>46</v>
      </c>
      <c r="AG38" s="187">
        <v>60</v>
      </c>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87"/>
      <c r="BD38" s="187"/>
      <c r="BE38" s="187"/>
      <c r="BF38" s="187"/>
      <c r="BG38" s="187"/>
      <c r="BH38" s="187"/>
      <c r="BI38" s="187"/>
      <c r="BJ38" s="187"/>
      <c r="BK38" s="187"/>
      <c r="BL38" s="187"/>
      <c r="BM38" s="187"/>
      <c r="BN38" s="187"/>
      <c r="BO38" s="187"/>
      <c r="BP38" s="187"/>
      <c r="BQ38" s="187"/>
      <c r="BR38" s="187"/>
      <c r="BS38" s="187"/>
      <c r="BT38" s="187"/>
      <c r="BU38" s="187"/>
      <c r="BV38" s="187"/>
      <c r="BW38" s="187"/>
      <c r="BX38" s="187"/>
      <c r="BY38" s="187"/>
      <c r="BZ38" s="187"/>
      <c r="CA38" s="187"/>
      <c r="CB38" s="187"/>
      <c r="CC38" s="187"/>
      <c r="CD38" s="187"/>
      <c r="CE38" s="187"/>
      <c r="CF38" s="187"/>
      <c r="CG38" s="187"/>
      <c r="CH38" s="187"/>
      <c r="CI38" s="187"/>
      <c r="CJ38" s="187"/>
      <c r="CK38" s="187"/>
      <c r="CL38" s="187"/>
      <c r="CM38" s="187"/>
      <c r="CN38" s="187"/>
      <c r="CO38" s="187"/>
      <c r="CP38" s="187"/>
      <c r="CQ38" s="187"/>
      <c r="CR38" s="187"/>
      <c r="CS38" s="187"/>
      <c r="CT38" s="187"/>
      <c r="CU38" s="187"/>
      <c r="CV38" s="187"/>
      <c r="CW38" s="187"/>
      <c r="CX38" s="187"/>
      <c r="CY38" s="187"/>
      <c r="CZ38" s="187"/>
      <c r="DA38" s="187"/>
      <c r="DB38" s="187"/>
      <c r="DC38" s="187"/>
      <c r="DD38" s="187"/>
      <c r="DE38" s="187"/>
      <c r="DF38" s="187"/>
      <c r="DG38" s="187"/>
      <c r="DH38" s="187"/>
      <c r="DI38" s="187"/>
      <c r="DJ38" s="187"/>
      <c r="DK38" s="187"/>
      <c r="DL38" s="187"/>
      <c r="DM38" s="187"/>
      <c r="DN38" s="187"/>
      <c r="DO38" s="187"/>
      <c r="DP38" s="187"/>
      <c r="DQ38" s="187"/>
      <c r="DR38" s="187"/>
      <c r="DS38" s="187"/>
      <c r="DT38" s="187"/>
      <c r="DU38" s="187"/>
      <c r="DV38" s="187"/>
      <c r="DW38" s="187"/>
      <c r="DX38" s="187"/>
      <c r="DY38" s="187"/>
      <c r="DZ38" s="187"/>
      <c r="EA38" s="187"/>
      <c r="EB38" s="187"/>
      <c r="EC38" s="187"/>
      <c r="ED38" s="187"/>
      <c r="EE38" s="187"/>
      <c r="EF38" s="187"/>
      <c r="EG38" s="187"/>
      <c r="EH38" s="187"/>
      <c r="EI38" s="187"/>
      <c r="EJ38" s="187"/>
      <c r="EK38" s="187"/>
      <c r="EL38" s="187"/>
      <c r="EM38" s="187"/>
      <c r="EN38" s="187"/>
      <c r="EO38" s="187"/>
      <c r="EP38" s="187"/>
      <c r="EQ38" s="187"/>
      <c r="ER38" s="187"/>
      <c r="ES38" s="187"/>
      <c r="ET38" s="187"/>
      <c r="EU38" s="187"/>
      <c r="EV38" s="187"/>
      <c r="EW38" s="187"/>
      <c r="EX38" s="187"/>
      <c r="EY38" s="187"/>
      <c r="EZ38" s="187"/>
      <c r="FA38" s="187"/>
      <c r="FB38" s="187"/>
      <c r="FC38" s="187"/>
    </row>
    <row r="39" spans="1:159" ht="15" x14ac:dyDescent="0.25">
      <c r="A39" s="187" t="s">
        <v>136</v>
      </c>
      <c r="B39" s="187" t="s">
        <v>137</v>
      </c>
      <c r="C39" s="187">
        <v>7497</v>
      </c>
      <c r="D39" s="187">
        <v>0</v>
      </c>
      <c r="E39" s="187">
        <v>258</v>
      </c>
      <c r="F39" s="187">
        <v>499</v>
      </c>
      <c r="G39" s="187">
        <v>823</v>
      </c>
      <c r="H39" s="187">
        <v>9077</v>
      </c>
      <c r="I39" s="187">
        <v>8254</v>
      </c>
      <c r="J39" s="187">
        <v>23</v>
      </c>
      <c r="K39" s="187">
        <v>116.48</v>
      </c>
      <c r="L39" s="187">
        <v>116.35</v>
      </c>
      <c r="M39" s="187">
        <v>8.66</v>
      </c>
      <c r="N39" s="187">
        <v>119.54</v>
      </c>
      <c r="O39" s="187">
        <v>6698</v>
      </c>
      <c r="P39" s="187">
        <v>105.74</v>
      </c>
      <c r="Q39" s="187">
        <v>101.18</v>
      </c>
      <c r="R39" s="187">
        <v>44.79</v>
      </c>
      <c r="S39" s="187">
        <v>148.43</v>
      </c>
      <c r="T39" s="187">
        <v>726</v>
      </c>
      <c r="U39" s="187">
        <v>182</v>
      </c>
      <c r="V39" s="187">
        <v>744</v>
      </c>
      <c r="W39" s="187">
        <v>0</v>
      </c>
      <c r="X39" s="187">
        <v>0</v>
      </c>
      <c r="Y39" s="187">
        <v>32</v>
      </c>
      <c r="Z39" s="187">
        <v>7</v>
      </c>
      <c r="AA39" s="187">
        <v>1</v>
      </c>
      <c r="AB39" s="187">
        <v>25</v>
      </c>
      <c r="AC39" s="187">
        <v>14</v>
      </c>
      <c r="AD39" s="187">
        <v>7485</v>
      </c>
      <c r="AE39" s="187">
        <v>16</v>
      </c>
      <c r="AF39" s="187">
        <v>287</v>
      </c>
      <c r="AG39" s="187">
        <v>303</v>
      </c>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187"/>
      <c r="BR39" s="187"/>
      <c r="BS39" s="187"/>
      <c r="BT39" s="187"/>
      <c r="BU39" s="187"/>
      <c r="BV39" s="187"/>
      <c r="BW39" s="187"/>
      <c r="BX39" s="187"/>
      <c r="BY39" s="187"/>
      <c r="BZ39" s="187"/>
      <c r="CA39" s="187"/>
      <c r="CB39" s="187"/>
      <c r="CC39" s="187"/>
      <c r="CD39" s="187"/>
      <c r="CE39" s="187"/>
      <c r="CF39" s="187"/>
      <c r="CG39" s="187"/>
      <c r="CH39" s="187"/>
      <c r="CI39" s="187"/>
      <c r="CJ39" s="187"/>
      <c r="CK39" s="187"/>
      <c r="CL39" s="187"/>
      <c r="CM39" s="187"/>
      <c r="CN39" s="187"/>
      <c r="CO39" s="187"/>
      <c r="CP39" s="187"/>
      <c r="CQ39" s="187"/>
      <c r="CR39" s="187"/>
      <c r="CS39" s="187"/>
      <c r="CT39" s="187"/>
      <c r="CU39" s="187"/>
      <c r="CV39" s="187"/>
      <c r="CW39" s="187"/>
      <c r="CX39" s="187"/>
      <c r="CY39" s="187"/>
      <c r="CZ39" s="187"/>
      <c r="DA39" s="187"/>
      <c r="DB39" s="187"/>
      <c r="DC39" s="187"/>
      <c r="DD39" s="187"/>
      <c r="DE39" s="187"/>
      <c r="DF39" s="187"/>
      <c r="DG39" s="187"/>
      <c r="DH39" s="187"/>
      <c r="DI39" s="187"/>
      <c r="DJ39" s="187"/>
      <c r="DK39" s="187"/>
      <c r="DL39" s="187"/>
      <c r="DM39" s="187"/>
      <c r="DN39" s="187"/>
      <c r="DO39" s="187"/>
      <c r="DP39" s="187"/>
      <c r="DQ39" s="187"/>
      <c r="DR39" s="187"/>
      <c r="DS39" s="187"/>
      <c r="DT39" s="187"/>
      <c r="DU39" s="187"/>
      <c r="DV39" s="187"/>
      <c r="DW39" s="187"/>
      <c r="DX39" s="187"/>
      <c r="DY39" s="187"/>
      <c r="DZ39" s="187"/>
      <c r="EA39" s="187"/>
      <c r="EB39" s="187"/>
      <c r="EC39" s="187"/>
      <c r="ED39" s="187"/>
      <c r="EE39" s="187"/>
      <c r="EF39" s="187"/>
      <c r="EG39" s="187"/>
      <c r="EH39" s="187"/>
      <c r="EI39" s="187"/>
      <c r="EJ39" s="187"/>
      <c r="EK39" s="187"/>
      <c r="EL39" s="187"/>
      <c r="EM39" s="187"/>
      <c r="EN39" s="187"/>
      <c r="EO39" s="187"/>
      <c r="EP39" s="187"/>
      <c r="EQ39" s="187"/>
      <c r="ER39" s="187"/>
      <c r="ES39" s="187"/>
      <c r="ET39" s="187"/>
      <c r="EU39" s="187"/>
      <c r="EV39" s="187"/>
      <c r="EW39" s="187"/>
      <c r="EX39" s="187"/>
      <c r="EY39" s="187"/>
      <c r="EZ39" s="187"/>
      <c r="FA39" s="187"/>
      <c r="FB39" s="187"/>
      <c r="FC39" s="187"/>
    </row>
    <row r="40" spans="1:159" ht="15" x14ac:dyDescent="0.25">
      <c r="A40" s="187" t="s">
        <v>138</v>
      </c>
      <c r="B40" s="187" t="s">
        <v>139</v>
      </c>
      <c r="C40" s="187">
        <v>26987</v>
      </c>
      <c r="D40" s="187">
        <v>0</v>
      </c>
      <c r="E40" s="187">
        <v>1551</v>
      </c>
      <c r="F40" s="187">
        <v>2866</v>
      </c>
      <c r="G40" s="187">
        <v>835</v>
      </c>
      <c r="H40" s="187">
        <v>32239</v>
      </c>
      <c r="I40" s="187">
        <v>31404</v>
      </c>
      <c r="J40" s="187">
        <v>521</v>
      </c>
      <c r="K40" s="187">
        <v>84.1</v>
      </c>
      <c r="L40" s="187">
        <v>81.209999999999994</v>
      </c>
      <c r="M40" s="187">
        <v>4.5</v>
      </c>
      <c r="N40" s="187">
        <v>88.38</v>
      </c>
      <c r="O40" s="187">
        <v>23170</v>
      </c>
      <c r="P40" s="187">
        <v>91.67</v>
      </c>
      <c r="Q40" s="187">
        <v>79.66</v>
      </c>
      <c r="R40" s="187">
        <v>42.41</v>
      </c>
      <c r="S40" s="187">
        <v>133.54</v>
      </c>
      <c r="T40" s="187">
        <v>3510</v>
      </c>
      <c r="U40" s="187">
        <v>106.94</v>
      </c>
      <c r="V40" s="187">
        <v>3631</v>
      </c>
      <c r="W40" s="187">
        <v>150.61000000000001</v>
      </c>
      <c r="X40" s="187">
        <v>79</v>
      </c>
      <c r="Y40" s="187">
        <v>0</v>
      </c>
      <c r="Z40" s="187">
        <v>126</v>
      </c>
      <c r="AA40" s="187">
        <v>14</v>
      </c>
      <c r="AB40" s="187">
        <v>34</v>
      </c>
      <c r="AC40" s="187">
        <v>15</v>
      </c>
      <c r="AD40" s="187">
        <v>26971</v>
      </c>
      <c r="AE40" s="187">
        <v>329</v>
      </c>
      <c r="AF40" s="187">
        <v>104</v>
      </c>
      <c r="AG40" s="187">
        <v>433</v>
      </c>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87"/>
      <c r="BD40" s="187"/>
      <c r="BE40" s="187"/>
      <c r="BF40" s="187"/>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c r="CZ40" s="187"/>
      <c r="DA40" s="187"/>
      <c r="DB40" s="187"/>
      <c r="DC40" s="187"/>
      <c r="DD40" s="187"/>
      <c r="DE40" s="187"/>
      <c r="DF40" s="187"/>
      <c r="DG40" s="187"/>
      <c r="DH40" s="187"/>
      <c r="DI40" s="187"/>
      <c r="DJ40" s="187"/>
      <c r="DK40" s="187"/>
      <c r="DL40" s="187"/>
      <c r="DM40" s="187"/>
      <c r="DN40" s="187"/>
      <c r="DO40" s="187"/>
      <c r="DP40" s="187"/>
      <c r="DQ40" s="187"/>
      <c r="DR40" s="187"/>
      <c r="DS40" s="187"/>
      <c r="DT40" s="187"/>
      <c r="DU40" s="187"/>
      <c r="DV40" s="187"/>
      <c r="DW40" s="187"/>
      <c r="DX40" s="187"/>
      <c r="DY40" s="187"/>
      <c r="DZ40" s="187"/>
      <c r="EA40" s="187"/>
      <c r="EB40" s="187"/>
      <c r="EC40" s="187"/>
      <c r="ED40" s="187"/>
      <c r="EE40" s="187"/>
      <c r="EF40" s="187"/>
      <c r="EG40" s="187"/>
      <c r="EH40" s="187"/>
      <c r="EI40" s="187"/>
      <c r="EJ40" s="187"/>
      <c r="EK40" s="187"/>
      <c r="EL40" s="187"/>
      <c r="EM40" s="187"/>
      <c r="EN40" s="187"/>
      <c r="EO40" s="187"/>
      <c r="EP40" s="187"/>
      <c r="EQ40" s="187"/>
      <c r="ER40" s="187"/>
      <c r="ES40" s="187"/>
      <c r="ET40" s="187"/>
      <c r="EU40" s="187"/>
      <c r="EV40" s="187"/>
      <c r="EW40" s="187"/>
      <c r="EX40" s="187"/>
      <c r="EY40" s="187"/>
      <c r="EZ40" s="187"/>
      <c r="FA40" s="187"/>
      <c r="FB40" s="187"/>
      <c r="FC40" s="187"/>
    </row>
    <row r="41" spans="1:159" ht="15" x14ac:dyDescent="0.25">
      <c r="A41" s="187" t="s">
        <v>140</v>
      </c>
      <c r="B41" s="187" t="s">
        <v>141</v>
      </c>
      <c r="C41" s="187">
        <v>10239</v>
      </c>
      <c r="D41" s="187">
        <v>0</v>
      </c>
      <c r="E41" s="187">
        <v>320</v>
      </c>
      <c r="F41" s="187">
        <v>739</v>
      </c>
      <c r="G41" s="187">
        <v>605</v>
      </c>
      <c r="H41" s="187">
        <v>11903</v>
      </c>
      <c r="I41" s="187">
        <v>11298</v>
      </c>
      <c r="J41" s="187">
        <v>15</v>
      </c>
      <c r="K41" s="187">
        <v>102.91</v>
      </c>
      <c r="L41" s="187">
        <v>102.88</v>
      </c>
      <c r="M41" s="187">
        <v>4.3600000000000003</v>
      </c>
      <c r="N41" s="187">
        <v>104.14</v>
      </c>
      <c r="O41" s="187">
        <v>8739</v>
      </c>
      <c r="P41" s="187">
        <v>95.8</v>
      </c>
      <c r="Q41" s="187">
        <v>89.23</v>
      </c>
      <c r="R41" s="187">
        <v>44.01</v>
      </c>
      <c r="S41" s="187">
        <v>138.19999999999999</v>
      </c>
      <c r="T41" s="187">
        <v>846</v>
      </c>
      <c r="U41" s="187">
        <v>157.87</v>
      </c>
      <c r="V41" s="187">
        <v>1414</v>
      </c>
      <c r="W41" s="187">
        <v>159.68</v>
      </c>
      <c r="X41" s="187">
        <v>23</v>
      </c>
      <c r="Y41" s="187">
        <v>2</v>
      </c>
      <c r="Z41" s="187">
        <v>14</v>
      </c>
      <c r="AA41" s="187">
        <v>2</v>
      </c>
      <c r="AB41" s="187">
        <v>97</v>
      </c>
      <c r="AC41" s="187">
        <v>5</v>
      </c>
      <c r="AD41" s="187">
        <v>10225</v>
      </c>
      <c r="AE41" s="187">
        <v>111</v>
      </c>
      <c r="AF41" s="187">
        <v>47</v>
      </c>
      <c r="AG41" s="187">
        <v>158</v>
      </c>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7"/>
      <c r="DJ41" s="187"/>
      <c r="DK41" s="187"/>
      <c r="DL41" s="187"/>
      <c r="DM41" s="187"/>
      <c r="DN41" s="187"/>
      <c r="DO41" s="187"/>
      <c r="DP41" s="187"/>
      <c r="DQ41" s="187"/>
      <c r="DR41" s="187"/>
      <c r="DS41" s="187"/>
      <c r="DT41" s="187"/>
      <c r="DU41" s="187"/>
      <c r="DV41" s="187"/>
      <c r="DW41" s="187"/>
      <c r="DX41" s="187"/>
      <c r="DY41" s="187"/>
      <c r="DZ41" s="187"/>
      <c r="EA41" s="187"/>
      <c r="EB41" s="187"/>
      <c r="EC41" s="187"/>
      <c r="ED41" s="187"/>
      <c r="EE41" s="187"/>
      <c r="EF41" s="187"/>
      <c r="EG41" s="187"/>
      <c r="EH41" s="187"/>
      <c r="EI41" s="187"/>
      <c r="EJ41" s="187"/>
      <c r="EK41" s="187"/>
      <c r="EL41" s="187"/>
      <c r="EM41" s="187"/>
      <c r="EN41" s="187"/>
      <c r="EO41" s="187"/>
      <c r="EP41" s="187"/>
      <c r="EQ41" s="187"/>
      <c r="ER41" s="187"/>
      <c r="ES41" s="187"/>
      <c r="ET41" s="187"/>
      <c r="EU41" s="187"/>
      <c r="EV41" s="187"/>
      <c r="EW41" s="187"/>
      <c r="EX41" s="187"/>
      <c r="EY41" s="187"/>
      <c r="EZ41" s="187"/>
      <c r="FA41" s="187"/>
      <c r="FB41" s="187"/>
      <c r="FC41" s="187"/>
    </row>
    <row r="42" spans="1:159" ht="15" x14ac:dyDescent="0.25">
      <c r="A42" s="187" t="s">
        <v>142</v>
      </c>
      <c r="B42" s="187" t="s">
        <v>143</v>
      </c>
      <c r="C42" s="187">
        <v>8276</v>
      </c>
      <c r="D42" s="187">
        <v>0</v>
      </c>
      <c r="E42" s="187">
        <v>217</v>
      </c>
      <c r="F42" s="187">
        <v>365</v>
      </c>
      <c r="G42" s="187">
        <v>468</v>
      </c>
      <c r="H42" s="187">
        <v>9326</v>
      </c>
      <c r="I42" s="187">
        <v>8858</v>
      </c>
      <c r="J42" s="187">
        <v>287</v>
      </c>
      <c r="K42" s="187">
        <v>93.42</v>
      </c>
      <c r="L42" s="187">
        <v>89.86</v>
      </c>
      <c r="M42" s="187">
        <v>5.05</v>
      </c>
      <c r="N42" s="187">
        <v>95.26</v>
      </c>
      <c r="O42" s="187">
        <v>7317</v>
      </c>
      <c r="P42" s="187">
        <v>89.08</v>
      </c>
      <c r="Q42" s="187">
        <v>79.790000000000006</v>
      </c>
      <c r="R42" s="187">
        <v>47.88</v>
      </c>
      <c r="S42" s="187">
        <v>132.9</v>
      </c>
      <c r="T42" s="187">
        <v>531</v>
      </c>
      <c r="U42" s="187">
        <v>124.71</v>
      </c>
      <c r="V42" s="187">
        <v>893</v>
      </c>
      <c r="W42" s="187">
        <v>147.69</v>
      </c>
      <c r="X42" s="187">
        <v>5</v>
      </c>
      <c r="Y42" s="187">
        <v>18</v>
      </c>
      <c r="Z42" s="187">
        <v>3</v>
      </c>
      <c r="AA42" s="187">
        <v>23</v>
      </c>
      <c r="AB42" s="187">
        <v>43</v>
      </c>
      <c r="AC42" s="187">
        <v>9</v>
      </c>
      <c r="AD42" s="187">
        <v>8263</v>
      </c>
      <c r="AE42" s="187">
        <v>33</v>
      </c>
      <c r="AF42" s="187">
        <v>16</v>
      </c>
      <c r="AG42" s="187">
        <v>49</v>
      </c>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187"/>
      <c r="DJ42" s="187"/>
      <c r="DK42" s="187"/>
      <c r="DL42" s="187"/>
      <c r="DM42" s="187"/>
      <c r="DN42" s="187"/>
      <c r="DO42" s="187"/>
      <c r="DP42" s="187"/>
      <c r="DQ42" s="187"/>
      <c r="DR42" s="187"/>
      <c r="DS42" s="187"/>
      <c r="DT42" s="187"/>
      <c r="DU42" s="187"/>
      <c r="DV42" s="187"/>
      <c r="DW42" s="187"/>
      <c r="DX42" s="187"/>
      <c r="DY42" s="187"/>
      <c r="DZ42" s="187"/>
      <c r="EA42" s="187"/>
      <c r="EB42" s="187"/>
      <c r="EC42" s="187"/>
      <c r="ED42" s="187"/>
      <c r="EE42" s="187"/>
      <c r="EF42" s="187"/>
      <c r="EG42" s="187"/>
      <c r="EH42" s="187"/>
      <c r="EI42" s="187"/>
      <c r="EJ42" s="187"/>
      <c r="EK42" s="187"/>
      <c r="EL42" s="187"/>
      <c r="EM42" s="187"/>
      <c r="EN42" s="187"/>
      <c r="EO42" s="187"/>
      <c r="EP42" s="187"/>
      <c r="EQ42" s="187"/>
      <c r="ER42" s="187"/>
      <c r="ES42" s="187"/>
      <c r="ET42" s="187"/>
      <c r="EU42" s="187"/>
      <c r="EV42" s="187"/>
      <c r="EW42" s="187"/>
      <c r="EX42" s="187"/>
      <c r="EY42" s="187"/>
      <c r="EZ42" s="187"/>
      <c r="FA42" s="187"/>
      <c r="FB42" s="187"/>
      <c r="FC42" s="187"/>
    </row>
    <row r="43" spans="1:159" ht="15" x14ac:dyDescent="0.25">
      <c r="A43" s="187" t="s">
        <v>144</v>
      </c>
      <c r="B43" s="187" t="s">
        <v>145</v>
      </c>
      <c r="C43" s="187">
        <v>17010</v>
      </c>
      <c r="D43" s="187">
        <v>169</v>
      </c>
      <c r="E43" s="187">
        <v>1043</v>
      </c>
      <c r="F43" s="187">
        <v>1072</v>
      </c>
      <c r="G43" s="187">
        <v>2541</v>
      </c>
      <c r="H43" s="187">
        <v>21835</v>
      </c>
      <c r="I43" s="187">
        <v>19294</v>
      </c>
      <c r="J43" s="187">
        <v>124</v>
      </c>
      <c r="K43" s="187">
        <v>134.68</v>
      </c>
      <c r="L43" s="187">
        <v>136.69999999999999</v>
      </c>
      <c r="M43" s="187">
        <v>12.59</v>
      </c>
      <c r="N43" s="187">
        <v>143.88</v>
      </c>
      <c r="O43" s="187">
        <v>11764</v>
      </c>
      <c r="P43" s="187">
        <v>124.26</v>
      </c>
      <c r="Q43" s="187">
        <v>102.3</v>
      </c>
      <c r="R43" s="187">
        <v>61.34</v>
      </c>
      <c r="S43" s="187">
        <v>177.46</v>
      </c>
      <c r="T43" s="187">
        <v>1765</v>
      </c>
      <c r="U43" s="187">
        <v>239.21</v>
      </c>
      <c r="V43" s="187">
        <v>2369</v>
      </c>
      <c r="W43" s="187">
        <v>223.65</v>
      </c>
      <c r="X43" s="187">
        <v>139</v>
      </c>
      <c r="Y43" s="187">
        <v>52</v>
      </c>
      <c r="Z43" s="187">
        <v>2</v>
      </c>
      <c r="AA43" s="187">
        <v>37</v>
      </c>
      <c r="AB43" s="187">
        <v>205</v>
      </c>
      <c r="AC43" s="187">
        <v>91</v>
      </c>
      <c r="AD43" s="187">
        <v>15306</v>
      </c>
      <c r="AE43" s="187">
        <v>149</v>
      </c>
      <c r="AF43" s="187">
        <v>79</v>
      </c>
      <c r="AG43" s="187">
        <v>228</v>
      </c>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87"/>
      <c r="BD43" s="187"/>
      <c r="BE43" s="187"/>
      <c r="BF43" s="187"/>
      <c r="BG43" s="187"/>
      <c r="BH43" s="187"/>
      <c r="BI43" s="187"/>
      <c r="BJ43" s="187"/>
      <c r="BK43" s="187"/>
      <c r="BL43" s="187"/>
      <c r="BM43" s="187"/>
      <c r="BN43" s="187"/>
      <c r="BO43" s="187"/>
      <c r="BP43" s="187"/>
      <c r="BQ43" s="187"/>
      <c r="BR43" s="187"/>
      <c r="BS43" s="187"/>
      <c r="BT43" s="187"/>
      <c r="BU43" s="187"/>
      <c r="BV43" s="187"/>
      <c r="BW43" s="187"/>
      <c r="BX43" s="187"/>
      <c r="BY43" s="187"/>
      <c r="BZ43" s="187"/>
      <c r="CA43" s="187"/>
      <c r="CB43" s="187"/>
      <c r="CC43" s="187"/>
      <c r="CD43" s="187"/>
      <c r="CE43" s="187"/>
      <c r="CF43" s="187"/>
      <c r="CG43" s="187"/>
      <c r="CH43" s="187"/>
      <c r="CI43" s="187"/>
      <c r="CJ43" s="187"/>
      <c r="CK43" s="187"/>
      <c r="CL43" s="187"/>
      <c r="CM43" s="187"/>
      <c r="CN43" s="187"/>
      <c r="CO43" s="187"/>
      <c r="CP43" s="187"/>
      <c r="CQ43" s="187"/>
      <c r="CR43" s="187"/>
      <c r="CS43" s="187"/>
      <c r="CT43" s="187"/>
      <c r="CU43" s="187"/>
      <c r="CV43" s="187"/>
      <c r="CW43" s="187"/>
      <c r="CX43" s="187"/>
      <c r="CY43" s="187"/>
      <c r="CZ43" s="187"/>
      <c r="DA43" s="187"/>
      <c r="DB43" s="187"/>
      <c r="DC43" s="187"/>
      <c r="DD43" s="187"/>
      <c r="DE43" s="187"/>
      <c r="DF43" s="187"/>
      <c r="DG43" s="187"/>
      <c r="DH43" s="187"/>
      <c r="DI43" s="187"/>
      <c r="DJ43" s="187"/>
      <c r="DK43" s="187"/>
      <c r="DL43" s="187"/>
      <c r="DM43" s="187"/>
      <c r="DN43" s="187"/>
      <c r="DO43" s="187"/>
      <c r="DP43" s="187"/>
      <c r="DQ43" s="187"/>
      <c r="DR43" s="187"/>
      <c r="DS43" s="187"/>
      <c r="DT43" s="187"/>
      <c r="DU43" s="187"/>
      <c r="DV43" s="187"/>
      <c r="DW43" s="187"/>
      <c r="DX43" s="187"/>
      <c r="DY43" s="187"/>
      <c r="DZ43" s="187"/>
      <c r="EA43" s="187"/>
      <c r="EB43" s="187"/>
      <c r="EC43" s="187"/>
      <c r="ED43" s="187"/>
      <c r="EE43" s="187"/>
      <c r="EF43" s="187"/>
      <c r="EG43" s="187"/>
      <c r="EH43" s="187"/>
      <c r="EI43" s="187"/>
      <c r="EJ43" s="187"/>
      <c r="EK43" s="187"/>
      <c r="EL43" s="187"/>
      <c r="EM43" s="187"/>
      <c r="EN43" s="187"/>
      <c r="EO43" s="187"/>
      <c r="EP43" s="187"/>
      <c r="EQ43" s="187"/>
      <c r="ER43" s="187"/>
      <c r="ES43" s="187"/>
      <c r="ET43" s="187"/>
      <c r="EU43" s="187"/>
      <c r="EV43" s="187"/>
      <c r="EW43" s="187"/>
      <c r="EX43" s="187"/>
      <c r="EY43" s="187"/>
      <c r="EZ43" s="187"/>
      <c r="FA43" s="187"/>
      <c r="FB43" s="187"/>
      <c r="FC43" s="187"/>
    </row>
    <row r="44" spans="1:159" ht="15" x14ac:dyDescent="0.25">
      <c r="A44" s="187" t="s">
        <v>146</v>
      </c>
      <c r="B44" s="187" t="s">
        <v>147</v>
      </c>
      <c r="C44" s="187">
        <v>781</v>
      </c>
      <c r="D44" s="187">
        <v>7</v>
      </c>
      <c r="E44" s="187">
        <v>113</v>
      </c>
      <c r="F44" s="187">
        <v>162</v>
      </c>
      <c r="G44" s="187">
        <v>199</v>
      </c>
      <c r="H44" s="187">
        <v>1262</v>
      </c>
      <c r="I44" s="187">
        <v>1063</v>
      </c>
      <c r="J44" s="187">
        <v>3</v>
      </c>
      <c r="K44" s="187">
        <v>125.43</v>
      </c>
      <c r="L44" s="187">
        <v>123.33</v>
      </c>
      <c r="M44" s="187">
        <v>9.1300000000000008</v>
      </c>
      <c r="N44" s="187">
        <v>134.25</v>
      </c>
      <c r="O44" s="187">
        <v>512</v>
      </c>
      <c r="P44" s="187">
        <v>104.61</v>
      </c>
      <c r="Q44" s="187">
        <v>101.39</v>
      </c>
      <c r="R44" s="187">
        <v>57.22</v>
      </c>
      <c r="S44" s="187">
        <v>161.59</v>
      </c>
      <c r="T44" s="187">
        <v>235</v>
      </c>
      <c r="U44" s="187">
        <v>164.55</v>
      </c>
      <c r="V44" s="187">
        <v>125</v>
      </c>
      <c r="W44" s="187">
        <v>0</v>
      </c>
      <c r="X44" s="187">
        <v>0</v>
      </c>
      <c r="Y44" s="187">
        <v>0</v>
      </c>
      <c r="Z44" s="187">
        <v>0</v>
      </c>
      <c r="AA44" s="187">
        <v>0</v>
      </c>
      <c r="AB44" s="187">
        <v>1</v>
      </c>
      <c r="AC44" s="187">
        <v>3</v>
      </c>
      <c r="AD44" s="187">
        <v>640</v>
      </c>
      <c r="AE44" s="187">
        <v>5</v>
      </c>
      <c r="AF44" s="187">
        <v>2</v>
      </c>
      <c r="AG44" s="187">
        <v>7</v>
      </c>
      <c r="AH44" s="187"/>
      <c r="AI44" s="187"/>
      <c r="AJ44" s="187"/>
      <c r="AK44" s="187"/>
      <c r="AL44" s="187"/>
      <c r="AM44" s="187"/>
      <c r="AN44" s="187"/>
      <c r="AO44" s="187"/>
      <c r="AP44" s="187"/>
      <c r="AQ44" s="187"/>
      <c r="AR44" s="187"/>
      <c r="AS44" s="187"/>
      <c r="AT44" s="187"/>
      <c r="AU44" s="187"/>
      <c r="AV44" s="187"/>
      <c r="AW44" s="187"/>
      <c r="AX44" s="187"/>
      <c r="AY44" s="187"/>
      <c r="AZ44" s="187"/>
      <c r="BA44" s="187"/>
      <c r="BB44" s="187"/>
      <c r="BC44" s="187"/>
      <c r="BD44" s="187"/>
      <c r="BE44" s="187"/>
      <c r="BF44" s="187"/>
      <c r="BG44" s="187"/>
      <c r="BH44" s="187"/>
      <c r="BI44" s="187"/>
      <c r="BJ44" s="187"/>
      <c r="BK44" s="187"/>
      <c r="BL44" s="187"/>
      <c r="BM44" s="187"/>
      <c r="BN44" s="187"/>
      <c r="BO44" s="187"/>
      <c r="BP44" s="187"/>
      <c r="BQ44" s="187"/>
      <c r="BR44" s="187"/>
      <c r="BS44" s="187"/>
      <c r="BT44" s="187"/>
      <c r="BU44" s="187"/>
      <c r="BV44" s="187"/>
      <c r="BW44" s="187"/>
      <c r="BX44" s="187"/>
      <c r="BY44" s="187"/>
      <c r="BZ44" s="187"/>
      <c r="CA44" s="187"/>
      <c r="CB44" s="187"/>
      <c r="CC44" s="187"/>
      <c r="CD44" s="187"/>
      <c r="CE44" s="187"/>
      <c r="CF44" s="187"/>
      <c r="CG44" s="187"/>
      <c r="CH44" s="187"/>
      <c r="CI44" s="187"/>
      <c r="CJ44" s="187"/>
      <c r="CK44" s="187"/>
      <c r="CL44" s="187"/>
      <c r="CM44" s="187"/>
      <c r="CN44" s="187"/>
      <c r="CO44" s="187"/>
      <c r="CP44" s="187"/>
      <c r="CQ44" s="187"/>
      <c r="CR44" s="187"/>
      <c r="CS44" s="187"/>
      <c r="CT44" s="187"/>
      <c r="CU44" s="187"/>
      <c r="CV44" s="187"/>
      <c r="CW44" s="187"/>
      <c r="CX44" s="187"/>
      <c r="CY44" s="187"/>
      <c r="CZ44" s="187"/>
      <c r="DA44" s="187"/>
      <c r="DB44" s="187"/>
      <c r="DC44" s="187"/>
      <c r="DD44" s="187"/>
      <c r="DE44" s="187"/>
      <c r="DF44" s="187"/>
      <c r="DG44" s="187"/>
      <c r="DH44" s="187"/>
      <c r="DI44" s="187"/>
      <c r="DJ44" s="187"/>
      <c r="DK44" s="187"/>
      <c r="DL44" s="187"/>
      <c r="DM44" s="187"/>
      <c r="DN44" s="187"/>
      <c r="DO44" s="187"/>
      <c r="DP44" s="187"/>
      <c r="DQ44" s="187"/>
      <c r="DR44" s="187"/>
      <c r="DS44" s="187"/>
      <c r="DT44" s="187"/>
      <c r="DU44" s="187"/>
      <c r="DV44" s="187"/>
      <c r="DW44" s="187"/>
      <c r="DX44" s="187"/>
      <c r="DY44" s="187"/>
      <c r="DZ44" s="187"/>
      <c r="EA44" s="187"/>
      <c r="EB44" s="187"/>
      <c r="EC44" s="187"/>
      <c r="ED44" s="187"/>
      <c r="EE44" s="187"/>
      <c r="EF44" s="187"/>
      <c r="EG44" s="187"/>
      <c r="EH44" s="187"/>
      <c r="EI44" s="187"/>
      <c r="EJ44" s="187"/>
      <c r="EK44" s="187"/>
      <c r="EL44" s="187"/>
      <c r="EM44" s="187"/>
      <c r="EN44" s="187"/>
      <c r="EO44" s="187"/>
      <c r="EP44" s="187"/>
      <c r="EQ44" s="187"/>
      <c r="ER44" s="187"/>
      <c r="ES44" s="187"/>
      <c r="ET44" s="187"/>
      <c r="EU44" s="187"/>
      <c r="EV44" s="187"/>
      <c r="EW44" s="187"/>
      <c r="EX44" s="187"/>
      <c r="EY44" s="187"/>
      <c r="EZ44" s="187"/>
      <c r="FA44" s="187"/>
      <c r="FB44" s="187"/>
      <c r="FC44" s="187"/>
    </row>
    <row r="45" spans="1:159" ht="15" x14ac:dyDescent="0.25">
      <c r="A45" s="187" t="s">
        <v>148</v>
      </c>
      <c r="B45" s="187" t="s">
        <v>149</v>
      </c>
      <c r="C45" s="187">
        <v>4911</v>
      </c>
      <c r="D45" s="187">
        <v>111</v>
      </c>
      <c r="E45" s="187">
        <v>983</v>
      </c>
      <c r="F45" s="187">
        <v>924</v>
      </c>
      <c r="G45" s="187">
        <v>1123</v>
      </c>
      <c r="H45" s="187">
        <v>8052</v>
      </c>
      <c r="I45" s="187">
        <v>6929</v>
      </c>
      <c r="J45" s="187">
        <v>103</v>
      </c>
      <c r="K45" s="187">
        <v>102.37</v>
      </c>
      <c r="L45" s="187">
        <v>100.22</v>
      </c>
      <c r="M45" s="187">
        <v>12.37</v>
      </c>
      <c r="N45" s="187">
        <v>112.36</v>
      </c>
      <c r="O45" s="187">
        <v>3834</v>
      </c>
      <c r="P45" s="187">
        <v>99.57</v>
      </c>
      <c r="Q45" s="187">
        <v>86.49</v>
      </c>
      <c r="R45" s="187">
        <v>71.239999999999995</v>
      </c>
      <c r="S45" s="187">
        <v>167.96</v>
      </c>
      <c r="T45" s="187">
        <v>1152</v>
      </c>
      <c r="U45" s="187">
        <v>183.16</v>
      </c>
      <c r="V45" s="187">
        <v>549</v>
      </c>
      <c r="W45" s="187">
        <v>0</v>
      </c>
      <c r="X45" s="187">
        <v>0</v>
      </c>
      <c r="Y45" s="187">
        <v>0</v>
      </c>
      <c r="Z45" s="187">
        <v>0</v>
      </c>
      <c r="AA45" s="187">
        <v>9</v>
      </c>
      <c r="AB45" s="187">
        <v>77</v>
      </c>
      <c r="AC45" s="187">
        <v>20</v>
      </c>
      <c r="AD45" s="187">
        <v>4444</v>
      </c>
      <c r="AE45" s="187">
        <v>30</v>
      </c>
      <c r="AF45" s="187">
        <v>27</v>
      </c>
      <c r="AG45" s="187">
        <v>57</v>
      </c>
      <c r="AH45" s="187"/>
      <c r="AI45" s="187"/>
      <c r="AJ45" s="187"/>
      <c r="AK45" s="187"/>
      <c r="AL45" s="187"/>
      <c r="AM45" s="187"/>
      <c r="AN45" s="187"/>
      <c r="AO45" s="187"/>
      <c r="AP45" s="187"/>
      <c r="AQ45" s="187"/>
      <c r="AR45" s="187"/>
      <c r="AS45" s="187"/>
      <c r="AT45" s="187"/>
      <c r="AU45" s="187"/>
      <c r="AV45" s="187"/>
      <c r="AW45" s="187"/>
      <c r="AX45" s="187"/>
      <c r="AY45" s="187"/>
      <c r="AZ45" s="187"/>
      <c r="BA45" s="187"/>
      <c r="BB45" s="187"/>
      <c r="BC45" s="187"/>
      <c r="BD45" s="187"/>
      <c r="BE45" s="187"/>
      <c r="BF45" s="187"/>
      <c r="BG45" s="187"/>
      <c r="BH45" s="187"/>
      <c r="BI45" s="187"/>
      <c r="BJ45" s="187"/>
      <c r="BK45" s="187"/>
      <c r="BL45" s="187"/>
      <c r="BM45" s="187"/>
      <c r="BN45" s="187"/>
      <c r="BO45" s="187"/>
      <c r="BP45" s="187"/>
      <c r="BQ45" s="187"/>
      <c r="BR45" s="187"/>
      <c r="BS45" s="187"/>
      <c r="BT45" s="187"/>
      <c r="BU45" s="187"/>
      <c r="BV45" s="187"/>
      <c r="BW45" s="187"/>
      <c r="BX45" s="187"/>
      <c r="BY45" s="187"/>
      <c r="BZ45" s="187"/>
      <c r="CA45" s="187"/>
      <c r="CB45" s="187"/>
      <c r="CC45" s="187"/>
      <c r="CD45" s="187"/>
      <c r="CE45" s="187"/>
      <c r="CF45" s="187"/>
      <c r="CG45" s="187"/>
      <c r="CH45" s="187"/>
      <c r="CI45" s="187"/>
      <c r="CJ45" s="187"/>
      <c r="CK45" s="187"/>
      <c r="CL45" s="187"/>
      <c r="CM45" s="187"/>
      <c r="CN45" s="187"/>
      <c r="CO45" s="187"/>
      <c r="CP45" s="187"/>
      <c r="CQ45" s="187"/>
      <c r="CR45" s="187"/>
      <c r="CS45" s="187"/>
      <c r="CT45" s="187"/>
      <c r="CU45" s="187"/>
      <c r="CV45" s="187"/>
      <c r="CW45" s="187"/>
      <c r="CX45" s="187"/>
      <c r="CY45" s="187"/>
      <c r="CZ45" s="187"/>
      <c r="DA45" s="187"/>
      <c r="DB45" s="187"/>
      <c r="DC45" s="187"/>
      <c r="DD45" s="187"/>
      <c r="DE45" s="187"/>
      <c r="DF45" s="187"/>
      <c r="DG45" s="187"/>
      <c r="DH45" s="187"/>
      <c r="DI45" s="187"/>
      <c r="DJ45" s="187"/>
      <c r="DK45" s="187"/>
      <c r="DL45" s="187"/>
      <c r="DM45" s="187"/>
      <c r="DN45" s="187"/>
      <c r="DO45" s="187"/>
      <c r="DP45" s="187"/>
      <c r="DQ45" s="187"/>
      <c r="DR45" s="187"/>
      <c r="DS45" s="187"/>
      <c r="DT45" s="187"/>
      <c r="DU45" s="187"/>
      <c r="DV45" s="187"/>
      <c r="DW45" s="187"/>
      <c r="DX45" s="187"/>
      <c r="DY45" s="187"/>
      <c r="DZ45" s="187"/>
      <c r="EA45" s="187"/>
      <c r="EB45" s="187"/>
      <c r="EC45" s="187"/>
      <c r="ED45" s="187"/>
      <c r="EE45" s="187"/>
      <c r="EF45" s="187"/>
      <c r="EG45" s="187"/>
      <c r="EH45" s="187"/>
      <c r="EI45" s="187"/>
      <c r="EJ45" s="187"/>
      <c r="EK45" s="187"/>
      <c r="EL45" s="187"/>
      <c r="EM45" s="187"/>
      <c r="EN45" s="187"/>
      <c r="EO45" s="187"/>
      <c r="EP45" s="187"/>
      <c r="EQ45" s="187"/>
      <c r="ER45" s="187"/>
      <c r="ES45" s="187"/>
      <c r="ET45" s="187"/>
      <c r="EU45" s="187"/>
      <c r="EV45" s="187"/>
      <c r="EW45" s="187"/>
      <c r="EX45" s="187"/>
      <c r="EY45" s="187"/>
      <c r="EZ45" s="187"/>
      <c r="FA45" s="187"/>
      <c r="FB45" s="187"/>
      <c r="FC45" s="187"/>
    </row>
    <row r="46" spans="1:159" ht="15" x14ac:dyDescent="0.25">
      <c r="A46" s="187" t="s">
        <v>150</v>
      </c>
      <c r="B46" s="187" t="s">
        <v>151</v>
      </c>
      <c r="C46" s="187">
        <v>9144</v>
      </c>
      <c r="D46" s="187">
        <v>47</v>
      </c>
      <c r="E46" s="187">
        <v>2783</v>
      </c>
      <c r="F46" s="187">
        <v>1077</v>
      </c>
      <c r="G46" s="187">
        <v>1625</v>
      </c>
      <c r="H46" s="187">
        <v>14676</v>
      </c>
      <c r="I46" s="187">
        <v>13051</v>
      </c>
      <c r="J46" s="187">
        <v>58</v>
      </c>
      <c r="K46" s="187">
        <v>103.99</v>
      </c>
      <c r="L46" s="187">
        <v>100.99</v>
      </c>
      <c r="M46" s="187">
        <v>9.6300000000000008</v>
      </c>
      <c r="N46" s="187">
        <v>110.85</v>
      </c>
      <c r="O46" s="187">
        <v>7282</v>
      </c>
      <c r="P46" s="187">
        <v>95.95</v>
      </c>
      <c r="Q46" s="187">
        <v>93.18</v>
      </c>
      <c r="R46" s="187">
        <v>44.66</v>
      </c>
      <c r="S46" s="187">
        <v>137.78</v>
      </c>
      <c r="T46" s="187">
        <v>3124</v>
      </c>
      <c r="U46" s="187">
        <v>150.27000000000001</v>
      </c>
      <c r="V46" s="187">
        <v>1268</v>
      </c>
      <c r="W46" s="187">
        <v>140.6</v>
      </c>
      <c r="X46" s="187">
        <v>96</v>
      </c>
      <c r="Y46" s="187">
        <v>0</v>
      </c>
      <c r="Z46" s="187">
        <v>1</v>
      </c>
      <c r="AA46" s="187">
        <v>28</v>
      </c>
      <c r="AB46" s="187">
        <v>91</v>
      </c>
      <c r="AC46" s="187">
        <v>38</v>
      </c>
      <c r="AD46" s="187">
        <v>8753</v>
      </c>
      <c r="AE46" s="187">
        <v>112</v>
      </c>
      <c r="AF46" s="187">
        <v>26</v>
      </c>
      <c r="AG46" s="187">
        <v>138</v>
      </c>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7"/>
      <c r="BU46" s="187"/>
      <c r="BV46" s="187"/>
      <c r="BW46" s="187"/>
      <c r="BX46" s="187"/>
      <c r="BY46" s="187"/>
      <c r="BZ46" s="187"/>
      <c r="CA46" s="187"/>
      <c r="CB46" s="187"/>
      <c r="CC46" s="187"/>
      <c r="CD46" s="187"/>
      <c r="CE46" s="187"/>
      <c r="CF46" s="187"/>
      <c r="CG46" s="187"/>
      <c r="CH46" s="187"/>
      <c r="CI46" s="187"/>
      <c r="CJ46" s="187"/>
      <c r="CK46" s="187"/>
      <c r="CL46" s="187"/>
      <c r="CM46" s="187"/>
      <c r="CN46" s="187"/>
      <c r="CO46" s="187"/>
      <c r="CP46" s="187"/>
      <c r="CQ46" s="187"/>
      <c r="CR46" s="187"/>
      <c r="CS46" s="187"/>
      <c r="CT46" s="187"/>
      <c r="CU46" s="187"/>
      <c r="CV46" s="187"/>
      <c r="CW46" s="187"/>
      <c r="CX46" s="187"/>
      <c r="CY46" s="187"/>
      <c r="CZ46" s="187"/>
      <c r="DA46" s="187"/>
      <c r="DB46" s="187"/>
      <c r="DC46" s="187"/>
      <c r="DD46" s="187"/>
      <c r="DE46" s="187"/>
      <c r="DF46" s="187"/>
      <c r="DG46" s="187"/>
      <c r="DH46" s="187"/>
      <c r="DI46" s="187"/>
      <c r="DJ46" s="187"/>
      <c r="DK46" s="187"/>
      <c r="DL46" s="187"/>
      <c r="DM46" s="187"/>
      <c r="DN46" s="187"/>
      <c r="DO46" s="187"/>
      <c r="DP46" s="187"/>
      <c r="DQ46" s="187"/>
      <c r="DR46" s="187"/>
      <c r="DS46" s="187"/>
      <c r="DT46" s="187"/>
      <c r="DU46" s="187"/>
      <c r="DV46" s="187"/>
      <c r="DW46" s="187"/>
      <c r="DX46" s="187"/>
      <c r="DY46" s="187"/>
      <c r="DZ46" s="187"/>
      <c r="EA46" s="187"/>
      <c r="EB46" s="187"/>
      <c r="EC46" s="187"/>
      <c r="ED46" s="187"/>
      <c r="EE46" s="187"/>
      <c r="EF46" s="187"/>
      <c r="EG46" s="187"/>
      <c r="EH46" s="187"/>
      <c r="EI46" s="187"/>
      <c r="EJ46" s="187"/>
      <c r="EK46" s="187"/>
      <c r="EL46" s="187"/>
      <c r="EM46" s="187"/>
      <c r="EN46" s="187"/>
      <c r="EO46" s="187"/>
      <c r="EP46" s="187"/>
      <c r="EQ46" s="187"/>
      <c r="ER46" s="187"/>
      <c r="ES46" s="187"/>
      <c r="ET46" s="187"/>
      <c r="EU46" s="187"/>
      <c r="EV46" s="187"/>
      <c r="EW46" s="187"/>
      <c r="EX46" s="187"/>
      <c r="EY46" s="187"/>
      <c r="EZ46" s="187"/>
      <c r="FA46" s="187"/>
      <c r="FB46" s="187"/>
      <c r="FC46" s="187"/>
    </row>
    <row r="47" spans="1:159" ht="15" x14ac:dyDescent="0.25">
      <c r="A47" s="187" t="s">
        <v>152</v>
      </c>
      <c r="B47" s="187" t="s">
        <v>153</v>
      </c>
      <c r="C47" s="187">
        <v>5221</v>
      </c>
      <c r="D47" s="187">
        <v>2</v>
      </c>
      <c r="E47" s="187">
        <v>148</v>
      </c>
      <c r="F47" s="187">
        <v>600</v>
      </c>
      <c r="G47" s="187">
        <v>640</v>
      </c>
      <c r="H47" s="187">
        <v>6611</v>
      </c>
      <c r="I47" s="187">
        <v>5971</v>
      </c>
      <c r="J47" s="187">
        <v>45</v>
      </c>
      <c r="K47" s="187">
        <v>97.81</v>
      </c>
      <c r="L47" s="187">
        <v>94.66</v>
      </c>
      <c r="M47" s="187">
        <v>2.59</v>
      </c>
      <c r="N47" s="187">
        <v>99.59</v>
      </c>
      <c r="O47" s="187">
        <v>3675</v>
      </c>
      <c r="P47" s="187">
        <v>94.73</v>
      </c>
      <c r="Q47" s="187">
        <v>81.599999999999994</v>
      </c>
      <c r="R47" s="187">
        <v>36.08</v>
      </c>
      <c r="S47" s="187">
        <v>130.72</v>
      </c>
      <c r="T47" s="187">
        <v>746</v>
      </c>
      <c r="U47" s="187">
        <v>124.49</v>
      </c>
      <c r="V47" s="187">
        <v>1363</v>
      </c>
      <c r="W47" s="187">
        <v>0</v>
      </c>
      <c r="X47" s="187">
        <v>0</v>
      </c>
      <c r="Y47" s="187">
        <v>28</v>
      </c>
      <c r="Z47" s="187">
        <v>2</v>
      </c>
      <c r="AA47" s="187">
        <v>7</v>
      </c>
      <c r="AB47" s="187">
        <v>134</v>
      </c>
      <c r="AC47" s="187">
        <v>7</v>
      </c>
      <c r="AD47" s="187">
        <v>5175</v>
      </c>
      <c r="AE47" s="187">
        <v>34</v>
      </c>
      <c r="AF47" s="187">
        <v>45</v>
      </c>
      <c r="AG47" s="187">
        <v>79</v>
      </c>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7"/>
      <c r="BR47" s="187"/>
      <c r="BS47" s="187"/>
      <c r="BT47" s="187"/>
      <c r="BU47" s="187"/>
      <c r="BV47" s="187"/>
      <c r="BW47" s="187"/>
      <c r="BX47" s="187"/>
      <c r="BY47" s="187"/>
      <c r="BZ47" s="187"/>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c r="DP47" s="187"/>
      <c r="DQ47" s="187"/>
      <c r="DR47" s="187"/>
      <c r="DS47" s="187"/>
      <c r="DT47" s="187"/>
      <c r="DU47" s="187"/>
      <c r="DV47" s="187"/>
      <c r="DW47" s="187"/>
      <c r="DX47" s="187"/>
      <c r="DY47" s="187"/>
      <c r="DZ47" s="187"/>
      <c r="EA47" s="187"/>
      <c r="EB47" s="187"/>
      <c r="EC47" s="187"/>
      <c r="ED47" s="187"/>
      <c r="EE47" s="187"/>
      <c r="EF47" s="187"/>
      <c r="EG47" s="187"/>
      <c r="EH47" s="187"/>
      <c r="EI47" s="187"/>
      <c r="EJ47" s="187"/>
      <c r="EK47" s="187"/>
      <c r="EL47" s="187"/>
      <c r="EM47" s="187"/>
      <c r="EN47" s="187"/>
      <c r="EO47" s="187"/>
      <c r="EP47" s="187"/>
      <c r="EQ47" s="187"/>
      <c r="ER47" s="187"/>
      <c r="ES47" s="187"/>
      <c r="ET47" s="187"/>
      <c r="EU47" s="187"/>
      <c r="EV47" s="187"/>
      <c r="EW47" s="187"/>
      <c r="EX47" s="187"/>
      <c r="EY47" s="187"/>
      <c r="EZ47" s="187"/>
      <c r="FA47" s="187"/>
      <c r="FB47" s="187"/>
      <c r="FC47" s="187"/>
    </row>
    <row r="48" spans="1:159" ht="15" x14ac:dyDescent="0.25">
      <c r="A48" s="187" t="s">
        <v>154</v>
      </c>
      <c r="B48" s="187" t="s">
        <v>155</v>
      </c>
      <c r="C48" s="187">
        <v>16499</v>
      </c>
      <c r="D48" s="187">
        <v>108</v>
      </c>
      <c r="E48" s="187">
        <v>590</v>
      </c>
      <c r="F48" s="187">
        <v>2030</v>
      </c>
      <c r="G48" s="187">
        <v>1188</v>
      </c>
      <c r="H48" s="187">
        <v>20415</v>
      </c>
      <c r="I48" s="187">
        <v>19227</v>
      </c>
      <c r="J48" s="187">
        <v>76</v>
      </c>
      <c r="K48" s="187">
        <v>122.21</v>
      </c>
      <c r="L48" s="187">
        <v>118.55</v>
      </c>
      <c r="M48" s="187">
        <v>12.04</v>
      </c>
      <c r="N48" s="187">
        <v>129.5</v>
      </c>
      <c r="O48" s="187">
        <v>13312</v>
      </c>
      <c r="P48" s="187">
        <v>115.49</v>
      </c>
      <c r="Q48" s="187">
        <v>105.56</v>
      </c>
      <c r="R48" s="187">
        <v>51.43</v>
      </c>
      <c r="S48" s="187">
        <v>165.18</v>
      </c>
      <c r="T48" s="187">
        <v>2073</v>
      </c>
      <c r="U48" s="187">
        <v>190.08</v>
      </c>
      <c r="V48" s="187">
        <v>1918</v>
      </c>
      <c r="W48" s="187">
        <v>0</v>
      </c>
      <c r="X48" s="187">
        <v>0</v>
      </c>
      <c r="Y48" s="187">
        <v>0</v>
      </c>
      <c r="Z48" s="187">
        <v>5</v>
      </c>
      <c r="AA48" s="187">
        <v>45</v>
      </c>
      <c r="AB48" s="187">
        <v>33</v>
      </c>
      <c r="AC48" s="187">
        <v>35</v>
      </c>
      <c r="AD48" s="187">
        <v>15417</v>
      </c>
      <c r="AE48" s="187">
        <v>243</v>
      </c>
      <c r="AF48" s="187">
        <v>111</v>
      </c>
      <c r="AG48" s="187">
        <v>354</v>
      </c>
      <c r="AH48" s="187"/>
      <c r="AI48" s="187"/>
      <c r="AJ48" s="187"/>
      <c r="AK48" s="187"/>
      <c r="AL48" s="187"/>
      <c r="AM48" s="187"/>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7"/>
      <c r="BR48" s="187"/>
      <c r="BS48" s="187"/>
      <c r="BT48" s="187"/>
      <c r="BU48" s="187"/>
      <c r="BV48" s="187"/>
      <c r="BW48" s="187"/>
      <c r="BX48" s="187"/>
      <c r="BY48" s="187"/>
      <c r="BZ48" s="187"/>
      <c r="CA48" s="187"/>
      <c r="CB48" s="187"/>
      <c r="CC48" s="187"/>
      <c r="CD48" s="187"/>
      <c r="CE48" s="187"/>
      <c r="CF48" s="187"/>
      <c r="CG48" s="187"/>
      <c r="CH48" s="187"/>
      <c r="CI48" s="187"/>
      <c r="CJ48" s="187"/>
      <c r="CK48" s="187"/>
      <c r="CL48" s="187"/>
      <c r="CM48" s="187"/>
      <c r="CN48" s="187"/>
      <c r="CO48" s="187"/>
      <c r="CP48" s="187"/>
      <c r="CQ48" s="187"/>
      <c r="CR48" s="187"/>
      <c r="CS48" s="187"/>
      <c r="CT48" s="187"/>
      <c r="CU48" s="187"/>
      <c r="CV48" s="187"/>
      <c r="CW48" s="187"/>
      <c r="CX48" s="187"/>
      <c r="CY48" s="187"/>
      <c r="CZ48" s="187"/>
      <c r="DA48" s="187"/>
      <c r="DB48" s="187"/>
      <c r="DC48" s="187"/>
      <c r="DD48" s="187"/>
      <c r="DE48" s="187"/>
      <c r="DF48" s="187"/>
      <c r="DG48" s="187"/>
      <c r="DH48" s="187"/>
      <c r="DI48" s="187"/>
      <c r="DJ48" s="187"/>
      <c r="DK48" s="187"/>
      <c r="DL48" s="187"/>
      <c r="DM48" s="187"/>
      <c r="DN48" s="187"/>
      <c r="DO48" s="187"/>
      <c r="DP48" s="187"/>
      <c r="DQ48" s="187"/>
      <c r="DR48" s="187"/>
      <c r="DS48" s="187"/>
      <c r="DT48" s="187"/>
      <c r="DU48" s="187"/>
      <c r="DV48" s="187"/>
      <c r="DW48" s="187"/>
      <c r="DX48" s="187"/>
      <c r="DY48" s="187"/>
      <c r="DZ48" s="187"/>
      <c r="EA48" s="187"/>
      <c r="EB48" s="187"/>
      <c r="EC48" s="187"/>
      <c r="ED48" s="187"/>
      <c r="EE48" s="187"/>
      <c r="EF48" s="187"/>
      <c r="EG48" s="187"/>
      <c r="EH48" s="187"/>
      <c r="EI48" s="187"/>
      <c r="EJ48" s="187"/>
      <c r="EK48" s="187"/>
      <c r="EL48" s="187"/>
      <c r="EM48" s="187"/>
      <c r="EN48" s="187"/>
      <c r="EO48" s="187"/>
      <c r="EP48" s="187"/>
      <c r="EQ48" s="187"/>
      <c r="ER48" s="187"/>
      <c r="ES48" s="187"/>
      <c r="ET48" s="187"/>
      <c r="EU48" s="187"/>
      <c r="EV48" s="187"/>
      <c r="EW48" s="187"/>
      <c r="EX48" s="187"/>
      <c r="EY48" s="187"/>
      <c r="EZ48" s="187"/>
      <c r="FA48" s="187"/>
      <c r="FB48" s="187"/>
      <c r="FC48" s="187"/>
    </row>
    <row r="49" spans="1:159" ht="15" x14ac:dyDescent="0.25">
      <c r="A49" s="187" t="s">
        <v>156</v>
      </c>
      <c r="B49" s="187" t="s">
        <v>157</v>
      </c>
      <c r="C49" s="187">
        <v>3490</v>
      </c>
      <c r="D49" s="187">
        <v>0</v>
      </c>
      <c r="E49" s="187">
        <v>73</v>
      </c>
      <c r="F49" s="187">
        <v>1006</v>
      </c>
      <c r="G49" s="187">
        <v>440</v>
      </c>
      <c r="H49" s="187">
        <v>5009</v>
      </c>
      <c r="I49" s="187">
        <v>4569</v>
      </c>
      <c r="J49" s="187">
        <v>0</v>
      </c>
      <c r="K49" s="187">
        <v>98.11</v>
      </c>
      <c r="L49" s="187">
        <v>97.91</v>
      </c>
      <c r="M49" s="187">
        <v>4.87</v>
      </c>
      <c r="N49" s="187">
        <v>101.32</v>
      </c>
      <c r="O49" s="187">
        <v>3104</v>
      </c>
      <c r="P49" s="187">
        <v>90.19</v>
      </c>
      <c r="Q49" s="187">
        <v>90.23</v>
      </c>
      <c r="R49" s="187">
        <v>25.55</v>
      </c>
      <c r="S49" s="187">
        <v>115.74</v>
      </c>
      <c r="T49" s="187">
        <v>1036</v>
      </c>
      <c r="U49" s="187">
        <v>123.71</v>
      </c>
      <c r="V49" s="187">
        <v>347</v>
      </c>
      <c r="W49" s="187">
        <v>0</v>
      </c>
      <c r="X49" s="187">
        <v>0</v>
      </c>
      <c r="Y49" s="187">
        <v>0</v>
      </c>
      <c r="Z49" s="187">
        <v>4</v>
      </c>
      <c r="AA49" s="187">
        <v>1</v>
      </c>
      <c r="AB49" s="187">
        <v>7</v>
      </c>
      <c r="AC49" s="187">
        <v>10</v>
      </c>
      <c r="AD49" s="187">
        <v>3490</v>
      </c>
      <c r="AE49" s="187">
        <v>30</v>
      </c>
      <c r="AF49" s="187">
        <v>9</v>
      </c>
      <c r="AG49" s="187">
        <v>39</v>
      </c>
      <c r="AH49" s="187"/>
      <c r="AI49" s="187"/>
      <c r="AJ49" s="187"/>
      <c r="AK49" s="187"/>
      <c r="AL49" s="187"/>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7"/>
      <c r="BR49" s="187"/>
      <c r="BS49" s="187"/>
      <c r="BT49" s="187"/>
      <c r="BU49" s="187"/>
      <c r="BV49" s="187"/>
      <c r="BW49" s="187"/>
      <c r="BX49" s="187"/>
      <c r="BY49" s="187"/>
      <c r="BZ49" s="187"/>
      <c r="CA49" s="187"/>
      <c r="CB49" s="187"/>
      <c r="CC49" s="187"/>
      <c r="CD49" s="187"/>
      <c r="CE49" s="187"/>
      <c r="CF49" s="187"/>
      <c r="CG49" s="187"/>
      <c r="CH49" s="187"/>
      <c r="CI49" s="187"/>
      <c r="CJ49" s="187"/>
      <c r="CK49" s="187"/>
      <c r="CL49" s="187"/>
      <c r="CM49" s="187"/>
      <c r="CN49" s="187"/>
      <c r="CO49" s="187"/>
      <c r="CP49" s="187"/>
      <c r="CQ49" s="187"/>
      <c r="CR49" s="187"/>
      <c r="CS49" s="187"/>
      <c r="CT49" s="187"/>
      <c r="CU49" s="187"/>
      <c r="CV49" s="187"/>
      <c r="CW49" s="187"/>
      <c r="CX49" s="187"/>
      <c r="CY49" s="187"/>
      <c r="CZ49" s="187"/>
      <c r="DA49" s="187"/>
      <c r="DB49" s="187"/>
      <c r="DC49" s="187"/>
      <c r="DD49" s="187"/>
      <c r="DE49" s="187"/>
      <c r="DF49" s="187"/>
      <c r="DG49" s="187"/>
      <c r="DH49" s="187"/>
      <c r="DI49" s="187"/>
      <c r="DJ49" s="187"/>
      <c r="DK49" s="187"/>
      <c r="DL49" s="187"/>
      <c r="DM49" s="187"/>
      <c r="DN49" s="187"/>
      <c r="DO49" s="187"/>
      <c r="DP49" s="187"/>
      <c r="DQ49" s="187"/>
      <c r="DR49" s="187"/>
      <c r="DS49" s="187"/>
      <c r="DT49" s="187"/>
      <c r="DU49" s="187"/>
      <c r="DV49" s="187"/>
      <c r="DW49" s="187"/>
      <c r="DX49" s="187"/>
      <c r="DY49" s="187"/>
      <c r="DZ49" s="187"/>
      <c r="EA49" s="187"/>
      <c r="EB49" s="187"/>
      <c r="EC49" s="187"/>
      <c r="ED49" s="187"/>
      <c r="EE49" s="187"/>
      <c r="EF49" s="187"/>
      <c r="EG49" s="187"/>
      <c r="EH49" s="187"/>
      <c r="EI49" s="187"/>
      <c r="EJ49" s="187"/>
      <c r="EK49" s="187"/>
      <c r="EL49" s="187"/>
      <c r="EM49" s="187"/>
      <c r="EN49" s="187"/>
      <c r="EO49" s="187"/>
      <c r="EP49" s="187"/>
      <c r="EQ49" s="187"/>
      <c r="ER49" s="187"/>
      <c r="ES49" s="187"/>
      <c r="ET49" s="187"/>
      <c r="EU49" s="187"/>
      <c r="EV49" s="187"/>
      <c r="EW49" s="187"/>
      <c r="EX49" s="187"/>
      <c r="EY49" s="187"/>
      <c r="EZ49" s="187"/>
      <c r="FA49" s="187"/>
      <c r="FB49" s="187"/>
      <c r="FC49" s="187"/>
    </row>
    <row r="50" spans="1:159" ht="15" x14ac:dyDescent="0.25">
      <c r="A50" s="187" t="s">
        <v>158</v>
      </c>
      <c r="B50" s="187" t="s">
        <v>159</v>
      </c>
      <c r="C50" s="187">
        <v>5004</v>
      </c>
      <c r="D50" s="187">
        <v>0</v>
      </c>
      <c r="E50" s="187">
        <v>108</v>
      </c>
      <c r="F50" s="187">
        <v>376</v>
      </c>
      <c r="G50" s="187">
        <v>495</v>
      </c>
      <c r="H50" s="187">
        <v>5983</v>
      </c>
      <c r="I50" s="187">
        <v>5488</v>
      </c>
      <c r="J50" s="187">
        <v>17</v>
      </c>
      <c r="K50" s="187">
        <v>120.74</v>
      </c>
      <c r="L50" s="187">
        <v>117.53</v>
      </c>
      <c r="M50" s="187">
        <v>10.29</v>
      </c>
      <c r="N50" s="187">
        <v>127.13</v>
      </c>
      <c r="O50" s="187">
        <v>3961</v>
      </c>
      <c r="P50" s="187">
        <v>107.54</v>
      </c>
      <c r="Q50" s="187">
        <v>97.13</v>
      </c>
      <c r="R50" s="187">
        <v>38.67</v>
      </c>
      <c r="S50" s="187">
        <v>145.56</v>
      </c>
      <c r="T50" s="187">
        <v>480</v>
      </c>
      <c r="U50" s="187">
        <v>190.04</v>
      </c>
      <c r="V50" s="187">
        <v>1020</v>
      </c>
      <c r="W50" s="187">
        <v>0</v>
      </c>
      <c r="X50" s="187">
        <v>0</v>
      </c>
      <c r="Y50" s="187">
        <v>0</v>
      </c>
      <c r="Z50" s="187">
        <v>6</v>
      </c>
      <c r="AA50" s="187">
        <v>2</v>
      </c>
      <c r="AB50" s="187">
        <v>45</v>
      </c>
      <c r="AC50" s="187">
        <v>14</v>
      </c>
      <c r="AD50" s="187">
        <v>5004</v>
      </c>
      <c r="AE50" s="187">
        <v>31</v>
      </c>
      <c r="AF50" s="187">
        <v>18</v>
      </c>
      <c r="AG50" s="187">
        <v>49</v>
      </c>
      <c r="AH50" s="187"/>
      <c r="AI50" s="187"/>
      <c r="AJ50" s="187"/>
      <c r="AK50" s="187"/>
      <c r="AL50" s="187"/>
      <c r="AM50" s="187"/>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7"/>
      <c r="BR50" s="187"/>
      <c r="BS50" s="187"/>
      <c r="BT50" s="187"/>
      <c r="BU50" s="187"/>
      <c r="BV50" s="187"/>
      <c r="BW50" s="187"/>
      <c r="BX50" s="187"/>
      <c r="BY50" s="187"/>
      <c r="BZ50" s="187"/>
      <c r="CA50" s="187"/>
      <c r="CB50" s="187"/>
      <c r="CC50" s="187"/>
      <c r="CD50" s="187"/>
      <c r="CE50" s="187"/>
      <c r="CF50" s="187"/>
      <c r="CG50" s="187"/>
      <c r="CH50" s="187"/>
      <c r="CI50" s="187"/>
      <c r="CJ50" s="187"/>
      <c r="CK50" s="187"/>
      <c r="CL50" s="187"/>
      <c r="CM50" s="187"/>
      <c r="CN50" s="187"/>
      <c r="CO50" s="187"/>
      <c r="CP50" s="187"/>
      <c r="CQ50" s="187"/>
      <c r="CR50" s="187"/>
      <c r="CS50" s="187"/>
      <c r="CT50" s="187"/>
      <c r="CU50" s="187"/>
      <c r="CV50" s="187"/>
      <c r="CW50" s="187"/>
      <c r="CX50" s="187"/>
      <c r="CY50" s="187"/>
      <c r="CZ50" s="187"/>
      <c r="DA50" s="187"/>
      <c r="DB50" s="187"/>
      <c r="DC50" s="187"/>
      <c r="DD50" s="187"/>
      <c r="DE50" s="187"/>
      <c r="DF50" s="187"/>
      <c r="DG50" s="187"/>
      <c r="DH50" s="187"/>
      <c r="DI50" s="187"/>
      <c r="DJ50" s="187"/>
      <c r="DK50" s="187"/>
      <c r="DL50" s="187"/>
      <c r="DM50" s="187"/>
      <c r="DN50" s="187"/>
      <c r="DO50" s="187"/>
      <c r="DP50" s="187"/>
      <c r="DQ50" s="187"/>
      <c r="DR50" s="187"/>
      <c r="DS50" s="187"/>
      <c r="DT50" s="187"/>
      <c r="DU50" s="187"/>
      <c r="DV50" s="187"/>
      <c r="DW50" s="187"/>
      <c r="DX50" s="187"/>
      <c r="DY50" s="187"/>
      <c r="DZ50" s="187"/>
      <c r="EA50" s="187"/>
      <c r="EB50" s="187"/>
      <c r="EC50" s="187"/>
      <c r="ED50" s="187"/>
      <c r="EE50" s="187"/>
      <c r="EF50" s="187"/>
      <c r="EG50" s="187"/>
      <c r="EH50" s="187"/>
      <c r="EI50" s="187"/>
      <c r="EJ50" s="187"/>
      <c r="EK50" s="187"/>
      <c r="EL50" s="187"/>
      <c r="EM50" s="187"/>
      <c r="EN50" s="187"/>
      <c r="EO50" s="187"/>
      <c r="EP50" s="187"/>
      <c r="EQ50" s="187"/>
      <c r="ER50" s="187"/>
      <c r="ES50" s="187"/>
      <c r="ET50" s="187"/>
      <c r="EU50" s="187"/>
      <c r="EV50" s="187"/>
      <c r="EW50" s="187"/>
      <c r="EX50" s="187"/>
      <c r="EY50" s="187"/>
      <c r="EZ50" s="187"/>
      <c r="FA50" s="187"/>
      <c r="FB50" s="187"/>
      <c r="FC50" s="187"/>
    </row>
    <row r="51" spans="1:159" ht="15" x14ac:dyDescent="0.25">
      <c r="A51" s="187" t="s">
        <v>160</v>
      </c>
      <c r="B51" s="187" t="s">
        <v>161</v>
      </c>
      <c r="C51" s="187">
        <v>1189</v>
      </c>
      <c r="D51" s="187">
        <v>0</v>
      </c>
      <c r="E51" s="187">
        <v>124</v>
      </c>
      <c r="F51" s="187">
        <v>108</v>
      </c>
      <c r="G51" s="187">
        <v>122</v>
      </c>
      <c r="H51" s="187">
        <v>1543</v>
      </c>
      <c r="I51" s="187">
        <v>1421</v>
      </c>
      <c r="J51" s="187">
        <v>5</v>
      </c>
      <c r="K51" s="187">
        <v>87.67</v>
      </c>
      <c r="L51" s="187">
        <v>85.36</v>
      </c>
      <c r="M51" s="187">
        <v>7.33</v>
      </c>
      <c r="N51" s="187">
        <v>93.89</v>
      </c>
      <c r="O51" s="187">
        <v>947</v>
      </c>
      <c r="P51" s="187">
        <v>105.61</v>
      </c>
      <c r="Q51" s="187">
        <v>75.95</v>
      </c>
      <c r="R51" s="187">
        <v>68.8</v>
      </c>
      <c r="S51" s="187">
        <v>174.08</v>
      </c>
      <c r="T51" s="187">
        <v>204</v>
      </c>
      <c r="U51" s="187">
        <v>111.2</v>
      </c>
      <c r="V51" s="187">
        <v>217</v>
      </c>
      <c r="W51" s="187">
        <v>212.11</v>
      </c>
      <c r="X51" s="187">
        <v>28</v>
      </c>
      <c r="Y51" s="187">
        <v>0</v>
      </c>
      <c r="Z51" s="187">
        <v>0</v>
      </c>
      <c r="AA51" s="187">
        <v>0</v>
      </c>
      <c r="AB51" s="187">
        <v>5</v>
      </c>
      <c r="AC51" s="187">
        <v>5</v>
      </c>
      <c r="AD51" s="187">
        <v>1189</v>
      </c>
      <c r="AE51" s="187">
        <v>7</v>
      </c>
      <c r="AF51" s="187">
        <v>7</v>
      </c>
      <c r="AG51" s="187">
        <v>14</v>
      </c>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7"/>
      <c r="BR51" s="187"/>
      <c r="BS51" s="187"/>
      <c r="BT51" s="187"/>
      <c r="BU51" s="187"/>
      <c r="BV51" s="187"/>
      <c r="BW51" s="187"/>
      <c r="BX51" s="187"/>
      <c r="BY51" s="187"/>
      <c r="BZ51" s="187"/>
      <c r="CA51" s="187"/>
      <c r="CB51" s="187"/>
      <c r="CC51" s="187"/>
      <c r="CD51" s="187"/>
      <c r="CE51" s="187"/>
      <c r="CF51" s="187"/>
      <c r="CG51" s="187"/>
      <c r="CH51" s="187"/>
      <c r="CI51" s="187"/>
      <c r="CJ51" s="187"/>
      <c r="CK51" s="187"/>
      <c r="CL51" s="187"/>
      <c r="CM51" s="187"/>
      <c r="CN51" s="187"/>
      <c r="CO51" s="187"/>
      <c r="CP51" s="187"/>
      <c r="CQ51" s="187"/>
      <c r="CR51" s="187"/>
      <c r="CS51" s="187"/>
      <c r="CT51" s="187"/>
      <c r="CU51" s="187"/>
      <c r="CV51" s="187"/>
      <c r="CW51" s="187"/>
      <c r="CX51" s="187"/>
      <c r="CY51" s="187"/>
      <c r="CZ51" s="187"/>
      <c r="DA51" s="187"/>
      <c r="DB51" s="187"/>
      <c r="DC51" s="187"/>
      <c r="DD51" s="187"/>
      <c r="DE51" s="187"/>
      <c r="DF51" s="187"/>
      <c r="DG51" s="187"/>
      <c r="DH51" s="187"/>
      <c r="DI51" s="187"/>
      <c r="DJ51" s="187"/>
      <c r="DK51" s="187"/>
      <c r="DL51" s="187"/>
      <c r="DM51" s="187"/>
      <c r="DN51" s="187"/>
      <c r="DO51" s="187"/>
      <c r="DP51" s="187"/>
      <c r="DQ51" s="187"/>
      <c r="DR51" s="187"/>
      <c r="DS51" s="187"/>
      <c r="DT51" s="187"/>
      <c r="DU51" s="187"/>
      <c r="DV51" s="187"/>
      <c r="DW51" s="187"/>
      <c r="DX51" s="187"/>
      <c r="DY51" s="187"/>
      <c r="DZ51" s="187"/>
      <c r="EA51" s="187"/>
      <c r="EB51" s="187"/>
      <c r="EC51" s="187"/>
      <c r="ED51" s="187"/>
      <c r="EE51" s="187"/>
      <c r="EF51" s="187"/>
      <c r="EG51" s="187"/>
      <c r="EH51" s="187"/>
      <c r="EI51" s="187"/>
      <c r="EJ51" s="187"/>
      <c r="EK51" s="187"/>
      <c r="EL51" s="187"/>
      <c r="EM51" s="187"/>
      <c r="EN51" s="187"/>
      <c r="EO51" s="187"/>
      <c r="EP51" s="187"/>
      <c r="EQ51" s="187"/>
      <c r="ER51" s="187"/>
      <c r="ES51" s="187"/>
      <c r="ET51" s="187"/>
      <c r="EU51" s="187"/>
      <c r="EV51" s="187"/>
      <c r="EW51" s="187"/>
      <c r="EX51" s="187"/>
      <c r="EY51" s="187"/>
      <c r="EZ51" s="187"/>
      <c r="FA51" s="187"/>
      <c r="FB51" s="187"/>
      <c r="FC51" s="187"/>
    </row>
    <row r="52" spans="1:159" ht="15" x14ac:dyDescent="0.25">
      <c r="A52" s="187" t="s">
        <v>775</v>
      </c>
      <c r="B52" s="187" t="s">
        <v>770</v>
      </c>
      <c r="C52" s="187">
        <v>26005</v>
      </c>
      <c r="D52" s="187">
        <v>3</v>
      </c>
      <c r="E52" s="187">
        <v>954</v>
      </c>
      <c r="F52" s="187">
        <v>3245</v>
      </c>
      <c r="G52" s="187">
        <v>2786</v>
      </c>
      <c r="H52" s="187">
        <v>32993</v>
      </c>
      <c r="I52" s="187">
        <v>30207</v>
      </c>
      <c r="J52" s="187">
        <v>60</v>
      </c>
      <c r="K52" s="187">
        <v>118.26</v>
      </c>
      <c r="L52" s="187">
        <v>123.7</v>
      </c>
      <c r="M52" s="187">
        <v>5.18</v>
      </c>
      <c r="N52" s="187">
        <v>122.21</v>
      </c>
      <c r="O52" s="187">
        <v>21209</v>
      </c>
      <c r="P52" s="187">
        <v>109.4</v>
      </c>
      <c r="Q52" s="187">
        <v>103.1</v>
      </c>
      <c r="R52" s="187">
        <v>35.450000000000003</v>
      </c>
      <c r="S52" s="187">
        <v>143.26</v>
      </c>
      <c r="T52" s="187">
        <v>3833</v>
      </c>
      <c r="U52" s="187">
        <v>181.67</v>
      </c>
      <c r="V52" s="187">
        <v>4481</v>
      </c>
      <c r="W52" s="187">
        <v>162.1</v>
      </c>
      <c r="X52" s="187">
        <v>61</v>
      </c>
      <c r="Y52" s="187">
        <v>341</v>
      </c>
      <c r="Z52" s="187">
        <v>43</v>
      </c>
      <c r="AA52" s="187">
        <v>39</v>
      </c>
      <c r="AB52" s="187">
        <v>173</v>
      </c>
      <c r="AC52" s="187">
        <v>58</v>
      </c>
      <c r="AD52" s="187">
        <v>25960</v>
      </c>
      <c r="AE52" s="187">
        <v>140</v>
      </c>
      <c r="AF52" s="187">
        <v>232</v>
      </c>
      <c r="AG52" s="187">
        <v>372</v>
      </c>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7"/>
      <c r="BR52" s="187"/>
      <c r="BS52" s="187"/>
      <c r="BT52" s="187"/>
      <c r="BU52" s="187"/>
      <c r="BV52" s="187"/>
      <c r="BW52" s="187"/>
      <c r="BX52" s="187"/>
      <c r="BY52" s="187"/>
      <c r="BZ52" s="187"/>
      <c r="CA52" s="187"/>
      <c r="CB52" s="187"/>
      <c r="CC52" s="187"/>
      <c r="CD52" s="187"/>
      <c r="CE52" s="187"/>
      <c r="CF52" s="187"/>
      <c r="CG52" s="187"/>
      <c r="CH52" s="187"/>
      <c r="CI52" s="187"/>
      <c r="CJ52" s="187"/>
      <c r="CK52" s="187"/>
      <c r="CL52" s="187"/>
      <c r="CM52" s="187"/>
      <c r="CN52" s="187"/>
      <c r="CO52" s="187"/>
      <c r="CP52" s="187"/>
      <c r="CQ52" s="187"/>
      <c r="CR52" s="187"/>
      <c r="CS52" s="187"/>
      <c r="CT52" s="187"/>
      <c r="CU52" s="187"/>
      <c r="CV52" s="187"/>
      <c r="CW52" s="187"/>
      <c r="CX52" s="187"/>
      <c r="CY52" s="187"/>
      <c r="CZ52" s="187"/>
      <c r="DA52" s="187"/>
      <c r="DB52" s="187"/>
      <c r="DC52" s="187"/>
      <c r="DD52" s="187"/>
      <c r="DE52" s="187"/>
      <c r="DF52" s="187"/>
      <c r="DG52" s="187"/>
      <c r="DH52" s="187"/>
      <c r="DI52" s="187"/>
      <c r="DJ52" s="187"/>
      <c r="DK52" s="187"/>
      <c r="DL52" s="187"/>
      <c r="DM52" s="187"/>
      <c r="DN52" s="187"/>
      <c r="DO52" s="187"/>
      <c r="DP52" s="187"/>
      <c r="DQ52" s="187"/>
      <c r="DR52" s="187"/>
      <c r="DS52" s="187"/>
      <c r="DT52" s="187"/>
      <c r="DU52" s="187"/>
      <c r="DV52" s="187"/>
      <c r="DW52" s="187"/>
      <c r="DX52" s="187"/>
      <c r="DY52" s="187"/>
      <c r="DZ52" s="187"/>
      <c r="EA52" s="187"/>
      <c r="EB52" s="187"/>
      <c r="EC52" s="187"/>
      <c r="ED52" s="187"/>
      <c r="EE52" s="187"/>
      <c r="EF52" s="187"/>
      <c r="EG52" s="187"/>
      <c r="EH52" s="187"/>
      <c r="EI52" s="187"/>
      <c r="EJ52" s="187"/>
      <c r="EK52" s="187"/>
      <c r="EL52" s="187"/>
      <c r="EM52" s="187"/>
      <c r="EN52" s="187"/>
      <c r="EO52" s="187"/>
      <c r="EP52" s="187"/>
      <c r="EQ52" s="187"/>
      <c r="ER52" s="187"/>
      <c r="ES52" s="187"/>
      <c r="ET52" s="187"/>
      <c r="EU52" s="187"/>
      <c r="EV52" s="187"/>
      <c r="EW52" s="187"/>
      <c r="EX52" s="187"/>
      <c r="EY52" s="187"/>
      <c r="EZ52" s="187"/>
      <c r="FA52" s="187"/>
      <c r="FB52" s="187"/>
      <c r="FC52" s="187"/>
    </row>
    <row r="53" spans="1:159" ht="15" x14ac:dyDescent="0.25">
      <c r="A53" s="187" t="s">
        <v>162</v>
      </c>
      <c r="B53" s="187" t="s">
        <v>163</v>
      </c>
      <c r="C53" s="187">
        <v>4666</v>
      </c>
      <c r="D53" s="187">
        <v>0</v>
      </c>
      <c r="E53" s="187">
        <v>322</v>
      </c>
      <c r="F53" s="187">
        <v>1492</v>
      </c>
      <c r="G53" s="187">
        <v>61</v>
      </c>
      <c r="H53" s="187">
        <v>6541</v>
      </c>
      <c r="I53" s="187">
        <v>6480</v>
      </c>
      <c r="J53" s="187">
        <v>7</v>
      </c>
      <c r="K53" s="187">
        <v>85.93</v>
      </c>
      <c r="L53" s="187">
        <v>82.29</v>
      </c>
      <c r="M53" s="187">
        <v>2.86</v>
      </c>
      <c r="N53" s="187">
        <v>88.52</v>
      </c>
      <c r="O53" s="187">
        <v>3770</v>
      </c>
      <c r="P53" s="187">
        <v>83.31</v>
      </c>
      <c r="Q53" s="187">
        <v>73.33</v>
      </c>
      <c r="R53" s="187">
        <v>32.6</v>
      </c>
      <c r="S53" s="187">
        <v>115.63</v>
      </c>
      <c r="T53" s="187">
        <v>1595</v>
      </c>
      <c r="U53" s="187">
        <v>103.09</v>
      </c>
      <c r="V53" s="187">
        <v>858</v>
      </c>
      <c r="W53" s="187">
        <v>267.20999999999998</v>
      </c>
      <c r="X53" s="187">
        <v>144</v>
      </c>
      <c r="Y53" s="187">
        <v>0</v>
      </c>
      <c r="Z53" s="187">
        <v>31</v>
      </c>
      <c r="AA53" s="187">
        <v>1</v>
      </c>
      <c r="AB53" s="187">
        <v>0</v>
      </c>
      <c r="AC53" s="187">
        <v>1</v>
      </c>
      <c r="AD53" s="187">
        <v>4633</v>
      </c>
      <c r="AE53" s="187">
        <v>40</v>
      </c>
      <c r="AF53" s="187">
        <v>13</v>
      </c>
      <c r="AG53" s="187">
        <v>53</v>
      </c>
      <c r="AH53" s="187"/>
      <c r="AI53" s="187"/>
      <c r="AJ53" s="187"/>
      <c r="AK53" s="187"/>
      <c r="AL53" s="187"/>
      <c r="AM53" s="187"/>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7"/>
      <c r="BR53" s="187"/>
      <c r="BS53" s="187"/>
      <c r="BT53" s="187"/>
      <c r="BU53" s="187"/>
      <c r="BV53" s="187"/>
      <c r="BW53" s="187"/>
      <c r="BX53" s="187"/>
      <c r="BY53" s="187"/>
      <c r="BZ53" s="187"/>
      <c r="CA53" s="187"/>
      <c r="CB53" s="187"/>
      <c r="CC53" s="187"/>
      <c r="CD53" s="187"/>
      <c r="CE53" s="187"/>
      <c r="CF53" s="187"/>
      <c r="CG53" s="187"/>
      <c r="CH53" s="187"/>
      <c r="CI53" s="187"/>
      <c r="CJ53" s="187"/>
      <c r="CK53" s="187"/>
      <c r="CL53" s="187"/>
      <c r="CM53" s="187"/>
      <c r="CN53" s="187"/>
      <c r="CO53" s="187"/>
      <c r="CP53" s="187"/>
      <c r="CQ53" s="187"/>
      <c r="CR53" s="187"/>
      <c r="CS53" s="187"/>
      <c r="CT53" s="187"/>
      <c r="CU53" s="187"/>
      <c r="CV53" s="187"/>
      <c r="CW53" s="187"/>
      <c r="CX53" s="187"/>
      <c r="CY53" s="187"/>
      <c r="CZ53" s="187"/>
      <c r="DA53" s="187"/>
      <c r="DB53" s="187"/>
      <c r="DC53" s="187"/>
      <c r="DD53" s="187"/>
      <c r="DE53" s="187"/>
      <c r="DF53" s="187"/>
      <c r="DG53" s="187"/>
      <c r="DH53" s="187"/>
      <c r="DI53" s="187"/>
      <c r="DJ53" s="187"/>
      <c r="DK53" s="187"/>
      <c r="DL53" s="187"/>
      <c r="DM53" s="187"/>
      <c r="DN53" s="187"/>
      <c r="DO53" s="187"/>
      <c r="DP53" s="187"/>
      <c r="DQ53" s="187"/>
      <c r="DR53" s="187"/>
      <c r="DS53" s="187"/>
      <c r="DT53" s="187"/>
      <c r="DU53" s="187"/>
      <c r="DV53" s="187"/>
      <c r="DW53" s="187"/>
      <c r="DX53" s="187"/>
      <c r="DY53" s="187"/>
      <c r="DZ53" s="187"/>
      <c r="EA53" s="187"/>
      <c r="EB53" s="187"/>
      <c r="EC53" s="187"/>
      <c r="ED53" s="187"/>
      <c r="EE53" s="187"/>
      <c r="EF53" s="187"/>
      <c r="EG53" s="187"/>
      <c r="EH53" s="187"/>
      <c r="EI53" s="187"/>
      <c r="EJ53" s="187"/>
      <c r="EK53" s="187"/>
      <c r="EL53" s="187"/>
      <c r="EM53" s="187"/>
      <c r="EN53" s="187"/>
      <c r="EO53" s="187"/>
      <c r="EP53" s="187"/>
      <c r="EQ53" s="187"/>
      <c r="ER53" s="187"/>
      <c r="ES53" s="187"/>
      <c r="ET53" s="187"/>
      <c r="EU53" s="187"/>
      <c r="EV53" s="187"/>
      <c r="EW53" s="187"/>
      <c r="EX53" s="187"/>
      <c r="EY53" s="187"/>
      <c r="EZ53" s="187"/>
      <c r="FA53" s="187"/>
      <c r="FB53" s="187"/>
      <c r="FC53" s="187"/>
    </row>
    <row r="54" spans="1:159" ht="15" x14ac:dyDescent="0.25">
      <c r="A54" s="187" t="s">
        <v>164</v>
      </c>
      <c r="B54" s="187" t="s">
        <v>165</v>
      </c>
      <c r="C54" s="187">
        <v>3964</v>
      </c>
      <c r="D54" s="187">
        <v>0</v>
      </c>
      <c r="E54" s="187">
        <v>492</v>
      </c>
      <c r="F54" s="187">
        <v>628</v>
      </c>
      <c r="G54" s="187">
        <v>188</v>
      </c>
      <c r="H54" s="187">
        <v>5272</v>
      </c>
      <c r="I54" s="187">
        <v>5084</v>
      </c>
      <c r="J54" s="187">
        <v>23</v>
      </c>
      <c r="K54" s="187">
        <v>87.71</v>
      </c>
      <c r="L54" s="187">
        <v>86.29</v>
      </c>
      <c r="M54" s="187">
        <v>5.37</v>
      </c>
      <c r="N54" s="187">
        <v>91.19</v>
      </c>
      <c r="O54" s="187">
        <v>3066</v>
      </c>
      <c r="P54" s="187">
        <v>91.91</v>
      </c>
      <c r="Q54" s="187">
        <v>80.62</v>
      </c>
      <c r="R54" s="187">
        <v>42.14</v>
      </c>
      <c r="S54" s="187">
        <v>130.63999999999999</v>
      </c>
      <c r="T54" s="187">
        <v>779</v>
      </c>
      <c r="U54" s="187">
        <v>112.01</v>
      </c>
      <c r="V54" s="187">
        <v>683</v>
      </c>
      <c r="W54" s="187">
        <v>133.1</v>
      </c>
      <c r="X54" s="187">
        <v>17</v>
      </c>
      <c r="Y54" s="187">
        <v>0</v>
      </c>
      <c r="Z54" s="187">
        <v>4</v>
      </c>
      <c r="AA54" s="187">
        <v>6</v>
      </c>
      <c r="AB54" s="187">
        <v>3</v>
      </c>
      <c r="AC54" s="187">
        <v>6</v>
      </c>
      <c r="AD54" s="187">
        <v>3664</v>
      </c>
      <c r="AE54" s="187">
        <v>20</v>
      </c>
      <c r="AF54" s="187">
        <v>14</v>
      </c>
      <c r="AG54" s="187">
        <v>34</v>
      </c>
      <c r="AH54" s="187"/>
      <c r="AI54" s="187"/>
      <c r="AJ54" s="187"/>
      <c r="AK54" s="187"/>
      <c r="AL54" s="187"/>
      <c r="AM54" s="187"/>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7"/>
      <c r="BR54" s="187"/>
      <c r="BS54" s="187"/>
      <c r="BT54" s="187"/>
      <c r="BU54" s="187"/>
      <c r="BV54" s="187"/>
      <c r="BW54" s="187"/>
      <c r="BX54" s="187"/>
      <c r="BY54" s="187"/>
      <c r="BZ54" s="187"/>
      <c r="CA54" s="187"/>
      <c r="CB54" s="187"/>
      <c r="CC54" s="187"/>
      <c r="CD54" s="187"/>
      <c r="CE54" s="187"/>
      <c r="CF54" s="187"/>
      <c r="CG54" s="187"/>
      <c r="CH54" s="187"/>
      <c r="CI54" s="187"/>
      <c r="CJ54" s="187"/>
      <c r="CK54" s="187"/>
      <c r="CL54" s="187"/>
      <c r="CM54" s="187"/>
      <c r="CN54" s="187"/>
      <c r="CO54" s="187"/>
      <c r="CP54" s="187"/>
      <c r="CQ54" s="187"/>
      <c r="CR54" s="187"/>
      <c r="CS54" s="187"/>
      <c r="CT54" s="187"/>
      <c r="CU54" s="187"/>
      <c r="CV54" s="187"/>
      <c r="CW54" s="187"/>
      <c r="CX54" s="187"/>
      <c r="CY54" s="187"/>
      <c r="CZ54" s="187"/>
      <c r="DA54" s="187"/>
      <c r="DB54" s="187"/>
      <c r="DC54" s="187"/>
      <c r="DD54" s="187"/>
      <c r="DE54" s="187"/>
      <c r="DF54" s="187"/>
      <c r="DG54" s="187"/>
      <c r="DH54" s="187"/>
      <c r="DI54" s="187"/>
      <c r="DJ54" s="187"/>
      <c r="DK54" s="187"/>
      <c r="DL54" s="187"/>
      <c r="DM54" s="187"/>
      <c r="DN54" s="187"/>
      <c r="DO54" s="187"/>
      <c r="DP54" s="187"/>
      <c r="DQ54" s="187"/>
      <c r="DR54" s="187"/>
      <c r="DS54" s="187"/>
      <c r="DT54" s="187"/>
      <c r="DU54" s="187"/>
      <c r="DV54" s="187"/>
      <c r="DW54" s="187"/>
      <c r="DX54" s="187"/>
      <c r="DY54" s="187"/>
      <c r="DZ54" s="187"/>
      <c r="EA54" s="187"/>
      <c r="EB54" s="187"/>
      <c r="EC54" s="187"/>
      <c r="ED54" s="187"/>
      <c r="EE54" s="187"/>
      <c r="EF54" s="187"/>
      <c r="EG54" s="187"/>
      <c r="EH54" s="187"/>
      <c r="EI54" s="187"/>
      <c r="EJ54" s="187"/>
      <c r="EK54" s="187"/>
      <c r="EL54" s="187"/>
      <c r="EM54" s="187"/>
      <c r="EN54" s="187"/>
      <c r="EO54" s="187"/>
      <c r="EP54" s="187"/>
      <c r="EQ54" s="187"/>
      <c r="ER54" s="187"/>
      <c r="ES54" s="187"/>
      <c r="ET54" s="187"/>
      <c r="EU54" s="187"/>
      <c r="EV54" s="187"/>
      <c r="EW54" s="187"/>
      <c r="EX54" s="187"/>
      <c r="EY54" s="187"/>
      <c r="EZ54" s="187"/>
      <c r="FA54" s="187"/>
      <c r="FB54" s="187"/>
      <c r="FC54" s="187"/>
    </row>
    <row r="55" spans="1:159" ht="15" x14ac:dyDescent="0.25">
      <c r="A55" s="187" t="s">
        <v>166</v>
      </c>
      <c r="B55" s="187" t="s">
        <v>167</v>
      </c>
      <c r="C55" s="187">
        <v>12622</v>
      </c>
      <c r="D55" s="187">
        <v>0</v>
      </c>
      <c r="E55" s="187">
        <v>472</v>
      </c>
      <c r="F55" s="187">
        <v>897</v>
      </c>
      <c r="G55" s="187">
        <v>285</v>
      </c>
      <c r="H55" s="187">
        <v>14276</v>
      </c>
      <c r="I55" s="187">
        <v>13991</v>
      </c>
      <c r="J55" s="187">
        <v>9</v>
      </c>
      <c r="K55" s="187">
        <v>83.38</v>
      </c>
      <c r="L55" s="187">
        <v>81.48</v>
      </c>
      <c r="M55" s="187">
        <v>6.17</v>
      </c>
      <c r="N55" s="187">
        <v>89.26</v>
      </c>
      <c r="O55" s="187">
        <v>11760</v>
      </c>
      <c r="P55" s="187">
        <v>97.73</v>
      </c>
      <c r="Q55" s="187">
        <v>80.58</v>
      </c>
      <c r="R55" s="187">
        <v>44.13</v>
      </c>
      <c r="S55" s="187">
        <v>141.86000000000001</v>
      </c>
      <c r="T55" s="187">
        <v>1116</v>
      </c>
      <c r="U55" s="187">
        <v>107.76</v>
      </c>
      <c r="V55" s="187">
        <v>787</v>
      </c>
      <c r="W55" s="187">
        <v>238.07</v>
      </c>
      <c r="X55" s="187">
        <v>127</v>
      </c>
      <c r="Y55" s="187">
        <v>0</v>
      </c>
      <c r="Z55" s="187">
        <v>30</v>
      </c>
      <c r="AA55" s="187">
        <v>6</v>
      </c>
      <c r="AB55" s="187">
        <v>2</v>
      </c>
      <c r="AC55" s="187">
        <v>6</v>
      </c>
      <c r="AD55" s="187">
        <v>12592</v>
      </c>
      <c r="AE55" s="187">
        <v>83</v>
      </c>
      <c r="AF55" s="187">
        <v>186</v>
      </c>
      <c r="AG55" s="187">
        <v>269</v>
      </c>
      <c r="AH55" s="187"/>
      <c r="AI55" s="187"/>
      <c r="AJ55" s="187"/>
      <c r="AK55" s="187"/>
      <c r="AL55" s="187"/>
      <c r="AM55" s="187"/>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7"/>
      <c r="BR55" s="187"/>
      <c r="BS55" s="187"/>
      <c r="BT55" s="187"/>
      <c r="BU55" s="187"/>
      <c r="BV55" s="187"/>
      <c r="BW55" s="187"/>
      <c r="BX55" s="187"/>
      <c r="BY55" s="187"/>
      <c r="BZ55" s="187"/>
      <c r="CA55" s="187"/>
      <c r="CB55" s="187"/>
      <c r="CC55" s="187"/>
      <c r="CD55" s="187"/>
      <c r="CE55" s="187"/>
      <c r="CF55" s="187"/>
      <c r="CG55" s="187"/>
      <c r="CH55" s="187"/>
      <c r="CI55" s="187"/>
      <c r="CJ55" s="187"/>
      <c r="CK55" s="187"/>
      <c r="CL55" s="187"/>
      <c r="CM55" s="187"/>
      <c r="CN55" s="187"/>
      <c r="CO55" s="187"/>
      <c r="CP55" s="187"/>
      <c r="CQ55" s="187"/>
      <c r="CR55" s="187"/>
      <c r="CS55" s="187"/>
      <c r="CT55" s="187"/>
      <c r="CU55" s="187"/>
      <c r="CV55" s="187"/>
      <c r="CW55" s="187"/>
      <c r="CX55" s="187"/>
      <c r="CY55" s="187"/>
      <c r="CZ55" s="187"/>
      <c r="DA55" s="187"/>
      <c r="DB55" s="187"/>
      <c r="DC55" s="187"/>
      <c r="DD55" s="187"/>
      <c r="DE55" s="187"/>
      <c r="DF55" s="187"/>
      <c r="DG55" s="187"/>
      <c r="DH55" s="187"/>
      <c r="DI55" s="187"/>
      <c r="DJ55" s="187"/>
      <c r="DK55" s="187"/>
      <c r="DL55" s="187"/>
      <c r="DM55" s="187"/>
      <c r="DN55" s="187"/>
      <c r="DO55" s="187"/>
      <c r="DP55" s="187"/>
      <c r="DQ55" s="187"/>
      <c r="DR55" s="187"/>
      <c r="DS55" s="187"/>
      <c r="DT55" s="187"/>
      <c r="DU55" s="187"/>
      <c r="DV55" s="187"/>
      <c r="DW55" s="187"/>
      <c r="DX55" s="187"/>
      <c r="DY55" s="187"/>
      <c r="DZ55" s="187"/>
      <c r="EA55" s="187"/>
      <c r="EB55" s="187"/>
      <c r="EC55" s="187"/>
      <c r="ED55" s="187"/>
      <c r="EE55" s="187"/>
      <c r="EF55" s="187"/>
      <c r="EG55" s="187"/>
      <c r="EH55" s="187"/>
      <c r="EI55" s="187"/>
      <c r="EJ55" s="187"/>
      <c r="EK55" s="187"/>
      <c r="EL55" s="187"/>
      <c r="EM55" s="187"/>
      <c r="EN55" s="187"/>
      <c r="EO55" s="187"/>
      <c r="EP55" s="187"/>
      <c r="EQ55" s="187"/>
      <c r="ER55" s="187"/>
      <c r="ES55" s="187"/>
      <c r="ET55" s="187"/>
      <c r="EU55" s="187"/>
      <c r="EV55" s="187"/>
      <c r="EW55" s="187"/>
      <c r="EX55" s="187"/>
      <c r="EY55" s="187"/>
      <c r="EZ55" s="187"/>
      <c r="FA55" s="187"/>
      <c r="FB55" s="187"/>
      <c r="FC55" s="187"/>
    </row>
    <row r="56" spans="1:159" ht="15" x14ac:dyDescent="0.25">
      <c r="A56" s="187" t="s">
        <v>168</v>
      </c>
      <c r="B56" s="187" t="s">
        <v>169</v>
      </c>
      <c r="C56" s="187">
        <v>3871</v>
      </c>
      <c r="D56" s="187">
        <v>597</v>
      </c>
      <c r="E56" s="187">
        <v>467</v>
      </c>
      <c r="F56" s="187">
        <v>495</v>
      </c>
      <c r="G56" s="187">
        <v>654</v>
      </c>
      <c r="H56" s="187">
        <v>6084</v>
      </c>
      <c r="I56" s="187">
        <v>5430</v>
      </c>
      <c r="J56" s="187">
        <v>3</v>
      </c>
      <c r="K56" s="187">
        <v>115.79</v>
      </c>
      <c r="L56" s="187">
        <v>114.71</v>
      </c>
      <c r="M56" s="187">
        <v>10.3</v>
      </c>
      <c r="N56" s="187">
        <v>122.88</v>
      </c>
      <c r="O56" s="187">
        <v>2677</v>
      </c>
      <c r="P56" s="187">
        <v>103.25</v>
      </c>
      <c r="Q56" s="187">
        <v>94.54</v>
      </c>
      <c r="R56" s="187">
        <v>74.489999999999995</v>
      </c>
      <c r="S56" s="187">
        <v>177.57</v>
      </c>
      <c r="T56" s="187">
        <v>861</v>
      </c>
      <c r="U56" s="187">
        <v>165.95</v>
      </c>
      <c r="V56" s="187">
        <v>947</v>
      </c>
      <c r="W56" s="187">
        <v>287.97000000000003</v>
      </c>
      <c r="X56" s="187">
        <v>2</v>
      </c>
      <c r="Y56" s="187">
        <v>0</v>
      </c>
      <c r="Z56" s="187">
        <v>0</v>
      </c>
      <c r="AA56" s="187">
        <v>10</v>
      </c>
      <c r="AB56" s="187">
        <v>0</v>
      </c>
      <c r="AC56" s="187">
        <v>44</v>
      </c>
      <c r="AD56" s="187">
        <v>3848</v>
      </c>
      <c r="AE56" s="187">
        <v>81</v>
      </c>
      <c r="AF56" s="187">
        <v>15</v>
      </c>
      <c r="AG56" s="187">
        <v>96</v>
      </c>
      <c r="AH56" s="187"/>
      <c r="AI56" s="187"/>
      <c r="AJ56" s="187"/>
      <c r="AK56" s="187"/>
      <c r="AL56" s="187"/>
      <c r="AM56" s="187"/>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7"/>
      <c r="BR56" s="187"/>
      <c r="BS56" s="187"/>
      <c r="BT56" s="187"/>
      <c r="BU56" s="187"/>
      <c r="BV56" s="187"/>
      <c r="BW56" s="187"/>
      <c r="BX56" s="187"/>
      <c r="BY56" s="187"/>
      <c r="BZ56" s="187"/>
      <c r="CA56" s="187"/>
      <c r="CB56" s="187"/>
      <c r="CC56" s="187"/>
      <c r="CD56" s="187"/>
      <c r="CE56" s="187"/>
      <c r="CF56" s="187"/>
      <c r="CG56" s="187"/>
      <c r="CH56" s="187"/>
      <c r="CI56" s="187"/>
      <c r="CJ56" s="187"/>
      <c r="CK56" s="187"/>
      <c r="CL56" s="187"/>
      <c r="CM56" s="187"/>
      <c r="CN56" s="187"/>
      <c r="CO56" s="187"/>
      <c r="CP56" s="187"/>
      <c r="CQ56" s="187"/>
      <c r="CR56" s="187"/>
      <c r="CS56" s="187"/>
      <c r="CT56" s="187"/>
      <c r="CU56" s="187"/>
      <c r="CV56" s="187"/>
      <c r="CW56" s="187"/>
      <c r="CX56" s="187"/>
      <c r="CY56" s="187"/>
      <c r="CZ56" s="187"/>
      <c r="DA56" s="187"/>
      <c r="DB56" s="187"/>
      <c r="DC56" s="187"/>
      <c r="DD56" s="187"/>
      <c r="DE56" s="187"/>
      <c r="DF56" s="187"/>
      <c r="DG56" s="187"/>
      <c r="DH56" s="187"/>
      <c r="DI56" s="187"/>
      <c r="DJ56" s="187"/>
      <c r="DK56" s="187"/>
      <c r="DL56" s="187"/>
      <c r="DM56" s="187"/>
      <c r="DN56" s="187"/>
      <c r="DO56" s="187"/>
      <c r="DP56" s="187"/>
      <c r="DQ56" s="187"/>
      <c r="DR56" s="187"/>
      <c r="DS56" s="187"/>
      <c r="DT56" s="187"/>
      <c r="DU56" s="187"/>
      <c r="DV56" s="187"/>
      <c r="DW56" s="187"/>
      <c r="DX56" s="187"/>
      <c r="DY56" s="187"/>
      <c r="DZ56" s="187"/>
      <c r="EA56" s="187"/>
      <c r="EB56" s="187"/>
      <c r="EC56" s="187"/>
      <c r="ED56" s="187"/>
      <c r="EE56" s="187"/>
      <c r="EF56" s="187"/>
      <c r="EG56" s="187"/>
      <c r="EH56" s="187"/>
      <c r="EI56" s="187"/>
      <c r="EJ56" s="187"/>
      <c r="EK56" s="187"/>
      <c r="EL56" s="187"/>
      <c r="EM56" s="187"/>
      <c r="EN56" s="187"/>
      <c r="EO56" s="187"/>
      <c r="EP56" s="187"/>
      <c r="EQ56" s="187"/>
      <c r="ER56" s="187"/>
      <c r="ES56" s="187"/>
      <c r="ET56" s="187"/>
      <c r="EU56" s="187"/>
      <c r="EV56" s="187"/>
      <c r="EW56" s="187"/>
      <c r="EX56" s="187"/>
      <c r="EY56" s="187"/>
      <c r="EZ56" s="187"/>
      <c r="FA56" s="187"/>
      <c r="FB56" s="187"/>
      <c r="FC56" s="187"/>
    </row>
    <row r="57" spans="1:159" ht="15" x14ac:dyDescent="0.25">
      <c r="A57" s="187" t="s">
        <v>170</v>
      </c>
      <c r="B57" s="187" t="s">
        <v>171</v>
      </c>
      <c r="C57" s="187">
        <v>8883</v>
      </c>
      <c r="D57" s="187">
        <v>605</v>
      </c>
      <c r="E57" s="187">
        <v>1413</v>
      </c>
      <c r="F57" s="187">
        <v>942</v>
      </c>
      <c r="G57" s="187">
        <v>546</v>
      </c>
      <c r="H57" s="187">
        <v>12389</v>
      </c>
      <c r="I57" s="187">
        <v>11843</v>
      </c>
      <c r="J57" s="187">
        <v>212</v>
      </c>
      <c r="K57" s="187">
        <v>142.68</v>
      </c>
      <c r="L57" s="187">
        <v>152.51</v>
      </c>
      <c r="M57" s="187">
        <v>14.34</v>
      </c>
      <c r="N57" s="187">
        <v>156.06</v>
      </c>
      <c r="O57" s="187">
        <v>6187</v>
      </c>
      <c r="P57" s="187">
        <v>120.01</v>
      </c>
      <c r="Q57" s="187">
        <v>118.75</v>
      </c>
      <c r="R57" s="187">
        <v>88.83</v>
      </c>
      <c r="S57" s="187">
        <v>206.96</v>
      </c>
      <c r="T57" s="187">
        <v>2166</v>
      </c>
      <c r="U57" s="187">
        <v>235.14</v>
      </c>
      <c r="V57" s="187">
        <v>509</v>
      </c>
      <c r="W57" s="187">
        <v>272.39</v>
      </c>
      <c r="X57" s="187">
        <v>64</v>
      </c>
      <c r="Y57" s="187">
        <v>438</v>
      </c>
      <c r="Z57" s="187">
        <v>0</v>
      </c>
      <c r="AA57" s="187">
        <v>2</v>
      </c>
      <c r="AB57" s="187">
        <v>11</v>
      </c>
      <c r="AC57" s="187">
        <v>15</v>
      </c>
      <c r="AD57" s="187">
        <v>7478</v>
      </c>
      <c r="AE57" s="187">
        <v>53</v>
      </c>
      <c r="AF57" s="187">
        <v>77</v>
      </c>
      <c r="AG57" s="187">
        <v>130</v>
      </c>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7"/>
      <c r="BR57" s="187"/>
      <c r="BS57" s="187"/>
      <c r="BT57" s="187"/>
      <c r="BU57" s="187"/>
      <c r="BV57" s="187"/>
      <c r="BW57" s="187"/>
      <c r="BX57" s="187"/>
      <c r="BY57" s="187"/>
      <c r="BZ57" s="187"/>
      <c r="CA57" s="187"/>
      <c r="CB57" s="187"/>
      <c r="CC57" s="187"/>
      <c r="CD57" s="187"/>
      <c r="CE57" s="187"/>
      <c r="CF57" s="187"/>
      <c r="CG57" s="187"/>
      <c r="CH57" s="187"/>
      <c r="CI57" s="187"/>
      <c r="CJ57" s="187"/>
      <c r="CK57" s="187"/>
      <c r="CL57" s="187"/>
      <c r="CM57" s="187"/>
      <c r="CN57" s="187"/>
      <c r="CO57" s="187"/>
      <c r="CP57" s="187"/>
      <c r="CQ57" s="187"/>
      <c r="CR57" s="187"/>
      <c r="CS57" s="187"/>
      <c r="CT57" s="187"/>
      <c r="CU57" s="187"/>
      <c r="CV57" s="187"/>
      <c r="CW57" s="187"/>
      <c r="CX57" s="187"/>
      <c r="CY57" s="187"/>
      <c r="CZ57" s="187"/>
      <c r="DA57" s="187"/>
      <c r="DB57" s="187"/>
      <c r="DC57" s="187"/>
      <c r="DD57" s="187"/>
      <c r="DE57" s="187"/>
      <c r="DF57" s="187"/>
      <c r="DG57" s="187"/>
      <c r="DH57" s="187"/>
      <c r="DI57" s="187"/>
      <c r="DJ57" s="187"/>
      <c r="DK57" s="187"/>
      <c r="DL57" s="187"/>
      <c r="DM57" s="187"/>
      <c r="DN57" s="187"/>
      <c r="DO57" s="187"/>
      <c r="DP57" s="187"/>
      <c r="DQ57" s="187"/>
      <c r="DR57" s="187"/>
      <c r="DS57" s="187"/>
      <c r="DT57" s="187"/>
      <c r="DU57" s="187"/>
      <c r="DV57" s="187"/>
      <c r="DW57" s="187"/>
      <c r="DX57" s="187"/>
      <c r="DY57" s="187"/>
      <c r="DZ57" s="187"/>
      <c r="EA57" s="187"/>
      <c r="EB57" s="187"/>
      <c r="EC57" s="187"/>
      <c r="ED57" s="187"/>
      <c r="EE57" s="187"/>
      <c r="EF57" s="187"/>
      <c r="EG57" s="187"/>
      <c r="EH57" s="187"/>
      <c r="EI57" s="187"/>
      <c r="EJ57" s="187"/>
      <c r="EK57" s="187"/>
      <c r="EL57" s="187"/>
      <c r="EM57" s="187"/>
      <c r="EN57" s="187"/>
      <c r="EO57" s="187"/>
      <c r="EP57" s="187"/>
      <c r="EQ57" s="187"/>
      <c r="ER57" s="187"/>
      <c r="ES57" s="187"/>
      <c r="ET57" s="187"/>
      <c r="EU57" s="187"/>
      <c r="EV57" s="187"/>
      <c r="EW57" s="187"/>
      <c r="EX57" s="187"/>
      <c r="EY57" s="187"/>
      <c r="EZ57" s="187"/>
      <c r="FA57" s="187"/>
      <c r="FB57" s="187"/>
      <c r="FC57" s="187"/>
    </row>
    <row r="58" spans="1:159" ht="15" x14ac:dyDescent="0.25">
      <c r="A58" s="187" t="s">
        <v>172</v>
      </c>
      <c r="B58" s="187" t="s">
        <v>173</v>
      </c>
      <c r="C58" s="187">
        <v>2052</v>
      </c>
      <c r="D58" s="187">
        <v>2</v>
      </c>
      <c r="E58" s="187">
        <v>215</v>
      </c>
      <c r="F58" s="187">
        <v>271</v>
      </c>
      <c r="G58" s="187">
        <v>308</v>
      </c>
      <c r="H58" s="187">
        <v>2848</v>
      </c>
      <c r="I58" s="187">
        <v>2540</v>
      </c>
      <c r="J58" s="187">
        <v>7</v>
      </c>
      <c r="K58" s="187">
        <v>97.45</v>
      </c>
      <c r="L58" s="187">
        <v>95.62</v>
      </c>
      <c r="M58" s="187">
        <v>5.52</v>
      </c>
      <c r="N58" s="187">
        <v>101.05</v>
      </c>
      <c r="O58" s="187">
        <v>1434</v>
      </c>
      <c r="P58" s="187">
        <v>107.83</v>
      </c>
      <c r="Q58" s="187">
        <v>84.43</v>
      </c>
      <c r="R58" s="187">
        <v>68.650000000000006</v>
      </c>
      <c r="S58" s="187">
        <v>175.87</v>
      </c>
      <c r="T58" s="187">
        <v>338</v>
      </c>
      <c r="U58" s="187">
        <v>127.05</v>
      </c>
      <c r="V58" s="187">
        <v>573</v>
      </c>
      <c r="W58" s="187">
        <v>236.63</v>
      </c>
      <c r="X58" s="187">
        <v>69</v>
      </c>
      <c r="Y58" s="187">
        <v>0</v>
      </c>
      <c r="Z58" s="187">
        <v>2</v>
      </c>
      <c r="AA58" s="187">
        <v>0</v>
      </c>
      <c r="AB58" s="187">
        <v>10</v>
      </c>
      <c r="AC58" s="187">
        <v>6</v>
      </c>
      <c r="AD58" s="187">
        <v>2029</v>
      </c>
      <c r="AE58" s="187">
        <v>7</v>
      </c>
      <c r="AF58" s="187">
        <v>19</v>
      </c>
      <c r="AG58" s="187">
        <v>26</v>
      </c>
      <c r="AH58" s="187"/>
      <c r="AI58" s="187"/>
      <c r="AJ58" s="187"/>
      <c r="AK58" s="187"/>
      <c r="AL58" s="187"/>
      <c r="AM58" s="187"/>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7"/>
      <c r="BR58" s="187"/>
      <c r="BS58" s="187"/>
      <c r="BT58" s="187"/>
      <c r="BU58" s="187"/>
      <c r="BV58" s="187"/>
      <c r="BW58" s="187"/>
      <c r="BX58" s="187"/>
      <c r="BY58" s="187"/>
      <c r="BZ58" s="187"/>
      <c r="CA58" s="187"/>
      <c r="CB58" s="187"/>
      <c r="CC58" s="187"/>
      <c r="CD58" s="187"/>
      <c r="CE58" s="187"/>
      <c r="CF58" s="187"/>
      <c r="CG58" s="187"/>
      <c r="CH58" s="187"/>
      <c r="CI58" s="187"/>
      <c r="CJ58" s="187"/>
      <c r="CK58" s="187"/>
      <c r="CL58" s="187"/>
      <c r="CM58" s="187"/>
      <c r="CN58" s="187"/>
      <c r="CO58" s="187"/>
      <c r="CP58" s="187"/>
      <c r="CQ58" s="187"/>
      <c r="CR58" s="187"/>
      <c r="CS58" s="187"/>
      <c r="CT58" s="187"/>
      <c r="CU58" s="187"/>
      <c r="CV58" s="187"/>
      <c r="CW58" s="187"/>
      <c r="CX58" s="187"/>
      <c r="CY58" s="187"/>
      <c r="CZ58" s="187"/>
      <c r="DA58" s="187"/>
      <c r="DB58" s="187"/>
      <c r="DC58" s="187"/>
      <c r="DD58" s="187"/>
      <c r="DE58" s="187"/>
      <c r="DF58" s="187"/>
      <c r="DG58" s="187"/>
      <c r="DH58" s="187"/>
      <c r="DI58" s="187"/>
      <c r="DJ58" s="187"/>
      <c r="DK58" s="187"/>
      <c r="DL58" s="187"/>
      <c r="DM58" s="187"/>
      <c r="DN58" s="187"/>
      <c r="DO58" s="187"/>
      <c r="DP58" s="187"/>
      <c r="DQ58" s="187"/>
      <c r="DR58" s="187"/>
      <c r="DS58" s="187"/>
      <c r="DT58" s="187"/>
      <c r="DU58" s="187"/>
      <c r="DV58" s="187"/>
      <c r="DW58" s="187"/>
      <c r="DX58" s="187"/>
      <c r="DY58" s="187"/>
      <c r="DZ58" s="187"/>
      <c r="EA58" s="187"/>
      <c r="EB58" s="187"/>
      <c r="EC58" s="187"/>
      <c r="ED58" s="187"/>
      <c r="EE58" s="187"/>
      <c r="EF58" s="187"/>
      <c r="EG58" s="187"/>
      <c r="EH58" s="187"/>
      <c r="EI58" s="187"/>
      <c r="EJ58" s="187"/>
      <c r="EK58" s="187"/>
      <c r="EL58" s="187"/>
      <c r="EM58" s="187"/>
      <c r="EN58" s="187"/>
      <c r="EO58" s="187"/>
      <c r="EP58" s="187"/>
      <c r="EQ58" s="187"/>
      <c r="ER58" s="187"/>
      <c r="ES58" s="187"/>
      <c r="ET58" s="187"/>
      <c r="EU58" s="187"/>
      <c r="EV58" s="187"/>
      <c r="EW58" s="187"/>
      <c r="EX58" s="187"/>
      <c r="EY58" s="187"/>
      <c r="EZ58" s="187"/>
      <c r="FA58" s="187"/>
      <c r="FB58" s="187"/>
      <c r="FC58" s="187"/>
    </row>
    <row r="59" spans="1:159" ht="15" x14ac:dyDescent="0.25">
      <c r="A59" s="187" t="s">
        <v>174</v>
      </c>
      <c r="B59" s="187" t="s">
        <v>175</v>
      </c>
      <c r="C59" s="187">
        <v>2249</v>
      </c>
      <c r="D59" s="187">
        <v>0</v>
      </c>
      <c r="E59" s="187">
        <v>187</v>
      </c>
      <c r="F59" s="187">
        <v>378</v>
      </c>
      <c r="G59" s="187">
        <v>621</v>
      </c>
      <c r="H59" s="187">
        <v>3435</v>
      </c>
      <c r="I59" s="187">
        <v>2814</v>
      </c>
      <c r="J59" s="187">
        <v>3</v>
      </c>
      <c r="K59" s="187">
        <v>110.36</v>
      </c>
      <c r="L59" s="187">
        <v>109.55</v>
      </c>
      <c r="M59" s="187">
        <v>9.59</v>
      </c>
      <c r="N59" s="187">
        <v>118.44</v>
      </c>
      <c r="O59" s="187">
        <v>1406</v>
      </c>
      <c r="P59" s="187">
        <v>98.81</v>
      </c>
      <c r="Q59" s="187">
        <v>84.38</v>
      </c>
      <c r="R59" s="187">
        <v>53.41</v>
      </c>
      <c r="S59" s="187">
        <v>146.53</v>
      </c>
      <c r="T59" s="187">
        <v>535</v>
      </c>
      <c r="U59" s="187">
        <v>163.69999999999999</v>
      </c>
      <c r="V59" s="187">
        <v>563</v>
      </c>
      <c r="W59" s="187">
        <v>127.03</v>
      </c>
      <c r="X59" s="187">
        <v>6</v>
      </c>
      <c r="Y59" s="187">
        <v>52</v>
      </c>
      <c r="Z59" s="187">
        <v>1</v>
      </c>
      <c r="AA59" s="187">
        <v>8</v>
      </c>
      <c r="AB59" s="187">
        <v>77</v>
      </c>
      <c r="AC59" s="187">
        <v>9</v>
      </c>
      <c r="AD59" s="187">
        <v>2063</v>
      </c>
      <c r="AE59" s="187">
        <v>23</v>
      </c>
      <c r="AF59" s="187">
        <v>21</v>
      </c>
      <c r="AG59" s="187">
        <v>44</v>
      </c>
      <c r="AH59" s="187"/>
      <c r="AI59" s="187"/>
      <c r="AJ59" s="187"/>
      <c r="AK59" s="187"/>
      <c r="AL59" s="187"/>
      <c r="AM59" s="187"/>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7"/>
      <c r="BR59" s="187"/>
      <c r="BS59" s="187"/>
      <c r="BT59" s="187"/>
      <c r="BU59" s="187"/>
      <c r="BV59" s="187"/>
      <c r="BW59" s="187"/>
      <c r="BX59" s="187"/>
      <c r="BY59" s="187"/>
      <c r="BZ59" s="187"/>
      <c r="CA59" s="187"/>
      <c r="CB59" s="187"/>
      <c r="CC59" s="187"/>
      <c r="CD59" s="187"/>
      <c r="CE59" s="187"/>
      <c r="CF59" s="187"/>
      <c r="CG59" s="187"/>
      <c r="CH59" s="187"/>
      <c r="CI59" s="187"/>
      <c r="CJ59" s="187"/>
      <c r="CK59" s="187"/>
      <c r="CL59" s="187"/>
      <c r="CM59" s="187"/>
      <c r="CN59" s="187"/>
      <c r="CO59" s="187"/>
      <c r="CP59" s="187"/>
      <c r="CQ59" s="187"/>
      <c r="CR59" s="187"/>
      <c r="CS59" s="187"/>
      <c r="CT59" s="187"/>
      <c r="CU59" s="187"/>
      <c r="CV59" s="187"/>
      <c r="CW59" s="187"/>
      <c r="CX59" s="187"/>
      <c r="CY59" s="187"/>
      <c r="CZ59" s="187"/>
      <c r="DA59" s="187"/>
      <c r="DB59" s="187"/>
      <c r="DC59" s="187"/>
      <c r="DD59" s="187"/>
      <c r="DE59" s="187"/>
      <c r="DF59" s="187"/>
      <c r="DG59" s="187"/>
      <c r="DH59" s="187"/>
      <c r="DI59" s="187"/>
      <c r="DJ59" s="187"/>
      <c r="DK59" s="187"/>
      <c r="DL59" s="187"/>
      <c r="DM59" s="187"/>
      <c r="DN59" s="187"/>
      <c r="DO59" s="187"/>
      <c r="DP59" s="187"/>
      <c r="DQ59" s="187"/>
      <c r="DR59" s="187"/>
      <c r="DS59" s="187"/>
      <c r="DT59" s="187"/>
      <c r="DU59" s="187"/>
      <c r="DV59" s="187"/>
      <c r="DW59" s="187"/>
      <c r="DX59" s="187"/>
      <c r="DY59" s="187"/>
      <c r="DZ59" s="187"/>
      <c r="EA59" s="187"/>
      <c r="EB59" s="187"/>
      <c r="EC59" s="187"/>
      <c r="ED59" s="187"/>
      <c r="EE59" s="187"/>
      <c r="EF59" s="187"/>
      <c r="EG59" s="187"/>
      <c r="EH59" s="187"/>
      <c r="EI59" s="187"/>
      <c r="EJ59" s="187"/>
      <c r="EK59" s="187"/>
      <c r="EL59" s="187"/>
      <c r="EM59" s="187"/>
      <c r="EN59" s="187"/>
      <c r="EO59" s="187"/>
      <c r="EP59" s="187"/>
      <c r="EQ59" s="187"/>
      <c r="ER59" s="187"/>
      <c r="ES59" s="187"/>
      <c r="ET59" s="187"/>
      <c r="EU59" s="187"/>
      <c r="EV59" s="187"/>
      <c r="EW59" s="187"/>
      <c r="EX59" s="187"/>
      <c r="EY59" s="187"/>
      <c r="EZ59" s="187"/>
      <c r="FA59" s="187"/>
      <c r="FB59" s="187"/>
      <c r="FC59" s="187"/>
    </row>
    <row r="60" spans="1:159" ht="15" x14ac:dyDescent="0.25">
      <c r="A60" s="187" t="s">
        <v>176</v>
      </c>
      <c r="B60" s="187" t="s">
        <v>177</v>
      </c>
      <c r="C60" s="187">
        <v>7274</v>
      </c>
      <c r="D60" s="187">
        <v>0</v>
      </c>
      <c r="E60" s="187">
        <v>245</v>
      </c>
      <c r="F60" s="187">
        <v>337</v>
      </c>
      <c r="G60" s="187">
        <v>306</v>
      </c>
      <c r="H60" s="187">
        <v>8162</v>
      </c>
      <c r="I60" s="187">
        <v>7856</v>
      </c>
      <c r="J60" s="187">
        <v>7</v>
      </c>
      <c r="K60" s="187">
        <v>87.34</v>
      </c>
      <c r="L60" s="187">
        <v>83.7</v>
      </c>
      <c r="M60" s="187">
        <v>5.1100000000000003</v>
      </c>
      <c r="N60" s="187">
        <v>91.18</v>
      </c>
      <c r="O60" s="187">
        <v>5653</v>
      </c>
      <c r="P60" s="187">
        <v>102.56</v>
      </c>
      <c r="Q60" s="187">
        <v>82.01</v>
      </c>
      <c r="R60" s="187">
        <v>47.12</v>
      </c>
      <c r="S60" s="187">
        <v>145.53</v>
      </c>
      <c r="T60" s="187">
        <v>499</v>
      </c>
      <c r="U60" s="187">
        <v>99.69</v>
      </c>
      <c r="V60" s="187">
        <v>1596</v>
      </c>
      <c r="W60" s="187">
        <v>0</v>
      </c>
      <c r="X60" s="187">
        <v>0</v>
      </c>
      <c r="Y60" s="187">
        <v>0</v>
      </c>
      <c r="Z60" s="187">
        <v>42</v>
      </c>
      <c r="AA60" s="187">
        <v>9</v>
      </c>
      <c r="AB60" s="187">
        <v>22</v>
      </c>
      <c r="AC60" s="187">
        <v>5</v>
      </c>
      <c r="AD60" s="187">
        <v>7265</v>
      </c>
      <c r="AE60" s="187">
        <v>68</v>
      </c>
      <c r="AF60" s="187">
        <v>40</v>
      </c>
      <c r="AG60" s="187">
        <v>108</v>
      </c>
      <c r="AH60" s="187"/>
      <c r="AI60" s="187"/>
      <c r="AJ60" s="187"/>
      <c r="AK60" s="187"/>
      <c r="AL60" s="187"/>
      <c r="AM60" s="187"/>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7"/>
      <c r="BR60" s="187"/>
      <c r="BS60" s="187"/>
      <c r="BT60" s="187"/>
      <c r="BU60" s="187"/>
      <c r="BV60" s="187"/>
      <c r="BW60" s="187"/>
      <c r="BX60" s="187"/>
      <c r="BY60" s="187"/>
      <c r="BZ60" s="187"/>
      <c r="CA60" s="187"/>
      <c r="CB60" s="187"/>
      <c r="CC60" s="187"/>
      <c r="CD60" s="187"/>
      <c r="CE60" s="187"/>
      <c r="CF60" s="187"/>
      <c r="CG60" s="187"/>
      <c r="CH60" s="187"/>
      <c r="CI60" s="187"/>
      <c r="CJ60" s="187"/>
      <c r="CK60" s="187"/>
      <c r="CL60" s="187"/>
      <c r="CM60" s="187"/>
      <c r="CN60" s="187"/>
      <c r="CO60" s="187"/>
      <c r="CP60" s="187"/>
      <c r="CQ60" s="187"/>
      <c r="CR60" s="187"/>
      <c r="CS60" s="187"/>
      <c r="CT60" s="187"/>
      <c r="CU60" s="187"/>
      <c r="CV60" s="187"/>
      <c r="CW60" s="187"/>
      <c r="CX60" s="187"/>
      <c r="CY60" s="187"/>
      <c r="CZ60" s="187"/>
      <c r="DA60" s="187"/>
      <c r="DB60" s="187"/>
      <c r="DC60" s="187"/>
      <c r="DD60" s="187"/>
      <c r="DE60" s="187"/>
      <c r="DF60" s="187"/>
      <c r="DG60" s="187"/>
      <c r="DH60" s="187"/>
      <c r="DI60" s="187"/>
      <c r="DJ60" s="187"/>
      <c r="DK60" s="187"/>
      <c r="DL60" s="187"/>
      <c r="DM60" s="187"/>
      <c r="DN60" s="187"/>
      <c r="DO60" s="187"/>
      <c r="DP60" s="187"/>
      <c r="DQ60" s="187"/>
      <c r="DR60" s="187"/>
      <c r="DS60" s="187"/>
      <c r="DT60" s="187"/>
      <c r="DU60" s="187"/>
      <c r="DV60" s="187"/>
      <c r="DW60" s="187"/>
      <c r="DX60" s="187"/>
      <c r="DY60" s="187"/>
      <c r="DZ60" s="187"/>
      <c r="EA60" s="187"/>
      <c r="EB60" s="187"/>
      <c r="EC60" s="187"/>
      <c r="ED60" s="187"/>
      <c r="EE60" s="187"/>
      <c r="EF60" s="187"/>
      <c r="EG60" s="187"/>
      <c r="EH60" s="187"/>
      <c r="EI60" s="187"/>
      <c r="EJ60" s="187"/>
      <c r="EK60" s="187"/>
      <c r="EL60" s="187"/>
      <c r="EM60" s="187"/>
      <c r="EN60" s="187"/>
      <c r="EO60" s="187"/>
      <c r="EP60" s="187"/>
      <c r="EQ60" s="187"/>
      <c r="ER60" s="187"/>
      <c r="ES60" s="187"/>
      <c r="ET60" s="187"/>
      <c r="EU60" s="187"/>
      <c r="EV60" s="187"/>
      <c r="EW60" s="187"/>
      <c r="EX60" s="187"/>
      <c r="EY60" s="187"/>
      <c r="EZ60" s="187"/>
      <c r="FA60" s="187"/>
      <c r="FB60" s="187"/>
      <c r="FC60" s="187"/>
    </row>
    <row r="61" spans="1:159" ht="15" x14ac:dyDescent="0.25">
      <c r="A61" s="187" t="s">
        <v>178</v>
      </c>
      <c r="B61" s="187" t="s">
        <v>179</v>
      </c>
      <c r="C61" s="187">
        <v>457</v>
      </c>
      <c r="D61" s="187">
        <v>0</v>
      </c>
      <c r="E61" s="187">
        <v>63</v>
      </c>
      <c r="F61" s="187">
        <v>73</v>
      </c>
      <c r="G61" s="187">
        <v>92</v>
      </c>
      <c r="H61" s="187">
        <v>685</v>
      </c>
      <c r="I61" s="187">
        <v>593</v>
      </c>
      <c r="J61" s="187">
        <v>14</v>
      </c>
      <c r="K61" s="187">
        <v>114.21</v>
      </c>
      <c r="L61" s="187">
        <v>111.62</v>
      </c>
      <c r="M61" s="187">
        <v>9.26</v>
      </c>
      <c r="N61" s="187">
        <v>119.54</v>
      </c>
      <c r="O61" s="187">
        <v>365</v>
      </c>
      <c r="P61" s="187">
        <v>100.22</v>
      </c>
      <c r="Q61" s="187">
        <v>86.75</v>
      </c>
      <c r="R61" s="187">
        <v>75.010000000000005</v>
      </c>
      <c r="S61" s="187">
        <v>172.71</v>
      </c>
      <c r="T61" s="187">
        <v>119</v>
      </c>
      <c r="U61" s="187">
        <v>160.35</v>
      </c>
      <c r="V61" s="187">
        <v>76</v>
      </c>
      <c r="W61" s="187">
        <v>0</v>
      </c>
      <c r="X61" s="187">
        <v>0</v>
      </c>
      <c r="Y61" s="187">
        <v>0</v>
      </c>
      <c r="Z61" s="187">
        <v>0</v>
      </c>
      <c r="AA61" s="187">
        <v>0</v>
      </c>
      <c r="AB61" s="187">
        <v>0</v>
      </c>
      <c r="AC61" s="187">
        <v>2</v>
      </c>
      <c r="AD61" s="187">
        <v>457</v>
      </c>
      <c r="AE61" s="187">
        <v>4</v>
      </c>
      <c r="AF61" s="187">
        <v>1</v>
      </c>
      <c r="AG61" s="187">
        <v>5</v>
      </c>
      <c r="AH61" s="187"/>
      <c r="AI61" s="187"/>
      <c r="AJ61" s="187"/>
      <c r="AK61" s="187"/>
      <c r="AL61" s="187"/>
      <c r="AM61" s="187"/>
      <c r="AN61" s="187"/>
      <c r="AO61" s="187"/>
      <c r="AP61" s="187"/>
      <c r="AQ61" s="187"/>
      <c r="AR61" s="187"/>
      <c r="AS61" s="187"/>
      <c r="AT61" s="187"/>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c r="BR61" s="187"/>
      <c r="BS61" s="187"/>
      <c r="BT61" s="187"/>
      <c r="BU61" s="187"/>
      <c r="BV61" s="187"/>
      <c r="BW61" s="187"/>
      <c r="BX61" s="187"/>
      <c r="BY61" s="187"/>
      <c r="BZ61" s="187"/>
      <c r="CA61" s="187"/>
      <c r="CB61" s="187"/>
      <c r="CC61" s="187"/>
      <c r="CD61" s="187"/>
      <c r="CE61" s="187"/>
      <c r="CF61" s="187"/>
      <c r="CG61" s="187"/>
      <c r="CH61" s="187"/>
      <c r="CI61" s="187"/>
      <c r="CJ61" s="187"/>
      <c r="CK61" s="187"/>
      <c r="CL61" s="187"/>
      <c r="CM61" s="187"/>
      <c r="CN61" s="187"/>
      <c r="CO61" s="187"/>
      <c r="CP61" s="187"/>
      <c r="CQ61" s="187"/>
      <c r="CR61" s="187"/>
      <c r="CS61" s="187"/>
      <c r="CT61" s="187"/>
      <c r="CU61" s="187"/>
      <c r="CV61" s="187"/>
      <c r="CW61" s="187"/>
      <c r="CX61" s="187"/>
      <c r="CY61" s="187"/>
      <c r="CZ61" s="187"/>
      <c r="DA61" s="187"/>
      <c r="DB61" s="187"/>
      <c r="DC61" s="187"/>
      <c r="DD61" s="187"/>
      <c r="DE61" s="187"/>
      <c r="DF61" s="187"/>
      <c r="DG61" s="187"/>
      <c r="DH61" s="187"/>
      <c r="DI61" s="187"/>
      <c r="DJ61" s="187"/>
      <c r="DK61" s="187"/>
      <c r="DL61" s="187"/>
      <c r="DM61" s="187"/>
      <c r="DN61" s="187"/>
      <c r="DO61" s="187"/>
      <c r="DP61" s="187"/>
      <c r="DQ61" s="187"/>
      <c r="DR61" s="187"/>
      <c r="DS61" s="187"/>
      <c r="DT61" s="187"/>
      <c r="DU61" s="187"/>
      <c r="DV61" s="187"/>
      <c r="DW61" s="187"/>
      <c r="DX61" s="187"/>
      <c r="DY61" s="187"/>
      <c r="DZ61" s="187"/>
      <c r="EA61" s="187"/>
      <c r="EB61" s="187"/>
      <c r="EC61" s="187"/>
      <c r="ED61" s="187"/>
      <c r="EE61" s="187"/>
      <c r="EF61" s="187"/>
      <c r="EG61" s="187"/>
      <c r="EH61" s="187"/>
      <c r="EI61" s="187"/>
      <c r="EJ61" s="187"/>
      <c r="EK61" s="187"/>
      <c r="EL61" s="187"/>
      <c r="EM61" s="187"/>
      <c r="EN61" s="187"/>
      <c r="EO61" s="187"/>
      <c r="EP61" s="187"/>
      <c r="EQ61" s="187"/>
      <c r="ER61" s="187"/>
      <c r="ES61" s="187"/>
      <c r="ET61" s="187"/>
      <c r="EU61" s="187"/>
      <c r="EV61" s="187"/>
      <c r="EW61" s="187"/>
      <c r="EX61" s="187"/>
      <c r="EY61" s="187"/>
      <c r="EZ61" s="187"/>
      <c r="FA61" s="187"/>
      <c r="FB61" s="187"/>
      <c r="FC61" s="187"/>
    </row>
    <row r="62" spans="1:159" ht="15" x14ac:dyDescent="0.25">
      <c r="A62" s="187" t="s">
        <v>180</v>
      </c>
      <c r="B62" s="187" t="s">
        <v>181</v>
      </c>
      <c r="C62" s="187">
        <v>10943</v>
      </c>
      <c r="D62" s="187">
        <v>0</v>
      </c>
      <c r="E62" s="187">
        <v>282</v>
      </c>
      <c r="F62" s="187">
        <v>881</v>
      </c>
      <c r="G62" s="187">
        <v>2659</v>
      </c>
      <c r="H62" s="187">
        <v>14765</v>
      </c>
      <c r="I62" s="187">
        <v>12106</v>
      </c>
      <c r="J62" s="187">
        <v>30</v>
      </c>
      <c r="K62" s="187">
        <v>109.23</v>
      </c>
      <c r="L62" s="187">
        <v>109.35</v>
      </c>
      <c r="M62" s="187">
        <v>5.23</v>
      </c>
      <c r="N62" s="187">
        <v>110.97</v>
      </c>
      <c r="O62" s="187">
        <v>8441</v>
      </c>
      <c r="P62" s="187">
        <v>106.11</v>
      </c>
      <c r="Q62" s="187">
        <v>94.15</v>
      </c>
      <c r="R62" s="187">
        <v>38.909999999999997</v>
      </c>
      <c r="S62" s="187">
        <v>141.22999999999999</v>
      </c>
      <c r="T62" s="187">
        <v>1090</v>
      </c>
      <c r="U62" s="187">
        <v>167.48</v>
      </c>
      <c r="V62" s="187">
        <v>2429</v>
      </c>
      <c r="W62" s="187">
        <v>135.94999999999999</v>
      </c>
      <c r="X62" s="187">
        <v>50</v>
      </c>
      <c r="Y62" s="187">
        <v>0</v>
      </c>
      <c r="Z62" s="187">
        <v>5</v>
      </c>
      <c r="AA62" s="187">
        <v>0</v>
      </c>
      <c r="AB62" s="187">
        <v>297</v>
      </c>
      <c r="AC62" s="187">
        <v>47</v>
      </c>
      <c r="AD62" s="187">
        <v>10942</v>
      </c>
      <c r="AE62" s="187">
        <v>74</v>
      </c>
      <c r="AF62" s="187">
        <v>62</v>
      </c>
      <c r="AG62" s="187">
        <v>136</v>
      </c>
      <c r="AH62" s="187"/>
      <c r="AI62" s="187"/>
      <c r="AJ62" s="187"/>
      <c r="AK62" s="187"/>
      <c r="AL62" s="187"/>
      <c r="AM62" s="187"/>
      <c r="AN62" s="187"/>
      <c r="AO62" s="187"/>
      <c r="AP62" s="187"/>
      <c r="AQ62" s="187"/>
      <c r="AR62" s="187"/>
      <c r="AS62" s="187"/>
      <c r="AT62" s="187"/>
      <c r="AU62" s="187"/>
      <c r="AV62" s="187"/>
      <c r="AW62" s="187"/>
      <c r="AX62" s="187"/>
      <c r="AY62" s="187"/>
      <c r="AZ62" s="187"/>
      <c r="BA62" s="187"/>
      <c r="BB62" s="187"/>
      <c r="BC62" s="187"/>
      <c r="BD62" s="187"/>
      <c r="BE62" s="187"/>
      <c r="BF62" s="187"/>
      <c r="BG62" s="187"/>
      <c r="BH62" s="187"/>
      <c r="BI62" s="187"/>
      <c r="BJ62" s="187"/>
      <c r="BK62" s="187"/>
      <c r="BL62" s="187"/>
      <c r="BM62" s="187"/>
      <c r="BN62" s="187"/>
      <c r="BO62" s="187"/>
      <c r="BP62" s="187"/>
      <c r="BQ62" s="187"/>
      <c r="BR62" s="187"/>
      <c r="BS62" s="187"/>
      <c r="BT62" s="187"/>
      <c r="BU62" s="187"/>
      <c r="BV62" s="187"/>
      <c r="BW62" s="187"/>
      <c r="BX62" s="187"/>
      <c r="BY62" s="187"/>
      <c r="BZ62" s="187"/>
      <c r="CA62" s="187"/>
      <c r="CB62" s="187"/>
      <c r="CC62" s="187"/>
      <c r="CD62" s="187"/>
      <c r="CE62" s="187"/>
      <c r="CF62" s="187"/>
      <c r="CG62" s="187"/>
      <c r="CH62" s="187"/>
      <c r="CI62" s="187"/>
      <c r="CJ62" s="187"/>
      <c r="CK62" s="187"/>
      <c r="CL62" s="187"/>
      <c r="CM62" s="187"/>
      <c r="CN62" s="187"/>
      <c r="CO62" s="187"/>
      <c r="CP62" s="187"/>
      <c r="CQ62" s="187"/>
      <c r="CR62" s="187"/>
      <c r="CS62" s="187"/>
      <c r="CT62" s="187"/>
      <c r="CU62" s="187"/>
      <c r="CV62" s="187"/>
      <c r="CW62" s="187"/>
      <c r="CX62" s="187"/>
      <c r="CY62" s="187"/>
      <c r="CZ62" s="187"/>
      <c r="DA62" s="187"/>
      <c r="DB62" s="187"/>
      <c r="DC62" s="187"/>
      <c r="DD62" s="187"/>
      <c r="DE62" s="187"/>
      <c r="DF62" s="187"/>
      <c r="DG62" s="187"/>
      <c r="DH62" s="187"/>
      <c r="DI62" s="187"/>
      <c r="DJ62" s="187"/>
      <c r="DK62" s="187"/>
      <c r="DL62" s="187"/>
      <c r="DM62" s="187"/>
      <c r="DN62" s="187"/>
      <c r="DO62" s="187"/>
      <c r="DP62" s="187"/>
      <c r="DQ62" s="187"/>
      <c r="DR62" s="187"/>
      <c r="DS62" s="187"/>
      <c r="DT62" s="187"/>
      <c r="DU62" s="187"/>
      <c r="DV62" s="187"/>
      <c r="DW62" s="187"/>
      <c r="DX62" s="187"/>
      <c r="DY62" s="187"/>
      <c r="DZ62" s="187"/>
      <c r="EA62" s="187"/>
      <c r="EB62" s="187"/>
      <c r="EC62" s="187"/>
      <c r="ED62" s="187"/>
      <c r="EE62" s="187"/>
      <c r="EF62" s="187"/>
      <c r="EG62" s="187"/>
      <c r="EH62" s="187"/>
      <c r="EI62" s="187"/>
      <c r="EJ62" s="187"/>
      <c r="EK62" s="187"/>
      <c r="EL62" s="187"/>
      <c r="EM62" s="187"/>
      <c r="EN62" s="187"/>
      <c r="EO62" s="187"/>
      <c r="EP62" s="187"/>
      <c r="EQ62" s="187"/>
      <c r="ER62" s="187"/>
      <c r="ES62" s="187"/>
      <c r="ET62" s="187"/>
      <c r="EU62" s="187"/>
      <c r="EV62" s="187"/>
      <c r="EW62" s="187"/>
      <c r="EX62" s="187"/>
      <c r="EY62" s="187"/>
      <c r="EZ62" s="187"/>
      <c r="FA62" s="187"/>
      <c r="FB62" s="187"/>
      <c r="FC62" s="187"/>
    </row>
    <row r="63" spans="1:159" ht="15" x14ac:dyDescent="0.25">
      <c r="A63" s="187" t="s">
        <v>182</v>
      </c>
      <c r="B63" s="187" t="s">
        <v>183</v>
      </c>
      <c r="C63" s="187">
        <v>3389</v>
      </c>
      <c r="D63" s="187">
        <v>0</v>
      </c>
      <c r="E63" s="187">
        <v>439</v>
      </c>
      <c r="F63" s="187">
        <v>244</v>
      </c>
      <c r="G63" s="187">
        <v>690</v>
      </c>
      <c r="H63" s="187">
        <v>4762</v>
      </c>
      <c r="I63" s="187">
        <v>4072</v>
      </c>
      <c r="J63" s="187">
        <v>5</v>
      </c>
      <c r="K63" s="187">
        <v>97.95</v>
      </c>
      <c r="L63" s="187">
        <v>95.6</v>
      </c>
      <c r="M63" s="187">
        <v>7.21</v>
      </c>
      <c r="N63" s="187">
        <v>103.56</v>
      </c>
      <c r="O63" s="187">
        <v>2233</v>
      </c>
      <c r="P63" s="187">
        <v>109.36</v>
      </c>
      <c r="Q63" s="187">
        <v>84.49</v>
      </c>
      <c r="R63" s="187">
        <v>68.75</v>
      </c>
      <c r="S63" s="187">
        <v>175.83</v>
      </c>
      <c r="T63" s="187">
        <v>482</v>
      </c>
      <c r="U63" s="187">
        <v>121.78</v>
      </c>
      <c r="V63" s="187">
        <v>1052</v>
      </c>
      <c r="W63" s="187">
        <v>220.73</v>
      </c>
      <c r="X63" s="187">
        <v>69</v>
      </c>
      <c r="Y63" s="187">
        <v>0</v>
      </c>
      <c r="Z63" s="187">
        <v>4</v>
      </c>
      <c r="AA63" s="187">
        <v>1</v>
      </c>
      <c r="AB63" s="187">
        <v>15</v>
      </c>
      <c r="AC63" s="187">
        <v>24</v>
      </c>
      <c r="AD63" s="187">
        <v>3389</v>
      </c>
      <c r="AE63" s="187">
        <v>23</v>
      </c>
      <c r="AF63" s="187">
        <v>28</v>
      </c>
      <c r="AG63" s="187">
        <v>51</v>
      </c>
      <c r="AH63" s="187"/>
      <c r="AI63" s="187"/>
      <c r="AJ63" s="187"/>
      <c r="AK63" s="187"/>
      <c r="AL63" s="187"/>
      <c r="AM63" s="187"/>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7"/>
      <c r="BR63" s="187"/>
      <c r="BS63" s="187"/>
      <c r="BT63" s="187"/>
      <c r="BU63" s="187"/>
      <c r="BV63" s="187"/>
      <c r="BW63" s="187"/>
      <c r="BX63" s="187"/>
      <c r="BY63" s="187"/>
      <c r="BZ63" s="187"/>
      <c r="CA63" s="187"/>
      <c r="CB63" s="187"/>
      <c r="CC63" s="187"/>
      <c r="CD63" s="187"/>
      <c r="CE63" s="187"/>
      <c r="CF63" s="187"/>
      <c r="CG63" s="187"/>
      <c r="CH63" s="187"/>
      <c r="CI63" s="187"/>
      <c r="CJ63" s="187"/>
      <c r="CK63" s="187"/>
      <c r="CL63" s="187"/>
      <c r="CM63" s="187"/>
      <c r="CN63" s="187"/>
      <c r="CO63" s="187"/>
      <c r="CP63" s="187"/>
      <c r="CQ63" s="187"/>
      <c r="CR63" s="187"/>
      <c r="CS63" s="187"/>
      <c r="CT63" s="187"/>
      <c r="CU63" s="187"/>
      <c r="CV63" s="187"/>
      <c r="CW63" s="187"/>
      <c r="CX63" s="187"/>
      <c r="CY63" s="187"/>
      <c r="CZ63" s="187"/>
      <c r="DA63" s="187"/>
      <c r="DB63" s="187"/>
      <c r="DC63" s="187"/>
      <c r="DD63" s="187"/>
      <c r="DE63" s="187"/>
      <c r="DF63" s="187"/>
      <c r="DG63" s="187"/>
      <c r="DH63" s="187"/>
      <c r="DI63" s="187"/>
      <c r="DJ63" s="187"/>
      <c r="DK63" s="187"/>
      <c r="DL63" s="187"/>
      <c r="DM63" s="187"/>
      <c r="DN63" s="187"/>
      <c r="DO63" s="187"/>
      <c r="DP63" s="187"/>
      <c r="DQ63" s="187"/>
      <c r="DR63" s="187"/>
      <c r="DS63" s="187"/>
      <c r="DT63" s="187"/>
      <c r="DU63" s="187"/>
      <c r="DV63" s="187"/>
      <c r="DW63" s="187"/>
      <c r="DX63" s="187"/>
      <c r="DY63" s="187"/>
      <c r="DZ63" s="187"/>
      <c r="EA63" s="187"/>
      <c r="EB63" s="187"/>
      <c r="EC63" s="187"/>
      <c r="ED63" s="187"/>
      <c r="EE63" s="187"/>
      <c r="EF63" s="187"/>
      <c r="EG63" s="187"/>
      <c r="EH63" s="187"/>
      <c r="EI63" s="187"/>
      <c r="EJ63" s="187"/>
      <c r="EK63" s="187"/>
      <c r="EL63" s="187"/>
      <c r="EM63" s="187"/>
      <c r="EN63" s="187"/>
      <c r="EO63" s="187"/>
      <c r="EP63" s="187"/>
      <c r="EQ63" s="187"/>
      <c r="ER63" s="187"/>
      <c r="ES63" s="187"/>
      <c r="ET63" s="187"/>
      <c r="EU63" s="187"/>
      <c r="EV63" s="187"/>
      <c r="EW63" s="187"/>
      <c r="EX63" s="187"/>
      <c r="EY63" s="187"/>
      <c r="EZ63" s="187"/>
      <c r="FA63" s="187"/>
      <c r="FB63" s="187"/>
      <c r="FC63" s="187"/>
    </row>
    <row r="64" spans="1:159" ht="15" x14ac:dyDescent="0.25">
      <c r="A64" s="187" t="s">
        <v>184</v>
      </c>
      <c r="B64" s="187" t="s">
        <v>185</v>
      </c>
      <c r="C64" s="187">
        <v>10051</v>
      </c>
      <c r="D64" s="187">
        <v>250</v>
      </c>
      <c r="E64" s="187">
        <v>311</v>
      </c>
      <c r="F64" s="187">
        <v>281</v>
      </c>
      <c r="G64" s="187">
        <v>1022</v>
      </c>
      <c r="H64" s="187">
        <v>11915</v>
      </c>
      <c r="I64" s="187">
        <v>10893</v>
      </c>
      <c r="J64" s="187">
        <v>27</v>
      </c>
      <c r="K64" s="187">
        <v>108.72</v>
      </c>
      <c r="L64" s="187">
        <v>106.49</v>
      </c>
      <c r="M64" s="187">
        <v>12.18</v>
      </c>
      <c r="N64" s="187">
        <v>114.65</v>
      </c>
      <c r="O64" s="187">
        <v>8628</v>
      </c>
      <c r="P64" s="187">
        <v>105.52</v>
      </c>
      <c r="Q64" s="187">
        <v>94.03</v>
      </c>
      <c r="R64" s="187">
        <v>89.95</v>
      </c>
      <c r="S64" s="187">
        <v>193.12</v>
      </c>
      <c r="T64" s="187">
        <v>496</v>
      </c>
      <c r="U64" s="187">
        <v>161.87</v>
      </c>
      <c r="V64" s="187">
        <v>1285</v>
      </c>
      <c r="W64" s="187">
        <v>0</v>
      </c>
      <c r="X64" s="187">
        <v>0</v>
      </c>
      <c r="Y64" s="187">
        <v>0</v>
      </c>
      <c r="Z64" s="187">
        <v>12</v>
      </c>
      <c r="AA64" s="187">
        <v>0</v>
      </c>
      <c r="AB64" s="187">
        <v>144</v>
      </c>
      <c r="AC64" s="187">
        <v>15</v>
      </c>
      <c r="AD64" s="187">
        <v>10021</v>
      </c>
      <c r="AE64" s="187">
        <v>87</v>
      </c>
      <c r="AF64" s="187">
        <v>75</v>
      </c>
      <c r="AG64" s="187">
        <v>162</v>
      </c>
      <c r="AH64" s="187"/>
      <c r="AI64" s="187"/>
      <c r="AJ64" s="187"/>
      <c r="AK64" s="187"/>
      <c r="AL64" s="187"/>
      <c r="AM64" s="187"/>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7"/>
      <c r="BR64" s="187"/>
      <c r="BS64" s="187"/>
      <c r="BT64" s="187"/>
      <c r="BU64" s="187"/>
      <c r="BV64" s="187"/>
      <c r="BW64" s="187"/>
      <c r="BX64" s="187"/>
      <c r="BY64" s="187"/>
      <c r="BZ64" s="187"/>
      <c r="CA64" s="187"/>
      <c r="CB64" s="187"/>
      <c r="CC64" s="187"/>
      <c r="CD64" s="187"/>
      <c r="CE64" s="187"/>
      <c r="CF64" s="187"/>
      <c r="CG64" s="187"/>
      <c r="CH64" s="187"/>
      <c r="CI64" s="187"/>
      <c r="CJ64" s="187"/>
      <c r="CK64" s="187"/>
      <c r="CL64" s="187"/>
      <c r="CM64" s="187"/>
      <c r="CN64" s="187"/>
      <c r="CO64" s="187"/>
      <c r="CP64" s="187"/>
      <c r="CQ64" s="187"/>
      <c r="CR64" s="187"/>
      <c r="CS64" s="187"/>
      <c r="CT64" s="187"/>
      <c r="CU64" s="187"/>
      <c r="CV64" s="187"/>
      <c r="CW64" s="187"/>
      <c r="CX64" s="187"/>
      <c r="CY64" s="187"/>
      <c r="CZ64" s="187"/>
      <c r="DA64" s="187"/>
      <c r="DB64" s="187"/>
      <c r="DC64" s="187"/>
      <c r="DD64" s="187"/>
      <c r="DE64" s="187"/>
      <c r="DF64" s="187"/>
      <c r="DG64" s="187"/>
      <c r="DH64" s="187"/>
      <c r="DI64" s="187"/>
      <c r="DJ64" s="187"/>
      <c r="DK64" s="187"/>
      <c r="DL64" s="187"/>
      <c r="DM64" s="187"/>
      <c r="DN64" s="187"/>
      <c r="DO64" s="187"/>
      <c r="DP64" s="187"/>
      <c r="DQ64" s="187"/>
      <c r="DR64" s="187"/>
      <c r="DS64" s="187"/>
      <c r="DT64" s="187"/>
      <c r="DU64" s="187"/>
      <c r="DV64" s="187"/>
      <c r="DW64" s="187"/>
      <c r="DX64" s="187"/>
      <c r="DY64" s="187"/>
      <c r="DZ64" s="187"/>
      <c r="EA64" s="187"/>
      <c r="EB64" s="187"/>
      <c r="EC64" s="187"/>
      <c r="ED64" s="187"/>
      <c r="EE64" s="187"/>
      <c r="EF64" s="187"/>
      <c r="EG64" s="187"/>
      <c r="EH64" s="187"/>
      <c r="EI64" s="187"/>
      <c r="EJ64" s="187"/>
      <c r="EK64" s="187"/>
      <c r="EL64" s="187"/>
      <c r="EM64" s="187"/>
      <c r="EN64" s="187"/>
      <c r="EO64" s="187"/>
      <c r="EP64" s="187"/>
      <c r="EQ64" s="187"/>
      <c r="ER64" s="187"/>
      <c r="ES64" s="187"/>
      <c r="ET64" s="187"/>
      <c r="EU64" s="187"/>
      <c r="EV64" s="187"/>
      <c r="EW64" s="187"/>
      <c r="EX64" s="187"/>
      <c r="EY64" s="187"/>
      <c r="EZ64" s="187"/>
      <c r="FA64" s="187"/>
      <c r="FB64" s="187"/>
      <c r="FC64" s="187"/>
    </row>
    <row r="65" spans="1:159" ht="15" x14ac:dyDescent="0.25">
      <c r="A65" s="187" t="s">
        <v>186</v>
      </c>
      <c r="B65" s="187" t="s">
        <v>187</v>
      </c>
      <c r="C65" s="187">
        <v>1893</v>
      </c>
      <c r="D65" s="187">
        <v>0</v>
      </c>
      <c r="E65" s="187">
        <v>423</v>
      </c>
      <c r="F65" s="187">
        <v>215</v>
      </c>
      <c r="G65" s="187">
        <v>340</v>
      </c>
      <c r="H65" s="187">
        <v>2871</v>
      </c>
      <c r="I65" s="187">
        <v>2531</v>
      </c>
      <c r="J65" s="187">
        <v>10</v>
      </c>
      <c r="K65" s="187">
        <v>103.21</v>
      </c>
      <c r="L65" s="187">
        <v>98.64</v>
      </c>
      <c r="M65" s="187">
        <v>6.66</v>
      </c>
      <c r="N65" s="187">
        <v>108.65</v>
      </c>
      <c r="O65" s="187">
        <v>1477</v>
      </c>
      <c r="P65" s="187">
        <v>105.35</v>
      </c>
      <c r="Q65" s="187">
        <v>84.18</v>
      </c>
      <c r="R65" s="187">
        <v>71.52</v>
      </c>
      <c r="S65" s="187">
        <v>170.43</v>
      </c>
      <c r="T65" s="187">
        <v>489</v>
      </c>
      <c r="U65" s="187">
        <v>143.94999999999999</v>
      </c>
      <c r="V65" s="187">
        <v>328</v>
      </c>
      <c r="W65" s="187">
        <v>227.1</v>
      </c>
      <c r="X65" s="187">
        <v>37</v>
      </c>
      <c r="Y65" s="187">
        <v>0</v>
      </c>
      <c r="Z65" s="187">
        <v>0</v>
      </c>
      <c r="AA65" s="187">
        <v>24</v>
      </c>
      <c r="AB65" s="187">
        <v>9</v>
      </c>
      <c r="AC65" s="187">
        <v>11</v>
      </c>
      <c r="AD65" s="187">
        <v>1735</v>
      </c>
      <c r="AE65" s="187">
        <v>24</v>
      </c>
      <c r="AF65" s="187">
        <v>34</v>
      </c>
      <c r="AG65" s="187">
        <v>58</v>
      </c>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7"/>
      <c r="BR65" s="187"/>
      <c r="BS65" s="187"/>
      <c r="BT65" s="187"/>
      <c r="BU65" s="187"/>
      <c r="BV65" s="187"/>
      <c r="BW65" s="187"/>
      <c r="BX65" s="187"/>
      <c r="BY65" s="187"/>
      <c r="BZ65" s="187"/>
      <c r="CA65" s="187"/>
      <c r="CB65" s="187"/>
      <c r="CC65" s="187"/>
      <c r="CD65" s="187"/>
      <c r="CE65" s="187"/>
      <c r="CF65" s="187"/>
      <c r="CG65" s="187"/>
      <c r="CH65" s="187"/>
      <c r="CI65" s="187"/>
      <c r="CJ65" s="187"/>
      <c r="CK65" s="187"/>
      <c r="CL65" s="187"/>
      <c r="CM65" s="187"/>
      <c r="CN65" s="187"/>
      <c r="CO65" s="187"/>
      <c r="CP65" s="187"/>
      <c r="CQ65" s="187"/>
      <c r="CR65" s="187"/>
      <c r="CS65" s="187"/>
      <c r="CT65" s="187"/>
      <c r="CU65" s="187"/>
      <c r="CV65" s="187"/>
      <c r="CW65" s="187"/>
      <c r="CX65" s="187"/>
      <c r="CY65" s="187"/>
      <c r="CZ65" s="187"/>
      <c r="DA65" s="187"/>
      <c r="DB65" s="187"/>
      <c r="DC65" s="187"/>
      <c r="DD65" s="187"/>
      <c r="DE65" s="187"/>
      <c r="DF65" s="187"/>
      <c r="DG65" s="187"/>
      <c r="DH65" s="187"/>
      <c r="DI65" s="187"/>
      <c r="DJ65" s="187"/>
      <c r="DK65" s="187"/>
      <c r="DL65" s="187"/>
      <c r="DM65" s="187"/>
      <c r="DN65" s="187"/>
      <c r="DO65" s="187"/>
      <c r="DP65" s="187"/>
      <c r="DQ65" s="187"/>
      <c r="DR65" s="187"/>
      <c r="DS65" s="187"/>
      <c r="DT65" s="187"/>
      <c r="DU65" s="187"/>
      <c r="DV65" s="187"/>
      <c r="DW65" s="187"/>
      <c r="DX65" s="187"/>
      <c r="DY65" s="187"/>
      <c r="DZ65" s="187"/>
      <c r="EA65" s="187"/>
      <c r="EB65" s="187"/>
      <c r="EC65" s="187"/>
      <c r="ED65" s="187"/>
      <c r="EE65" s="187"/>
      <c r="EF65" s="187"/>
      <c r="EG65" s="187"/>
      <c r="EH65" s="187"/>
      <c r="EI65" s="187"/>
      <c r="EJ65" s="187"/>
      <c r="EK65" s="187"/>
      <c r="EL65" s="187"/>
      <c r="EM65" s="187"/>
      <c r="EN65" s="187"/>
      <c r="EO65" s="187"/>
      <c r="EP65" s="187"/>
      <c r="EQ65" s="187"/>
      <c r="ER65" s="187"/>
      <c r="ES65" s="187"/>
      <c r="ET65" s="187"/>
      <c r="EU65" s="187"/>
      <c r="EV65" s="187"/>
      <c r="EW65" s="187"/>
      <c r="EX65" s="187"/>
      <c r="EY65" s="187"/>
      <c r="EZ65" s="187"/>
      <c r="FA65" s="187"/>
      <c r="FB65" s="187"/>
      <c r="FC65" s="187"/>
    </row>
    <row r="66" spans="1:159" ht="15" x14ac:dyDescent="0.25">
      <c r="A66" s="187" t="s">
        <v>188</v>
      </c>
      <c r="B66" s="187" t="s">
        <v>189</v>
      </c>
      <c r="C66" s="187">
        <v>7362</v>
      </c>
      <c r="D66" s="187">
        <v>7</v>
      </c>
      <c r="E66" s="187">
        <v>198</v>
      </c>
      <c r="F66" s="187">
        <v>1531</v>
      </c>
      <c r="G66" s="187">
        <v>1218</v>
      </c>
      <c r="H66" s="187">
        <v>10316</v>
      </c>
      <c r="I66" s="187">
        <v>9098</v>
      </c>
      <c r="J66" s="187">
        <v>52</v>
      </c>
      <c r="K66" s="187">
        <v>112.28</v>
      </c>
      <c r="L66" s="187">
        <v>111.87</v>
      </c>
      <c r="M66" s="187">
        <v>6.88</v>
      </c>
      <c r="N66" s="187">
        <v>114.51</v>
      </c>
      <c r="O66" s="187">
        <v>5074</v>
      </c>
      <c r="P66" s="187">
        <v>104.28</v>
      </c>
      <c r="Q66" s="187">
        <v>103.35</v>
      </c>
      <c r="R66" s="187">
        <v>28.33</v>
      </c>
      <c r="S66" s="187">
        <v>131.08000000000001</v>
      </c>
      <c r="T66" s="187">
        <v>1618</v>
      </c>
      <c r="U66" s="187">
        <v>173.11</v>
      </c>
      <c r="V66" s="187">
        <v>2238</v>
      </c>
      <c r="W66" s="187">
        <v>139.38</v>
      </c>
      <c r="X66" s="187">
        <v>72</v>
      </c>
      <c r="Y66" s="187">
        <v>0</v>
      </c>
      <c r="Z66" s="187">
        <v>8</v>
      </c>
      <c r="AA66" s="187">
        <v>9</v>
      </c>
      <c r="AB66" s="187">
        <v>60</v>
      </c>
      <c r="AC66" s="187">
        <v>29</v>
      </c>
      <c r="AD66" s="187">
        <v>7315</v>
      </c>
      <c r="AE66" s="187">
        <v>37</v>
      </c>
      <c r="AF66" s="187">
        <v>48</v>
      </c>
      <c r="AG66" s="187">
        <v>85</v>
      </c>
      <c r="AH66" s="187"/>
      <c r="AI66" s="187"/>
      <c r="AJ66" s="187"/>
      <c r="AK66" s="187"/>
      <c r="AL66" s="187"/>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7"/>
      <c r="BR66" s="187"/>
      <c r="BS66" s="187"/>
      <c r="BT66" s="187"/>
      <c r="BU66" s="187"/>
      <c r="BV66" s="187"/>
      <c r="BW66" s="187"/>
      <c r="BX66" s="187"/>
      <c r="BY66" s="187"/>
      <c r="BZ66" s="187"/>
      <c r="CA66" s="187"/>
      <c r="CB66" s="187"/>
      <c r="CC66" s="187"/>
      <c r="CD66" s="187"/>
      <c r="CE66" s="187"/>
      <c r="CF66" s="187"/>
      <c r="CG66" s="187"/>
      <c r="CH66" s="187"/>
      <c r="CI66" s="187"/>
      <c r="CJ66" s="187"/>
      <c r="CK66" s="187"/>
      <c r="CL66" s="187"/>
      <c r="CM66" s="187"/>
      <c r="CN66" s="187"/>
      <c r="CO66" s="187"/>
      <c r="CP66" s="187"/>
      <c r="CQ66" s="187"/>
      <c r="CR66" s="187"/>
      <c r="CS66" s="187"/>
      <c r="CT66" s="187"/>
      <c r="CU66" s="187"/>
      <c r="CV66" s="187"/>
      <c r="CW66" s="187"/>
      <c r="CX66" s="187"/>
      <c r="CY66" s="187"/>
      <c r="CZ66" s="187"/>
      <c r="DA66" s="187"/>
      <c r="DB66" s="187"/>
      <c r="DC66" s="187"/>
      <c r="DD66" s="187"/>
      <c r="DE66" s="187"/>
      <c r="DF66" s="187"/>
      <c r="DG66" s="187"/>
      <c r="DH66" s="187"/>
      <c r="DI66" s="187"/>
      <c r="DJ66" s="187"/>
      <c r="DK66" s="187"/>
      <c r="DL66" s="187"/>
      <c r="DM66" s="187"/>
      <c r="DN66" s="187"/>
      <c r="DO66" s="187"/>
      <c r="DP66" s="187"/>
      <c r="DQ66" s="187"/>
      <c r="DR66" s="187"/>
      <c r="DS66" s="187"/>
      <c r="DT66" s="187"/>
      <c r="DU66" s="187"/>
      <c r="DV66" s="187"/>
      <c r="DW66" s="187"/>
      <c r="DX66" s="187"/>
      <c r="DY66" s="187"/>
      <c r="DZ66" s="187"/>
      <c r="EA66" s="187"/>
      <c r="EB66" s="187"/>
      <c r="EC66" s="187"/>
      <c r="ED66" s="187"/>
      <c r="EE66" s="187"/>
      <c r="EF66" s="187"/>
      <c r="EG66" s="187"/>
      <c r="EH66" s="187"/>
      <c r="EI66" s="187"/>
      <c r="EJ66" s="187"/>
      <c r="EK66" s="187"/>
      <c r="EL66" s="187"/>
      <c r="EM66" s="187"/>
      <c r="EN66" s="187"/>
      <c r="EO66" s="187"/>
      <c r="EP66" s="187"/>
      <c r="EQ66" s="187"/>
      <c r="ER66" s="187"/>
      <c r="ES66" s="187"/>
      <c r="ET66" s="187"/>
      <c r="EU66" s="187"/>
      <c r="EV66" s="187"/>
      <c r="EW66" s="187"/>
      <c r="EX66" s="187"/>
      <c r="EY66" s="187"/>
      <c r="EZ66" s="187"/>
      <c r="FA66" s="187"/>
      <c r="FB66" s="187"/>
      <c r="FC66" s="187"/>
    </row>
    <row r="67" spans="1:159" ht="15" x14ac:dyDescent="0.25">
      <c r="A67" s="187" t="s">
        <v>190</v>
      </c>
      <c r="B67" s="187" t="s">
        <v>191</v>
      </c>
      <c r="C67" s="187">
        <v>18109</v>
      </c>
      <c r="D67" s="187">
        <v>0</v>
      </c>
      <c r="E67" s="187">
        <v>863</v>
      </c>
      <c r="F67" s="187">
        <v>2814</v>
      </c>
      <c r="G67" s="187">
        <v>2016</v>
      </c>
      <c r="H67" s="187">
        <v>23802</v>
      </c>
      <c r="I67" s="187">
        <v>21786</v>
      </c>
      <c r="J67" s="187">
        <v>59</v>
      </c>
      <c r="K67" s="187">
        <v>95.25</v>
      </c>
      <c r="L67" s="187">
        <v>94.22</v>
      </c>
      <c r="M67" s="187">
        <v>6.76</v>
      </c>
      <c r="N67" s="187">
        <v>98.65</v>
      </c>
      <c r="O67" s="187">
        <v>13245</v>
      </c>
      <c r="P67" s="187">
        <v>100</v>
      </c>
      <c r="Q67" s="187">
        <v>86.57</v>
      </c>
      <c r="R67" s="187">
        <v>33.35</v>
      </c>
      <c r="S67" s="187">
        <v>125.27</v>
      </c>
      <c r="T67" s="187">
        <v>3251</v>
      </c>
      <c r="U67" s="187">
        <v>119.6</v>
      </c>
      <c r="V67" s="187">
        <v>4733</v>
      </c>
      <c r="W67" s="187">
        <v>114</v>
      </c>
      <c r="X67" s="187">
        <v>162</v>
      </c>
      <c r="Y67" s="187">
        <v>0</v>
      </c>
      <c r="Z67" s="187">
        <v>45</v>
      </c>
      <c r="AA67" s="187">
        <v>15</v>
      </c>
      <c r="AB67" s="187">
        <v>231</v>
      </c>
      <c r="AC67" s="187">
        <v>52</v>
      </c>
      <c r="AD67" s="187">
        <v>18054</v>
      </c>
      <c r="AE67" s="187">
        <v>101</v>
      </c>
      <c r="AF67" s="187">
        <v>108</v>
      </c>
      <c r="AG67" s="187">
        <v>209</v>
      </c>
      <c r="AH67" s="187"/>
      <c r="AI67" s="187"/>
      <c r="AJ67" s="187"/>
      <c r="AK67" s="187"/>
      <c r="AL67" s="187"/>
      <c r="AM67" s="187"/>
      <c r="AN67" s="187"/>
      <c r="AO67" s="187"/>
      <c r="AP67" s="187"/>
      <c r="AQ67" s="187"/>
      <c r="AR67" s="187"/>
      <c r="AS67" s="187"/>
      <c r="AT67" s="187"/>
      <c r="AU67" s="187"/>
      <c r="AV67" s="187"/>
      <c r="AW67" s="187"/>
      <c r="AX67" s="187"/>
      <c r="AY67" s="187"/>
      <c r="AZ67" s="187"/>
      <c r="BA67" s="187"/>
      <c r="BB67" s="187"/>
      <c r="BC67" s="187"/>
      <c r="BD67" s="187"/>
      <c r="BE67" s="187"/>
      <c r="BF67" s="187"/>
      <c r="BG67" s="187"/>
      <c r="BH67" s="187"/>
      <c r="BI67" s="187"/>
      <c r="BJ67" s="187"/>
      <c r="BK67" s="187"/>
      <c r="BL67" s="187"/>
      <c r="BM67" s="187"/>
      <c r="BN67" s="187"/>
      <c r="BO67" s="187"/>
      <c r="BP67" s="187"/>
      <c r="BQ67" s="187"/>
      <c r="BR67" s="187"/>
      <c r="BS67" s="187"/>
      <c r="BT67" s="187"/>
      <c r="BU67" s="187"/>
      <c r="BV67" s="187"/>
      <c r="BW67" s="187"/>
      <c r="BX67" s="187"/>
      <c r="BY67" s="187"/>
      <c r="BZ67" s="187"/>
      <c r="CA67" s="187"/>
      <c r="CB67" s="187"/>
      <c r="CC67" s="187"/>
      <c r="CD67" s="187"/>
      <c r="CE67" s="187"/>
      <c r="CF67" s="187"/>
      <c r="CG67" s="187"/>
      <c r="CH67" s="187"/>
      <c r="CI67" s="187"/>
      <c r="CJ67" s="187"/>
      <c r="CK67" s="187"/>
      <c r="CL67" s="187"/>
      <c r="CM67" s="187"/>
      <c r="CN67" s="187"/>
      <c r="CO67" s="187"/>
      <c r="CP67" s="187"/>
      <c r="CQ67" s="187"/>
      <c r="CR67" s="187"/>
      <c r="CS67" s="187"/>
      <c r="CT67" s="187"/>
      <c r="CU67" s="187"/>
      <c r="CV67" s="187"/>
      <c r="CW67" s="187"/>
      <c r="CX67" s="187"/>
      <c r="CY67" s="187"/>
      <c r="CZ67" s="187"/>
      <c r="DA67" s="187"/>
      <c r="DB67" s="187"/>
      <c r="DC67" s="187"/>
      <c r="DD67" s="187"/>
      <c r="DE67" s="187"/>
      <c r="DF67" s="187"/>
      <c r="DG67" s="187"/>
      <c r="DH67" s="187"/>
      <c r="DI67" s="187"/>
      <c r="DJ67" s="187"/>
      <c r="DK67" s="187"/>
      <c r="DL67" s="187"/>
      <c r="DM67" s="187"/>
      <c r="DN67" s="187"/>
      <c r="DO67" s="187"/>
      <c r="DP67" s="187"/>
      <c r="DQ67" s="187"/>
      <c r="DR67" s="187"/>
      <c r="DS67" s="187"/>
      <c r="DT67" s="187"/>
      <c r="DU67" s="187"/>
      <c r="DV67" s="187"/>
      <c r="DW67" s="187"/>
      <c r="DX67" s="187"/>
      <c r="DY67" s="187"/>
      <c r="DZ67" s="187"/>
      <c r="EA67" s="187"/>
      <c r="EB67" s="187"/>
      <c r="EC67" s="187"/>
      <c r="ED67" s="187"/>
      <c r="EE67" s="187"/>
      <c r="EF67" s="187"/>
      <c r="EG67" s="187"/>
      <c r="EH67" s="187"/>
      <c r="EI67" s="187"/>
      <c r="EJ67" s="187"/>
      <c r="EK67" s="187"/>
      <c r="EL67" s="187"/>
      <c r="EM67" s="187"/>
      <c r="EN67" s="187"/>
      <c r="EO67" s="187"/>
      <c r="EP67" s="187"/>
      <c r="EQ67" s="187"/>
      <c r="ER67" s="187"/>
      <c r="ES67" s="187"/>
      <c r="ET67" s="187"/>
      <c r="EU67" s="187"/>
      <c r="EV67" s="187"/>
      <c r="EW67" s="187"/>
      <c r="EX67" s="187"/>
      <c r="EY67" s="187"/>
      <c r="EZ67" s="187"/>
      <c r="FA67" s="187"/>
      <c r="FB67" s="187"/>
      <c r="FC67" s="187"/>
    </row>
    <row r="68" spans="1:159" ht="15" x14ac:dyDescent="0.25">
      <c r="A68" s="187" t="s">
        <v>192</v>
      </c>
      <c r="B68" s="187" t="s">
        <v>193</v>
      </c>
      <c r="C68" s="187">
        <v>15219</v>
      </c>
      <c r="D68" s="187">
        <v>9</v>
      </c>
      <c r="E68" s="187">
        <v>724</v>
      </c>
      <c r="F68" s="187">
        <v>2979</v>
      </c>
      <c r="G68" s="187">
        <v>2265</v>
      </c>
      <c r="H68" s="187">
        <v>21196</v>
      </c>
      <c r="I68" s="187">
        <v>18931</v>
      </c>
      <c r="J68" s="187">
        <v>65</v>
      </c>
      <c r="K68" s="187">
        <v>98.54</v>
      </c>
      <c r="L68" s="187">
        <v>100.56</v>
      </c>
      <c r="M68" s="187">
        <v>5.33</v>
      </c>
      <c r="N68" s="187">
        <v>100.6</v>
      </c>
      <c r="O68" s="187">
        <v>11901</v>
      </c>
      <c r="P68" s="187">
        <v>103.18</v>
      </c>
      <c r="Q68" s="187">
        <v>93.5</v>
      </c>
      <c r="R68" s="187">
        <v>35.36</v>
      </c>
      <c r="S68" s="187">
        <v>128.80000000000001</v>
      </c>
      <c r="T68" s="187">
        <v>3010</v>
      </c>
      <c r="U68" s="187">
        <v>121.57</v>
      </c>
      <c r="V68" s="187">
        <v>2955</v>
      </c>
      <c r="W68" s="187">
        <v>160.86000000000001</v>
      </c>
      <c r="X68" s="187">
        <v>452</v>
      </c>
      <c r="Y68" s="187">
        <v>0</v>
      </c>
      <c r="Z68" s="187">
        <v>42</v>
      </c>
      <c r="AA68" s="187">
        <v>0</v>
      </c>
      <c r="AB68" s="187">
        <v>263</v>
      </c>
      <c r="AC68" s="187">
        <v>49</v>
      </c>
      <c r="AD68" s="187">
        <v>15068</v>
      </c>
      <c r="AE68" s="187">
        <v>231</v>
      </c>
      <c r="AF68" s="187">
        <v>83</v>
      </c>
      <c r="AG68" s="187">
        <v>314</v>
      </c>
      <c r="AH68" s="187"/>
      <c r="AI68" s="187"/>
      <c r="AJ68" s="187"/>
      <c r="AK68" s="187"/>
      <c r="AL68" s="187"/>
      <c r="AM68" s="187"/>
      <c r="AN68" s="187"/>
      <c r="AO68" s="187"/>
      <c r="AP68" s="187"/>
      <c r="AQ68" s="187"/>
      <c r="AR68" s="187"/>
      <c r="AS68" s="187"/>
      <c r="AT68" s="187"/>
      <c r="AU68" s="187"/>
      <c r="AV68" s="187"/>
      <c r="AW68" s="187"/>
      <c r="AX68" s="187"/>
      <c r="AY68" s="187"/>
      <c r="AZ68" s="187"/>
      <c r="BA68" s="187"/>
      <c r="BB68" s="187"/>
      <c r="BC68" s="187"/>
      <c r="BD68" s="187"/>
      <c r="BE68" s="187"/>
      <c r="BF68" s="187"/>
      <c r="BG68" s="187"/>
      <c r="BH68" s="187"/>
      <c r="BI68" s="187"/>
      <c r="BJ68" s="187"/>
      <c r="BK68" s="187"/>
      <c r="BL68" s="187"/>
      <c r="BM68" s="187"/>
      <c r="BN68" s="187"/>
      <c r="BO68" s="187"/>
      <c r="BP68" s="187"/>
      <c r="BQ68" s="187"/>
      <c r="BR68" s="187"/>
      <c r="BS68" s="187"/>
      <c r="BT68" s="187"/>
      <c r="BU68" s="187"/>
      <c r="BV68" s="187"/>
      <c r="BW68" s="187"/>
      <c r="BX68" s="187"/>
      <c r="BY68" s="187"/>
      <c r="BZ68" s="187"/>
      <c r="CA68" s="187"/>
      <c r="CB68" s="187"/>
      <c r="CC68" s="187"/>
      <c r="CD68" s="187"/>
      <c r="CE68" s="187"/>
      <c r="CF68" s="187"/>
      <c r="CG68" s="187"/>
      <c r="CH68" s="187"/>
      <c r="CI68" s="187"/>
      <c r="CJ68" s="187"/>
      <c r="CK68" s="187"/>
      <c r="CL68" s="187"/>
      <c r="CM68" s="187"/>
      <c r="CN68" s="187"/>
      <c r="CO68" s="187"/>
      <c r="CP68" s="187"/>
      <c r="CQ68" s="187"/>
      <c r="CR68" s="187"/>
      <c r="CS68" s="187"/>
      <c r="CT68" s="187"/>
      <c r="CU68" s="187"/>
      <c r="CV68" s="187"/>
      <c r="CW68" s="187"/>
      <c r="CX68" s="187"/>
      <c r="CY68" s="187"/>
      <c r="CZ68" s="187"/>
      <c r="DA68" s="187"/>
      <c r="DB68" s="187"/>
      <c r="DC68" s="187"/>
      <c r="DD68" s="187"/>
      <c r="DE68" s="187"/>
      <c r="DF68" s="187"/>
      <c r="DG68" s="187"/>
      <c r="DH68" s="187"/>
      <c r="DI68" s="187"/>
      <c r="DJ68" s="187"/>
      <c r="DK68" s="187"/>
      <c r="DL68" s="187"/>
      <c r="DM68" s="187"/>
      <c r="DN68" s="187"/>
      <c r="DO68" s="187"/>
      <c r="DP68" s="187"/>
      <c r="DQ68" s="187"/>
      <c r="DR68" s="187"/>
      <c r="DS68" s="187"/>
      <c r="DT68" s="187"/>
      <c r="DU68" s="187"/>
      <c r="DV68" s="187"/>
      <c r="DW68" s="187"/>
      <c r="DX68" s="187"/>
      <c r="DY68" s="187"/>
      <c r="DZ68" s="187"/>
      <c r="EA68" s="187"/>
      <c r="EB68" s="187"/>
      <c r="EC68" s="187"/>
      <c r="ED68" s="187"/>
      <c r="EE68" s="187"/>
      <c r="EF68" s="187"/>
      <c r="EG68" s="187"/>
      <c r="EH68" s="187"/>
      <c r="EI68" s="187"/>
      <c r="EJ68" s="187"/>
      <c r="EK68" s="187"/>
      <c r="EL68" s="187"/>
      <c r="EM68" s="187"/>
      <c r="EN68" s="187"/>
      <c r="EO68" s="187"/>
      <c r="EP68" s="187"/>
      <c r="EQ68" s="187"/>
      <c r="ER68" s="187"/>
      <c r="ES68" s="187"/>
      <c r="ET68" s="187"/>
      <c r="EU68" s="187"/>
      <c r="EV68" s="187"/>
      <c r="EW68" s="187"/>
      <c r="EX68" s="187"/>
      <c r="EY68" s="187"/>
      <c r="EZ68" s="187"/>
      <c r="FA68" s="187"/>
      <c r="FB68" s="187"/>
      <c r="FC68" s="187"/>
    </row>
    <row r="69" spans="1:159" ht="15" x14ac:dyDescent="0.25">
      <c r="A69" s="187" t="s">
        <v>194</v>
      </c>
      <c r="B69" s="187" t="s">
        <v>195</v>
      </c>
      <c r="C69" s="187">
        <v>883</v>
      </c>
      <c r="D69" s="187">
        <v>0</v>
      </c>
      <c r="E69" s="187">
        <v>221</v>
      </c>
      <c r="F69" s="187">
        <v>521</v>
      </c>
      <c r="G69" s="187">
        <v>173</v>
      </c>
      <c r="H69" s="187">
        <v>1798</v>
      </c>
      <c r="I69" s="187">
        <v>1625</v>
      </c>
      <c r="J69" s="187">
        <v>18</v>
      </c>
      <c r="K69" s="187">
        <v>92.68</v>
      </c>
      <c r="L69" s="187">
        <v>89.88</v>
      </c>
      <c r="M69" s="187">
        <v>5.67</v>
      </c>
      <c r="N69" s="187">
        <v>95.32</v>
      </c>
      <c r="O69" s="187">
        <v>615</v>
      </c>
      <c r="P69" s="187">
        <v>102</v>
      </c>
      <c r="Q69" s="187">
        <v>88.12</v>
      </c>
      <c r="R69" s="187">
        <v>32.17</v>
      </c>
      <c r="S69" s="187">
        <v>132.38999999999999</v>
      </c>
      <c r="T69" s="187">
        <v>616</v>
      </c>
      <c r="U69" s="187">
        <v>115.87</v>
      </c>
      <c r="V69" s="187">
        <v>165</v>
      </c>
      <c r="W69" s="187">
        <v>236.62</v>
      </c>
      <c r="X69" s="187">
        <v>25</v>
      </c>
      <c r="Y69" s="187">
        <v>0</v>
      </c>
      <c r="Z69" s="187">
        <v>2</v>
      </c>
      <c r="AA69" s="187">
        <v>1</v>
      </c>
      <c r="AB69" s="187">
        <v>26</v>
      </c>
      <c r="AC69" s="187">
        <v>9</v>
      </c>
      <c r="AD69" s="187">
        <v>779</v>
      </c>
      <c r="AE69" s="187">
        <v>8</v>
      </c>
      <c r="AF69" s="187">
        <v>6</v>
      </c>
      <c r="AG69" s="187">
        <v>14</v>
      </c>
      <c r="AH69" s="187"/>
      <c r="AI69" s="187"/>
      <c r="AJ69" s="187"/>
      <c r="AK69" s="187"/>
      <c r="AL69" s="187"/>
      <c r="AM69" s="187"/>
      <c r="AN69" s="187"/>
      <c r="AO69" s="187"/>
      <c r="AP69" s="187"/>
      <c r="AQ69" s="187"/>
      <c r="AR69" s="187"/>
      <c r="AS69" s="187"/>
      <c r="AT69" s="187"/>
      <c r="AU69" s="187"/>
      <c r="AV69" s="187"/>
      <c r="AW69" s="187"/>
      <c r="AX69" s="187"/>
      <c r="AY69" s="187"/>
      <c r="AZ69" s="187"/>
      <c r="BA69" s="187"/>
      <c r="BB69" s="187"/>
      <c r="BC69" s="187"/>
      <c r="BD69" s="187"/>
      <c r="BE69" s="187"/>
      <c r="BF69" s="187"/>
      <c r="BG69" s="187"/>
      <c r="BH69" s="187"/>
      <c r="BI69" s="187"/>
      <c r="BJ69" s="187"/>
      <c r="BK69" s="187"/>
      <c r="BL69" s="187"/>
      <c r="BM69" s="187"/>
      <c r="BN69" s="187"/>
      <c r="BO69" s="187"/>
      <c r="BP69" s="187"/>
      <c r="BQ69" s="187"/>
      <c r="BR69" s="187"/>
      <c r="BS69" s="187"/>
      <c r="BT69" s="187"/>
      <c r="BU69" s="187"/>
      <c r="BV69" s="187"/>
      <c r="BW69" s="187"/>
      <c r="BX69" s="187"/>
      <c r="BY69" s="187"/>
      <c r="BZ69" s="187"/>
      <c r="CA69" s="187"/>
      <c r="CB69" s="187"/>
      <c r="CC69" s="187"/>
      <c r="CD69" s="187"/>
      <c r="CE69" s="187"/>
      <c r="CF69" s="187"/>
      <c r="CG69" s="187"/>
      <c r="CH69" s="187"/>
      <c r="CI69" s="187"/>
      <c r="CJ69" s="187"/>
      <c r="CK69" s="187"/>
      <c r="CL69" s="187"/>
      <c r="CM69" s="187"/>
      <c r="CN69" s="187"/>
      <c r="CO69" s="187"/>
      <c r="CP69" s="187"/>
      <c r="CQ69" s="187"/>
      <c r="CR69" s="187"/>
      <c r="CS69" s="187"/>
      <c r="CT69" s="187"/>
      <c r="CU69" s="187"/>
      <c r="CV69" s="187"/>
      <c r="CW69" s="187"/>
      <c r="CX69" s="187"/>
      <c r="CY69" s="187"/>
      <c r="CZ69" s="187"/>
      <c r="DA69" s="187"/>
      <c r="DB69" s="187"/>
      <c r="DC69" s="187"/>
      <c r="DD69" s="187"/>
      <c r="DE69" s="187"/>
      <c r="DF69" s="187"/>
      <c r="DG69" s="187"/>
      <c r="DH69" s="187"/>
      <c r="DI69" s="187"/>
      <c r="DJ69" s="187"/>
      <c r="DK69" s="187"/>
      <c r="DL69" s="187"/>
      <c r="DM69" s="187"/>
      <c r="DN69" s="187"/>
      <c r="DO69" s="187"/>
      <c r="DP69" s="187"/>
      <c r="DQ69" s="187"/>
      <c r="DR69" s="187"/>
      <c r="DS69" s="187"/>
      <c r="DT69" s="187"/>
      <c r="DU69" s="187"/>
      <c r="DV69" s="187"/>
      <c r="DW69" s="187"/>
      <c r="DX69" s="187"/>
      <c r="DY69" s="187"/>
      <c r="DZ69" s="187"/>
      <c r="EA69" s="187"/>
      <c r="EB69" s="187"/>
      <c r="EC69" s="187"/>
      <c r="ED69" s="187"/>
      <c r="EE69" s="187"/>
      <c r="EF69" s="187"/>
      <c r="EG69" s="187"/>
      <c r="EH69" s="187"/>
      <c r="EI69" s="187"/>
      <c r="EJ69" s="187"/>
      <c r="EK69" s="187"/>
      <c r="EL69" s="187"/>
      <c r="EM69" s="187"/>
      <c r="EN69" s="187"/>
      <c r="EO69" s="187"/>
      <c r="EP69" s="187"/>
      <c r="EQ69" s="187"/>
      <c r="ER69" s="187"/>
      <c r="ES69" s="187"/>
      <c r="ET69" s="187"/>
      <c r="EU69" s="187"/>
      <c r="EV69" s="187"/>
      <c r="EW69" s="187"/>
      <c r="EX69" s="187"/>
      <c r="EY69" s="187"/>
      <c r="EZ69" s="187"/>
      <c r="FA69" s="187"/>
      <c r="FB69" s="187"/>
      <c r="FC69" s="187"/>
    </row>
    <row r="70" spans="1:159" ht="15" x14ac:dyDescent="0.25">
      <c r="A70" s="187" t="s">
        <v>196</v>
      </c>
      <c r="B70" s="187" t="s">
        <v>197</v>
      </c>
      <c r="C70" s="187">
        <v>7716</v>
      </c>
      <c r="D70" s="187">
        <v>0</v>
      </c>
      <c r="E70" s="187">
        <v>189</v>
      </c>
      <c r="F70" s="187">
        <v>767</v>
      </c>
      <c r="G70" s="187">
        <v>948</v>
      </c>
      <c r="H70" s="187">
        <v>9620</v>
      </c>
      <c r="I70" s="187">
        <v>8672</v>
      </c>
      <c r="J70" s="187">
        <v>41</v>
      </c>
      <c r="K70" s="187">
        <v>113.01</v>
      </c>
      <c r="L70" s="187">
        <v>113.31</v>
      </c>
      <c r="M70" s="187">
        <v>8.64</v>
      </c>
      <c r="N70" s="187">
        <v>117.39</v>
      </c>
      <c r="O70" s="187">
        <v>6289</v>
      </c>
      <c r="P70" s="187">
        <v>103.82</v>
      </c>
      <c r="Q70" s="187">
        <v>94.36</v>
      </c>
      <c r="R70" s="187">
        <v>40.58</v>
      </c>
      <c r="S70" s="187">
        <v>142.57</v>
      </c>
      <c r="T70" s="187">
        <v>707</v>
      </c>
      <c r="U70" s="187">
        <v>179.5</v>
      </c>
      <c r="V70" s="187">
        <v>1370</v>
      </c>
      <c r="W70" s="187">
        <v>152.19999999999999</v>
      </c>
      <c r="X70" s="187">
        <v>4</v>
      </c>
      <c r="Y70" s="187">
        <v>0</v>
      </c>
      <c r="Z70" s="187">
        <v>9</v>
      </c>
      <c r="AA70" s="187">
        <v>22</v>
      </c>
      <c r="AB70" s="187">
        <v>156</v>
      </c>
      <c r="AC70" s="187">
        <v>19</v>
      </c>
      <c r="AD70" s="187">
        <v>7694</v>
      </c>
      <c r="AE70" s="187">
        <v>48</v>
      </c>
      <c r="AF70" s="187">
        <v>50</v>
      </c>
      <c r="AG70" s="187">
        <v>98</v>
      </c>
      <c r="AH70" s="187"/>
      <c r="AI70" s="187"/>
      <c r="AJ70" s="187"/>
      <c r="AK70" s="187"/>
      <c r="AL70" s="187"/>
      <c r="AM70" s="187"/>
      <c r="AN70" s="187"/>
      <c r="AO70" s="187"/>
      <c r="AP70" s="187"/>
      <c r="AQ70" s="187"/>
      <c r="AR70" s="187"/>
      <c r="AS70" s="187"/>
      <c r="AT70" s="187"/>
      <c r="AU70" s="187"/>
      <c r="AV70" s="187"/>
      <c r="AW70" s="187"/>
      <c r="AX70" s="187"/>
      <c r="AY70" s="187"/>
      <c r="AZ70" s="187"/>
      <c r="BA70" s="187"/>
      <c r="BB70" s="187"/>
      <c r="BC70" s="187"/>
      <c r="BD70" s="187"/>
      <c r="BE70" s="187"/>
      <c r="BF70" s="187"/>
      <c r="BG70" s="187"/>
      <c r="BH70" s="187"/>
      <c r="BI70" s="187"/>
      <c r="BJ70" s="187"/>
      <c r="BK70" s="187"/>
      <c r="BL70" s="187"/>
      <c r="BM70" s="187"/>
      <c r="BN70" s="187"/>
      <c r="BO70" s="187"/>
      <c r="BP70" s="187"/>
      <c r="BQ70" s="187"/>
      <c r="BR70" s="187"/>
      <c r="BS70" s="187"/>
      <c r="BT70" s="187"/>
      <c r="BU70" s="187"/>
      <c r="BV70" s="187"/>
      <c r="BW70" s="187"/>
      <c r="BX70" s="187"/>
      <c r="BY70" s="187"/>
      <c r="BZ70" s="187"/>
      <c r="CA70" s="187"/>
      <c r="CB70" s="187"/>
      <c r="CC70" s="187"/>
      <c r="CD70" s="187"/>
      <c r="CE70" s="187"/>
      <c r="CF70" s="187"/>
      <c r="CG70" s="187"/>
      <c r="CH70" s="187"/>
      <c r="CI70" s="187"/>
      <c r="CJ70" s="187"/>
      <c r="CK70" s="187"/>
      <c r="CL70" s="187"/>
      <c r="CM70" s="187"/>
      <c r="CN70" s="187"/>
      <c r="CO70" s="187"/>
      <c r="CP70" s="187"/>
      <c r="CQ70" s="187"/>
      <c r="CR70" s="187"/>
      <c r="CS70" s="187"/>
      <c r="CT70" s="187"/>
      <c r="CU70" s="187"/>
      <c r="CV70" s="187"/>
      <c r="CW70" s="187"/>
      <c r="CX70" s="187"/>
      <c r="CY70" s="187"/>
      <c r="CZ70" s="187"/>
      <c r="DA70" s="187"/>
      <c r="DB70" s="187"/>
      <c r="DC70" s="187"/>
      <c r="DD70" s="187"/>
      <c r="DE70" s="187"/>
      <c r="DF70" s="187"/>
      <c r="DG70" s="187"/>
      <c r="DH70" s="187"/>
      <c r="DI70" s="187"/>
      <c r="DJ70" s="187"/>
      <c r="DK70" s="187"/>
      <c r="DL70" s="187"/>
      <c r="DM70" s="187"/>
      <c r="DN70" s="187"/>
      <c r="DO70" s="187"/>
      <c r="DP70" s="187"/>
      <c r="DQ70" s="187"/>
      <c r="DR70" s="187"/>
      <c r="DS70" s="187"/>
      <c r="DT70" s="187"/>
      <c r="DU70" s="187"/>
      <c r="DV70" s="187"/>
      <c r="DW70" s="187"/>
      <c r="DX70" s="187"/>
      <c r="DY70" s="187"/>
      <c r="DZ70" s="187"/>
      <c r="EA70" s="187"/>
      <c r="EB70" s="187"/>
      <c r="EC70" s="187"/>
      <c r="ED70" s="187"/>
      <c r="EE70" s="187"/>
      <c r="EF70" s="187"/>
      <c r="EG70" s="187"/>
      <c r="EH70" s="187"/>
      <c r="EI70" s="187"/>
      <c r="EJ70" s="187"/>
      <c r="EK70" s="187"/>
      <c r="EL70" s="187"/>
      <c r="EM70" s="187"/>
      <c r="EN70" s="187"/>
      <c r="EO70" s="187"/>
      <c r="EP70" s="187"/>
      <c r="EQ70" s="187"/>
      <c r="ER70" s="187"/>
      <c r="ES70" s="187"/>
      <c r="ET70" s="187"/>
      <c r="EU70" s="187"/>
      <c r="EV70" s="187"/>
      <c r="EW70" s="187"/>
      <c r="EX70" s="187"/>
      <c r="EY70" s="187"/>
      <c r="EZ70" s="187"/>
      <c r="FA70" s="187"/>
      <c r="FB70" s="187"/>
      <c r="FC70" s="187"/>
    </row>
    <row r="71" spans="1:159" ht="15" x14ac:dyDescent="0.25">
      <c r="A71" s="187" t="s">
        <v>198</v>
      </c>
      <c r="B71" s="187" t="s">
        <v>199</v>
      </c>
      <c r="C71" s="187">
        <v>6076</v>
      </c>
      <c r="D71" s="187">
        <v>0</v>
      </c>
      <c r="E71" s="187">
        <v>384</v>
      </c>
      <c r="F71" s="187">
        <v>655</v>
      </c>
      <c r="G71" s="187">
        <v>301</v>
      </c>
      <c r="H71" s="187">
        <v>7416</v>
      </c>
      <c r="I71" s="187">
        <v>7115</v>
      </c>
      <c r="J71" s="187">
        <v>22</v>
      </c>
      <c r="K71" s="187">
        <v>86.25</v>
      </c>
      <c r="L71" s="187">
        <v>83.41</v>
      </c>
      <c r="M71" s="187">
        <v>6.22</v>
      </c>
      <c r="N71" s="187">
        <v>90.86</v>
      </c>
      <c r="O71" s="187">
        <v>5046</v>
      </c>
      <c r="P71" s="187">
        <v>89.66</v>
      </c>
      <c r="Q71" s="187">
        <v>74.040000000000006</v>
      </c>
      <c r="R71" s="187">
        <v>27.95</v>
      </c>
      <c r="S71" s="187">
        <v>115.95</v>
      </c>
      <c r="T71" s="187">
        <v>854</v>
      </c>
      <c r="U71" s="187">
        <v>110.27</v>
      </c>
      <c r="V71" s="187">
        <v>993</v>
      </c>
      <c r="W71" s="187">
        <v>0</v>
      </c>
      <c r="X71" s="187">
        <v>0</v>
      </c>
      <c r="Y71" s="187">
        <v>0</v>
      </c>
      <c r="Z71" s="187">
        <v>12</v>
      </c>
      <c r="AA71" s="187">
        <v>0</v>
      </c>
      <c r="AB71" s="187">
        <v>8</v>
      </c>
      <c r="AC71" s="187">
        <v>5</v>
      </c>
      <c r="AD71" s="187">
        <v>5992</v>
      </c>
      <c r="AE71" s="187">
        <v>63</v>
      </c>
      <c r="AF71" s="187">
        <v>9</v>
      </c>
      <c r="AG71" s="187">
        <v>72</v>
      </c>
      <c r="AH71" s="187"/>
      <c r="AI71" s="187"/>
      <c r="AJ71" s="187"/>
      <c r="AK71" s="187"/>
      <c r="AL71" s="187"/>
      <c r="AM71" s="187"/>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7"/>
      <c r="BQ71" s="187"/>
      <c r="BR71" s="187"/>
      <c r="BS71" s="187"/>
      <c r="BT71" s="187"/>
      <c r="BU71" s="187"/>
      <c r="BV71" s="187"/>
      <c r="BW71" s="187"/>
      <c r="BX71" s="187"/>
      <c r="BY71" s="187"/>
      <c r="BZ71" s="187"/>
      <c r="CA71" s="187"/>
      <c r="CB71" s="187"/>
      <c r="CC71" s="187"/>
      <c r="CD71" s="187"/>
      <c r="CE71" s="187"/>
      <c r="CF71" s="187"/>
      <c r="CG71" s="187"/>
      <c r="CH71" s="187"/>
      <c r="CI71" s="187"/>
      <c r="CJ71" s="187"/>
      <c r="CK71" s="187"/>
      <c r="CL71" s="187"/>
      <c r="CM71" s="187"/>
      <c r="CN71" s="187"/>
      <c r="CO71" s="187"/>
      <c r="CP71" s="187"/>
      <c r="CQ71" s="187"/>
      <c r="CR71" s="187"/>
      <c r="CS71" s="187"/>
      <c r="CT71" s="187"/>
      <c r="CU71" s="187"/>
      <c r="CV71" s="187"/>
      <c r="CW71" s="187"/>
      <c r="CX71" s="187"/>
      <c r="CY71" s="187"/>
      <c r="CZ71" s="187"/>
      <c r="DA71" s="187"/>
      <c r="DB71" s="187"/>
      <c r="DC71" s="187"/>
      <c r="DD71" s="187"/>
      <c r="DE71" s="187"/>
      <c r="DF71" s="187"/>
      <c r="DG71" s="187"/>
      <c r="DH71" s="187"/>
      <c r="DI71" s="187"/>
      <c r="DJ71" s="187"/>
      <c r="DK71" s="187"/>
      <c r="DL71" s="187"/>
      <c r="DM71" s="187"/>
      <c r="DN71" s="187"/>
      <c r="DO71" s="187"/>
      <c r="DP71" s="187"/>
      <c r="DQ71" s="187"/>
      <c r="DR71" s="187"/>
      <c r="DS71" s="187"/>
      <c r="DT71" s="187"/>
      <c r="DU71" s="187"/>
      <c r="DV71" s="187"/>
      <c r="DW71" s="187"/>
      <c r="DX71" s="187"/>
      <c r="DY71" s="187"/>
      <c r="DZ71" s="187"/>
      <c r="EA71" s="187"/>
      <c r="EB71" s="187"/>
      <c r="EC71" s="187"/>
      <c r="ED71" s="187"/>
      <c r="EE71" s="187"/>
      <c r="EF71" s="187"/>
      <c r="EG71" s="187"/>
      <c r="EH71" s="187"/>
      <c r="EI71" s="187"/>
      <c r="EJ71" s="187"/>
      <c r="EK71" s="187"/>
      <c r="EL71" s="187"/>
      <c r="EM71" s="187"/>
      <c r="EN71" s="187"/>
      <c r="EO71" s="187"/>
      <c r="EP71" s="187"/>
      <c r="EQ71" s="187"/>
      <c r="ER71" s="187"/>
      <c r="ES71" s="187"/>
      <c r="ET71" s="187"/>
      <c r="EU71" s="187"/>
      <c r="EV71" s="187"/>
      <c r="EW71" s="187"/>
      <c r="EX71" s="187"/>
      <c r="EY71" s="187"/>
      <c r="EZ71" s="187"/>
      <c r="FA71" s="187"/>
      <c r="FB71" s="187"/>
      <c r="FC71" s="187"/>
    </row>
    <row r="72" spans="1:159" ht="15" x14ac:dyDescent="0.25">
      <c r="A72" s="187" t="s">
        <v>200</v>
      </c>
      <c r="B72" s="187" t="s">
        <v>201</v>
      </c>
      <c r="C72" s="187">
        <v>194</v>
      </c>
      <c r="D72" s="187">
        <v>0</v>
      </c>
      <c r="E72" s="187">
        <v>17</v>
      </c>
      <c r="F72" s="187">
        <v>19</v>
      </c>
      <c r="G72" s="187">
        <v>0</v>
      </c>
      <c r="H72" s="187">
        <v>230</v>
      </c>
      <c r="I72" s="187">
        <v>230</v>
      </c>
      <c r="J72" s="187">
        <v>0</v>
      </c>
      <c r="K72" s="187">
        <v>134.80000000000001</v>
      </c>
      <c r="L72" s="187">
        <v>138</v>
      </c>
      <c r="M72" s="187">
        <v>14.67</v>
      </c>
      <c r="N72" s="187">
        <v>149.47</v>
      </c>
      <c r="O72" s="187">
        <v>160</v>
      </c>
      <c r="P72" s="187">
        <v>126.41</v>
      </c>
      <c r="Q72" s="187">
        <v>120.15</v>
      </c>
      <c r="R72" s="187">
        <v>201.79</v>
      </c>
      <c r="S72" s="187">
        <v>328.2</v>
      </c>
      <c r="T72" s="187">
        <v>36</v>
      </c>
      <c r="U72" s="187">
        <v>220.25</v>
      </c>
      <c r="V72" s="187">
        <v>34</v>
      </c>
      <c r="W72" s="187">
        <v>0</v>
      </c>
      <c r="X72" s="187">
        <v>0</v>
      </c>
      <c r="Y72" s="187">
        <v>0</v>
      </c>
      <c r="Z72" s="187">
        <v>0</v>
      </c>
      <c r="AA72" s="187">
        <v>0</v>
      </c>
      <c r="AB72" s="187">
        <v>0</v>
      </c>
      <c r="AC72" s="187">
        <v>0</v>
      </c>
      <c r="AD72" s="187">
        <v>194</v>
      </c>
      <c r="AE72" s="187">
        <v>0</v>
      </c>
      <c r="AF72" s="187">
        <v>1</v>
      </c>
      <c r="AG72" s="187">
        <v>1</v>
      </c>
      <c r="AH72" s="187"/>
      <c r="AI72" s="187"/>
      <c r="AJ72" s="187"/>
      <c r="AK72" s="187"/>
      <c r="AL72" s="187"/>
      <c r="AM72" s="187"/>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7"/>
      <c r="BR72" s="187"/>
      <c r="BS72" s="187"/>
      <c r="BT72" s="187"/>
      <c r="BU72" s="187"/>
      <c r="BV72" s="187"/>
      <c r="BW72" s="187"/>
      <c r="BX72" s="187"/>
      <c r="BY72" s="187"/>
      <c r="BZ72" s="187"/>
      <c r="CA72" s="187"/>
      <c r="CB72" s="187"/>
      <c r="CC72" s="187"/>
      <c r="CD72" s="187"/>
      <c r="CE72" s="187"/>
      <c r="CF72" s="187"/>
      <c r="CG72" s="187"/>
      <c r="CH72" s="187"/>
      <c r="CI72" s="187"/>
      <c r="CJ72" s="187"/>
      <c r="CK72" s="187"/>
      <c r="CL72" s="187"/>
      <c r="CM72" s="187"/>
      <c r="CN72" s="187"/>
      <c r="CO72" s="187"/>
      <c r="CP72" s="187"/>
      <c r="CQ72" s="187"/>
      <c r="CR72" s="187"/>
      <c r="CS72" s="187"/>
      <c r="CT72" s="187"/>
      <c r="CU72" s="187"/>
      <c r="CV72" s="187"/>
      <c r="CW72" s="187"/>
      <c r="CX72" s="187"/>
      <c r="CY72" s="187"/>
      <c r="CZ72" s="187"/>
      <c r="DA72" s="187"/>
      <c r="DB72" s="187"/>
      <c r="DC72" s="187"/>
      <c r="DD72" s="187"/>
      <c r="DE72" s="187"/>
      <c r="DF72" s="187"/>
      <c r="DG72" s="187"/>
      <c r="DH72" s="187"/>
      <c r="DI72" s="187"/>
      <c r="DJ72" s="187"/>
      <c r="DK72" s="187"/>
      <c r="DL72" s="187"/>
      <c r="DM72" s="187"/>
      <c r="DN72" s="187"/>
      <c r="DO72" s="187"/>
      <c r="DP72" s="187"/>
      <c r="DQ72" s="187"/>
      <c r="DR72" s="187"/>
      <c r="DS72" s="187"/>
      <c r="DT72" s="187"/>
      <c r="DU72" s="187"/>
      <c r="DV72" s="187"/>
      <c r="DW72" s="187"/>
      <c r="DX72" s="187"/>
      <c r="DY72" s="187"/>
      <c r="DZ72" s="187"/>
      <c r="EA72" s="187"/>
      <c r="EB72" s="187"/>
      <c r="EC72" s="187"/>
      <c r="ED72" s="187"/>
      <c r="EE72" s="187"/>
      <c r="EF72" s="187"/>
      <c r="EG72" s="187"/>
      <c r="EH72" s="187"/>
      <c r="EI72" s="187"/>
      <c r="EJ72" s="187"/>
      <c r="EK72" s="187"/>
      <c r="EL72" s="187"/>
      <c r="EM72" s="187"/>
      <c r="EN72" s="187"/>
      <c r="EO72" s="187"/>
      <c r="EP72" s="187"/>
      <c r="EQ72" s="187"/>
      <c r="ER72" s="187"/>
      <c r="ES72" s="187"/>
      <c r="ET72" s="187"/>
      <c r="EU72" s="187"/>
      <c r="EV72" s="187"/>
      <c r="EW72" s="187"/>
      <c r="EX72" s="187"/>
      <c r="EY72" s="187"/>
      <c r="EZ72" s="187"/>
      <c r="FA72" s="187"/>
      <c r="FB72" s="187"/>
      <c r="FC72" s="187"/>
    </row>
    <row r="73" spans="1:159" ht="15" x14ac:dyDescent="0.25">
      <c r="A73" s="187" t="s">
        <v>202</v>
      </c>
      <c r="B73" s="187" t="s">
        <v>203</v>
      </c>
      <c r="C73" s="187">
        <v>4404</v>
      </c>
      <c r="D73" s="187">
        <v>135</v>
      </c>
      <c r="E73" s="187">
        <v>595</v>
      </c>
      <c r="F73" s="187">
        <v>356</v>
      </c>
      <c r="G73" s="187">
        <v>381</v>
      </c>
      <c r="H73" s="187">
        <v>5871</v>
      </c>
      <c r="I73" s="187">
        <v>5490</v>
      </c>
      <c r="J73" s="187">
        <v>38</v>
      </c>
      <c r="K73" s="187">
        <v>110.29</v>
      </c>
      <c r="L73" s="187">
        <v>108.12</v>
      </c>
      <c r="M73" s="187">
        <v>6.17</v>
      </c>
      <c r="N73" s="187">
        <v>115.25</v>
      </c>
      <c r="O73" s="187">
        <v>2729</v>
      </c>
      <c r="P73" s="187">
        <v>105.88</v>
      </c>
      <c r="Q73" s="187">
        <v>88.85</v>
      </c>
      <c r="R73" s="187">
        <v>45.29</v>
      </c>
      <c r="S73" s="187">
        <v>145.69999999999999</v>
      </c>
      <c r="T73" s="187">
        <v>630</v>
      </c>
      <c r="U73" s="187">
        <v>150.35</v>
      </c>
      <c r="V73" s="187">
        <v>1294</v>
      </c>
      <c r="W73" s="187">
        <v>157.11000000000001</v>
      </c>
      <c r="X73" s="187">
        <v>34</v>
      </c>
      <c r="Y73" s="187">
        <v>0</v>
      </c>
      <c r="Z73" s="187">
        <v>2</v>
      </c>
      <c r="AA73" s="187">
        <v>1</v>
      </c>
      <c r="AB73" s="187">
        <v>22</v>
      </c>
      <c r="AC73" s="187">
        <v>6</v>
      </c>
      <c r="AD73" s="187">
        <v>4329</v>
      </c>
      <c r="AE73" s="187">
        <v>59</v>
      </c>
      <c r="AF73" s="187">
        <v>9</v>
      </c>
      <c r="AG73" s="187">
        <v>68</v>
      </c>
      <c r="AH73" s="187"/>
      <c r="AI73" s="187"/>
      <c r="AJ73" s="187"/>
      <c r="AK73" s="187"/>
      <c r="AL73" s="187"/>
      <c r="AM73" s="187"/>
      <c r="AN73" s="187"/>
      <c r="AO73" s="187"/>
      <c r="AP73" s="187"/>
      <c r="AQ73" s="187"/>
      <c r="AR73" s="187"/>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7"/>
      <c r="BQ73" s="187"/>
      <c r="BR73" s="187"/>
      <c r="BS73" s="187"/>
      <c r="BT73" s="187"/>
      <c r="BU73" s="187"/>
      <c r="BV73" s="187"/>
      <c r="BW73" s="187"/>
      <c r="BX73" s="187"/>
      <c r="BY73" s="187"/>
      <c r="BZ73" s="187"/>
      <c r="CA73" s="187"/>
      <c r="CB73" s="187"/>
      <c r="CC73" s="187"/>
      <c r="CD73" s="187"/>
      <c r="CE73" s="187"/>
      <c r="CF73" s="187"/>
      <c r="CG73" s="187"/>
      <c r="CH73" s="187"/>
      <c r="CI73" s="187"/>
      <c r="CJ73" s="187"/>
      <c r="CK73" s="187"/>
      <c r="CL73" s="187"/>
      <c r="CM73" s="187"/>
      <c r="CN73" s="187"/>
      <c r="CO73" s="187"/>
      <c r="CP73" s="187"/>
      <c r="CQ73" s="187"/>
      <c r="CR73" s="187"/>
      <c r="CS73" s="187"/>
      <c r="CT73" s="187"/>
      <c r="CU73" s="187"/>
      <c r="CV73" s="187"/>
      <c r="CW73" s="187"/>
      <c r="CX73" s="187"/>
      <c r="CY73" s="187"/>
      <c r="CZ73" s="187"/>
      <c r="DA73" s="187"/>
      <c r="DB73" s="187"/>
      <c r="DC73" s="187"/>
      <c r="DD73" s="187"/>
      <c r="DE73" s="187"/>
      <c r="DF73" s="187"/>
      <c r="DG73" s="187"/>
      <c r="DH73" s="187"/>
      <c r="DI73" s="187"/>
      <c r="DJ73" s="187"/>
      <c r="DK73" s="187"/>
      <c r="DL73" s="187"/>
      <c r="DM73" s="187"/>
      <c r="DN73" s="187"/>
      <c r="DO73" s="187"/>
      <c r="DP73" s="187"/>
      <c r="DQ73" s="187"/>
      <c r="DR73" s="187"/>
      <c r="DS73" s="187"/>
      <c r="DT73" s="187"/>
      <c r="DU73" s="187"/>
      <c r="DV73" s="187"/>
      <c r="DW73" s="187"/>
      <c r="DX73" s="187"/>
      <c r="DY73" s="187"/>
      <c r="DZ73" s="187"/>
      <c r="EA73" s="187"/>
      <c r="EB73" s="187"/>
      <c r="EC73" s="187"/>
      <c r="ED73" s="187"/>
      <c r="EE73" s="187"/>
      <c r="EF73" s="187"/>
      <c r="EG73" s="187"/>
      <c r="EH73" s="187"/>
      <c r="EI73" s="187"/>
      <c r="EJ73" s="187"/>
      <c r="EK73" s="187"/>
      <c r="EL73" s="187"/>
      <c r="EM73" s="187"/>
      <c r="EN73" s="187"/>
      <c r="EO73" s="187"/>
      <c r="EP73" s="187"/>
      <c r="EQ73" s="187"/>
      <c r="ER73" s="187"/>
      <c r="ES73" s="187"/>
      <c r="ET73" s="187"/>
      <c r="EU73" s="187"/>
      <c r="EV73" s="187"/>
      <c r="EW73" s="187"/>
      <c r="EX73" s="187"/>
      <c r="EY73" s="187"/>
      <c r="EZ73" s="187"/>
      <c r="FA73" s="187"/>
      <c r="FB73" s="187"/>
      <c r="FC73" s="187"/>
    </row>
    <row r="74" spans="1:159" ht="15" x14ac:dyDescent="0.25">
      <c r="A74" s="187" t="s">
        <v>204</v>
      </c>
      <c r="B74" s="187" t="s">
        <v>205</v>
      </c>
      <c r="C74" s="187">
        <v>5474</v>
      </c>
      <c r="D74" s="187">
        <v>0</v>
      </c>
      <c r="E74" s="187">
        <v>135</v>
      </c>
      <c r="F74" s="187">
        <v>309</v>
      </c>
      <c r="G74" s="187">
        <v>11</v>
      </c>
      <c r="H74" s="187">
        <v>5929</v>
      </c>
      <c r="I74" s="187">
        <v>5918</v>
      </c>
      <c r="J74" s="187">
        <v>13</v>
      </c>
      <c r="K74" s="187">
        <v>91.96</v>
      </c>
      <c r="L74" s="187">
        <v>88.44</v>
      </c>
      <c r="M74" s="187">
        <v>1.73</v>
      </c>
      <c r="N74" s="187">
        <v>93.55</v>
      </c>
      <c r="O74" s="187">
        <v>5137</v>
      </c>
      <c r="P74" s="187">
        <v>83.94</v>
      </c>
      <c r="Q74" s="187">
        <v>77.5</v>
      </c>
      <c r="R74" s="187">
        <v>54.16</v>
      </c>
      <c r="S74" s="187">
        <v>135.36000000000001</v>
      </c>
      <c r="T74" s="187">
        <v>434</v>
      </c>
      <c r="U74" s="187">
        <v>98.05</v>
      </c>
      <c r="V74" s="187">
        <v>304</v>
      </c>
      <c r="W74" s="187">
        <v>0</v>
      </c>
      <c r="X74" s="187">
        <v>0</v>
      </c>
      <c r="Y74" s="187">
        <v>0</v>
      </c>
      <c r="Z74" s="187">
        <v>32</v>
      </c>
      <c r="AA74" s="187">
        <v>5</v>
      </c>
      <c r="AB74" s="187">
        <v>0</v>
      </c>
      <c r="AC74" s="187">
        <v>0</v>
      </c>
      <c r="AD74" s="187">
        <v>5441</v>
      </c>
      <c r="AE74" s="187">
        <v>11</v>
      </c>
      <c r="AF74" s="187">
        <v>117</v>
      </c>
      <c r="AG74" s="187">
        <v>128</v>
      </c>
      <c r="AH74" s="187"/>
      <c r="AI74" s="187"/>
      <c r="AJ74" s="187"/>
      <c r="AK74" s="187"/>
      <c r="AL74" s="187"/>
      <c r="AM74" s="187"/>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7"/>
      <c r="BQ74" s="187"/>
      <c r="BR74" s="187"/>
      <c r="BS74" s="187"/>
      <c r="BT74" s="187"/>
      <c r="BU74" s="187"/>
      <c r="BV74" s="187"/>
      <c r="BW74" s="187"/>
      <c r="BX74" s="187"/>
      <c r="BY74" s="187"/>
      <c r="BZ74" s="187"/>
      <c r="CA74" s="187"/>
      <c r="CB74" s="187"/>
      <c r="CC74" s="187"/>
      <c r="CD74" s="187"/>
      <c r="CE74" s="187"/>
      <c r="CF74" s="187"/>
      <c r="CG74" s="187"/>
      <c r="CH74" s="187"/>
      <c r="CI74" s="187"/>
      <c r="CJ74" s="187"/>
      <c r="CK74" s="187"/>
      <c r="CL74" s="187"/>
      <c r="CM74" s="187"/>
      <c r="CN74" s="187"/>
      <c r="CO74" s="187"/>
      <c r="CP74" s="187"/>
      <c r="CQ74" s="187"/>
      <c r="CR74" s="187"/>
      <c r="CS74" s="187"/>
      <c r="CT74" s="187"/>
      <c r="CU74" s="187"/>
      <c r="CV74" s="187"/>
      <c r="CW74" s="187"/>
      <c r="CX74" s="187"/>
      <c r="CY74" s="187"/>
      <c r="CZ74" s="187"/>
      <c r="DA74" s="187"/>
      <c r="DB74" s="187"/>
      <c r="DC74" s="187"/>
      <c r="DD74" s="187"/>
      <c r="DE74" s="187"/>
      <c r="DF74" s="187"/>
      <c r="DG74" s="187"/>
      <c r="DH74" s="187"/>
      <c r="DI74" s="187"/>
      <c r="DJ74" s="187"/>
      <c r="DK74" s="187"/>
      <c r="DL74" s="187"/>
      <c r="DM74" s="187"/>
      <c r="DN74" s="187"/>
      <c r="DO74" s="187"/>
      <c r="DP74" s="187"/>
      <c r="DQ74" s="187"/>
      <c r="DR74" s="187"/>
      <c r="DS74" s="187"/>
      <c r="DT74" s="187"/>
      <c r="DU74" s="187"/>
      <c r="DV74" s="187"/>
      <c r="DW74" s="187"/>
      <c r="DX74" s="187"/>
      <c r="DY74" s="187"/>
      <c r="DZ74" s="187"/>
      <c r="EA74" s="187"/>
      <c r="EB74" s="187"/>
      <c r="EC74" s="187"/>
      <c r="ED74" s="187"/>
      <c r="EE74" s="187"/>
      <c r="EF74" s="187"/>
      <c r="EG74" s="187"/>
      <c r="EH74" s="187"/>
      <c r="EI74" s="187"/>
      <c r="EJ74" s="187"/>
      <c r="EK74" s="187"/>
      <c r="EL74" s="187"/>
      <c r="EM74" s="187"/>
      <c r="EN74" s="187"/>
      <c r="EO74" s="187"/>
      <c r="EP74" s="187"/>
      <c r="EQ74" s="187"/>
      <c r="ER74" s="187"/>
      <c r="ES74" s="187"/>
      <c r="ET74" s="187"/>
      <c r="EU74" s="187"/>
      <c r="EV74" s="187"/>
      <c r="EW74" s="187"/>
      <c r="EX74" s="187"/>
      <c r="EY74" s="187"/>
      <c r="EZ74" s="187"/>
      <c r="FA74" s="187"/>
      <c r="FB74" s="187"/>
      <c r="FC74" s="187"/>
    </row>
    <row r="75" spans="1:159" ht="15" x14ac:dyDescent="0.25">
      <c r="A75" s="187" t="s">
        <v>206</v>
      </c>
      <c r="B75" s="187" t="s">
        <v>207</v>
      </c>
      <c r="C75" s="187">
        <v>19574</v>
      </c>
      <c r="D75" s="187">
        <v>0</v>
      </c>
      <c r="E75" s="187">
        <v>921</v>
      </c>
      <c r="F75" s="187">
        <v>2476</v>
      </c>
      <c r="G75" s="187">
        <v>2404</v>
      </c>
      <c r="H75" s="187">
        <v>25375</v>
      </c>
      <c r="I75" s="187">
        <v>22971</v>
      </c>
      <c r="J75" s="187">
        <v>8</v>
      </c>
      <c r="K75" s="187">
        <v>88.15</v>
      </c>
      <c r="L75" s="187">
        <v>84.29</v>
      </c>
      <c r="M75" s="187">
        <v>4.08</v>
      </c>
      <c r="N75" s="187">
        <v>91.55</v>
      </c>
      <c r="O75" s="187">
        <v>13947</v>
      </c>
      <c r="P75" s="187">
        <v>88.66</v>
      </c>
      <c r="Q75" s="187">
        <v>74.56</v>
      </c>
      <c r="R75" s="187">
        <v>49.55</v>
      </c>
      <c r="S75" s="187">
        <v>136.71</v>
      </c>
      <c r="T75" s="187">
        <v>3055</v>
      </c>
      <c r="U75" s="187">
        <v>131.53</v>
      </c>
      <c r="V75" s="187">
        <v>4037</v>
      </c>
      <c r="W75" s="187">
        <v>126.71</v>
      </c>
      <c r="X75" s="187">
        <v>180</v>
      </c>
      <c r="Y75" s="187">
        <v>12</v>
      </c>
      <c r="Z75" s="187">
        <v>13</v>
      </c>
      <c r="AA75" s="187">
        <v>79</v>
      </c>
      <c r="AB75" s="187">
        <v>185</v>
      </c>
      <c r="AC75" s="187">
        <v>50</v>
      </c>
      <c r="AD75" s="187">
        <v>19174</v>
      </c>
      <c r="AE75" s="187">
        <v>119</v>
      </c>
      <c r="AF75" s="187">
        <v>119</v>
      </c>
      <c r="AG75" s="187">
        <v>238</v>
      </c>
      <c r="AH75" s="187"/>
      <c r="AI75" s="187"/>
      <c r="AJ75" s="187"/>
      <c r="AK75" s="187"/>
      <c r="AL75" s="187"/>
      <c r="AM75" s="187"/>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7"/>
      <c r="BQ75" s="187"/>
      <c r="BR75" s="187"/>
      <c r="BS75" s="187"/>
      <c r="BT75" s="187"/>
      <c r="BU75" s="187"/>
      <c r="BV75" s="187"/>
      <c r="BW75" s="187"/>
      <c r="BX75" s="187"/>
      <c r="BY75" s="187"/>
      <c r="BZ75" s="187"/>
      <c r="CA75" s="187"/>
      <c r="CB75" s="187"/>
      <c r="CC75" s="187"/>
      <c r="CD75" s="187"/>
      <c r="CE75" s="187"/>
      <c r="CF75" s="187"/>
      <c r="CG75" s="187"/>
      <c r="CH75" s="187"/>
      <c r="CI75" s="187"/>
      <c r="CJ75" s="187"/>
      <c r="CK75" s="187"/>
      <c r="CL75" s="187"/>
      <c r="CM75" s="187"/>
      <c r="CN75" s="187"/>
      <c r="CO75" s="187"/>
      <c r="CP75" s="187"/>
      <c r="CQ75" s="187"/>
      <c r="CR75" s="187"/>
      <c r="CS75" s="187"/>
      <c r="CT75" s="187"/>
      <c r="CU75" s="187"/>
      <c r="CV75" s="187"/>
      <c r="CW75" s="187"/>
      <c r="CX75" s="187"/>
      <c r="CY75" s="187"/>
      <c r="CZ75" s="187"/>
      <c r="DA75" s="187"/>
      <c r="DB75" s="187"/>
      <c r="DC75" s="187"/>
      <c r="DD75" s="187"/>
      <c r="DE75" s="187"/>
      <c r="DF75" s="187"/>
      <c r="DG75" s="187"/>
      <c r="DH75" s="187"/>
      <c r="DI75" s="187"/>
      <c r="DJ75" s="187"/>
      <c r="DK75" s="187"/>
      <c r="DL75" s="187"/>
      <c r="DM75" s="187"/>
      <c r="DN75" s="187"/>
      <c r="DO75" s="187"/>
      <c r="DP75" s="187"/>
      <c r="DQ75" s="187"/>
      <c r="DR75" s="187"/>
      <c r="DS75" s="187"/>
      <c r="DT75" s="187"/>
      <c r="DU75" s="187"/>
      <c r="DV75" s="187"/>
      <c r="DW75" s="187"/>
      <c r="DX75" s="187"/>
      <c r="DY75" s="187"/>
      <c r="DZ75" s="187"/>
      <c r="EA75" s="187"/>
      <c r="EB75" s="187"/>
      <c r="EC75" s="187"/>
      <c r="ED75" s="187"/>
      <c r="EE75" s="187"/>
      <c r="EF75" s="187"/>
      <c r="EG75" s="187"/>
      <c r="EH75" s="187"/>
      <c r="EI75" s="187"/>
      <c r="EJ75" s="187"/>
      <c r="EK75" s="187"/>
      <c r="EL75" s="187"/>
      <c r="EM75" s="187"/>
      <c r="EN75" s="187"/>
      <c r="EO75" s="187"/>
      <c r="EP75" s="187"/>
      <c r="EQ75" s="187"/>
      <c r="ER75" s="187"/>
      <c r="ES75" s="187"/>
      <c r="ET75" s="187"/>
      <c r="EU75" s="187"/>
      <c r="EV75" s="187"/>
      <c r="EW75" s="187"/>
      <c r="EX75" s="187"/>
      <c r="EY75" s="187"/>
      <c r="EZ75" s="187"/>
      <c r="FA75" s="187"/>
      <c r="FB75" s="187"/>
      <c r="FC75" s="187"/>
    </row>
    <row r="76" spans="1:159" ht="15" x14ac:dyDescent="0.25">
      <c r="A76" s="187" t="s">
        <v>208</v>
      </c>
      <c r="B76" s="187" t="s">
        <v>209</v>
      </c>
      <c r="C76" s="187">
        <v>5653</v>
      </c>
      <c r="D76" s="187">
        <v>0</v>
      </c>
      <c r="E76" s="187">
        <v>55</v>
      </c>
      <c r="F76" s="187">
        <v>529</v>
      </c>
      <c r="G76" s="187">
        <v>792</v>
      </c>
      <c r="H76" s="187">
        <v>7029</v>
      </c>
      <c r="I76" s="187">
        <v>6237</v>
      </c>
      <c r="J76" s="187">
        <v>8</v>
      </c>
      <c r="K76" s="187">
        <v>110.97</v>
      </c>
      <c r="L76" s="187">
        <v>106.29</v>
      </c>
      <c r="M76" s="187">
        <v>4.7</v>
      </c>
      <c r="N76" s="187">
        <v>113.09</v>
      </c>
      <c r="O76" s="187">
        <v>4461</v>
      </c>
      <c r="P76" s="187">
        <v>104.87</v>
      </c>
      <c r="Q76" s="187">
        <v>96.17</v>
      </c>
      <c r="R76" s="187">
        <v>28.37</v>
      </c>
      <c r="S76" s="187">
        <v>132.37</v>
      </c>
      <c r="T76" s="187">
        <v>584</v>
      </c>
      <c r="U76" s="187">
        <v>148.51</v>
      </c>
      <c r="V76" s="187">
        <v>970</v>
      </c>
      <c r="W76" s="187">
        <v>0</v>
      </c>
      <c r="X76" s="187">
        <v>0</v>
      </c>
      <c r="Y76" s="187">
        <v>0</v>
      </c>
      <c r="Z76" s="187">
        <v>0</v>
      </c>
      <c r="AA76" s="187">
        <v>2</v>
      </c>
      <c r="AB76" s="187">
        <v>2</v>
      </c>
      <c r="AC76" s="187">
        <v>18</v>
      </c>
      <c r="AD76" s="187">
        <v>5426</v>
      </c>
      <c r="AE76" s="187">
        <v>9</v>
      </c>
      <c r="AF76" s="187">
        <v>96</v>
      </c>
      <c r="AG76" s="187">
        <v>105</v>
      </c>
      <c r="AH76" s="187"/>
      <c r="AI76" s="187"/>
      <c r="AJ76" s="187"/>
      <c r="AK76" s="187"/>
      <c r="AL76" s="187"/>
      <c r="AM76" s="187"/>
      <c r="AN76" s="187"/>
      <c r="AO76" s="187"/>
      <c r="AP76" s="187"/>
      <c r="AQ76" s="187"/>
      <c r="AR76" s="187"/>
      <c r="AS76" s="187"/>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7"/>
      <c r="BQ76" s="187"/>
      <c r="BR76" s="187"/>
      <c r="BS76" s="187"/>
      <c r="BT76" s="187"/>
      <c r="BU76" s="187"/>
      <c r="BV76" s="187"/>
      <c r="BW76" s="187"/>
      <c r="BX76" s="187"/>
      <c r="BY76" s="187"/>
      <c r="BZ76" s="187"/>
      <c r="CA76" s="187"/>
      <c r="CB76" s="187"/>
      <c r="CC76" s="187"/>
      <c r="CD76" s="187"/>
      <c r="CE76" s="187"/>
      <c r="CF76" s="187"/>
      <c r="CG76" s="187"/>
      <c r="CH76" s="187"/>
      <c r="CI76" s="187"/>
      <c r="CJ76" s="187"/>
      <c r="CK76" s="187"/>
      <c r="CL76" s="187"/>
      <c r="CM76" s="187"/>
      <c r="CN76" s="187"/>
      <c r="CO76" s="187"/>
      <c r="CP76" s="187"/>
      <c r="CQ76" s="187"/>
      <c r="CR76" s="187"/>
      <c r="CS76" s="187"/>
      <c r="CT76" s="187"/>
      <c r="CU76" s="187"/>
      <c r="CV76" s="187"/>
      <c r="CW76" s="187"/>
      <c r="CX76" s="187"/>
      <c r="CY76" s="187"/>
      <c r="CZ76" s="187"/>
      <c r="DA76" s="187"/>
      <c r="DB76" s="187"/>
      <c r="DC76" s="187"/>
      <c r="DD76" s="187"/>
      <c r="DE76" s="187"/>
      <c r="DF76" s="187"/>
      <c r="DG76" s="187"/>
      <c r="DH76" s="187"/>
      <c r="DI76" s="187"/>
      <c r="DJ76" s="187"/>
      <c r="DK76" s="187"/>
      <c r="DL76" s="187"/>
      <c r="DM76" s="187"/>
      <c r="DN76" s="187"/>
      <c r="DO76" s="187"/>
      <c r="DP76" s="187"/>
      <c r="DQ76" s="187"/>
      <c r="DR76" s="187"/>
      <c r="DS76" s="187"/>
      <c r="DT76" s="187"/>
      <c r="DU76" s="187"/>
      <c r="DV76" s="187"/>
      <c r="DW76" s="187"/>
      <c r="DX76" s="187"/>
      <c r="DY76" s="187"/>
      <c r="DZ76" s="187"/>
      <c r="EA76" s="187"/>
      <c r="EB76" s="187"/>
      <c r="EC76" s="187"/>
      <c r="ED76" s="187"/>
      <c r="EE76" s="187"/>
      <c r="EF76" s="187"/>
      <c r="EG76" s="187"/>
      <c r="EH76" s="187"/>
      <c r="EI76" s="187"/>
      <c r="EJ76" s="187"/>
      <c r="EK76" s="187"/>
      <c r="EL76" s="187"/>
      <c r="EM76" s="187"/>
      <c r="EN76" s="187"/>
      <c r="EO76" s="187"/>
      <c r="EP76" s="187"/>
      <c r="EQ76" s="187"/>
      <c r="ER76" s="187"/>
      <c r="ES76" s="187"/>
      <c r="ET76" s="187"/>
      <c r="EU76" s="187"/>
      <c r="EV76" s="187"/>
      <c r="EW76" s="187"/>
      <c r="EX76" s="187"/>
      <c r="EY76" s="187"/>
      <c r="EZ76" s="187"/>
      <c r="FA76" s="187"/>
      <c r="FB76" s="187"/>
      <c r="FC76" s="187"/>
    </row>
    <row r="77" spans="1:159" ht="15" x14ac:dyDescent="0.25">
      <c r="A77" s="187" t="s">
        <v>210</v>
      </c>
      <c r="B77" s="187" t="s">
        <v>211</v>
      </c>
      <c r="C77" s="187">
        <v>45935</v>
      </c>
      <c r="D77" s="187">
        <v>0</v>
      </c>
      <c r="E77" s="187">
        <v>1224</v>
      </c>
      <c r="F77" s="187">
        <v>1587</v>
      </c>
      <c r="G77" s="187">
        <v>444</v>
      </c>
      <c r="H77" s="187">
        <v>49190</v>
      </c>
      <c r="I77" s="187">
        <v>48746</v>
      </c>
      <c r="J77" s="187">
        <v>120</v>
      </c>
      <c r="K77" s="187">
        <v>77.73</v>
      </c>
      <c r="L77" s="187">
        <v>77.900000000000006</v>
      </c>
      <c r="M77" s="187">
        <v>3.38</v>
      </c>
      <c r="N77" s="187">
        <v>78.290000000000006</v>
      </c>
      <c r="O77" s="187">
        <v>40745</v>
      </c>
      <c r="P77" s="187">
        <v>108.26</v>
      </c>
      <c r="Q77" s="187">
        <v>81.5</v>
      </c>
      <c r="R77" s="187">
        <v>61.24</v>
      </c>
      <c r="S77" s="187">
        <v>167.92</v>
      </c>
      <c r="T77" s="187">
        <v>2083</v>
      </c>
      <c r="U77" s="187">
        <v>99.24</v>
      </c>
      <c r="V77" s="187">
        <v>4555</v>
      </c>
      <c r="W77" s="187">
        <v>156.79</v>
      </c>
      <c r="X77" s="187">
        <v>199</v>
      </c>
      <c r="Y77" s="187">
        <v>1</v>
      </c>
      <c r="Z77" s="187">
        <v>205</v>
      </c>
      <c r="AA77" s="187">
        <v>23</v>
      </c>
      <c r="AB77" s="187">
        <v>39</v>
      </c>
      <c r="AC77" s="187">
        <v>12</v>
      </c>
      <c r="AD77" s="187">
        <v>45881</v>
      </c>
      <c r="AE77" s="187">
        <v>244</v>
      </c>
      <c r="AF77" s="187">
        <v>591</v>
      </c>
      <c r="AG77" s="187">
        <v>835</v>
      </c>
      <c r="AH77" s="187"/>
      <c r="AI77" s="187"/>
      <c r="AJ77" s="187"/>
      <c r="AK77" s="187"/>
      <c r="AL77" s="187"/>
      <c r="AM77" s="187"/>
      <c r="AN77" s="187"/>
      <c r="AO77" s="187"/>
      <c r="AP77" s="187"/>
      <c r="AQ77" s="187"/>
      <c r="AR77" s="187"/>
      <c r="AS77" s="187"/>
      <c r="AT77" s="187"/>
      <c r="AU77" s="187"/>
      <c r="AV77" s="187"/>
      <c r="AW77" s="187"/>
      <c r="AX77" s="187"/>
      <c r="AY77" s="187"/>
      <c r="AZ77" s="187"/>
      <c r="BA77" s="187"/>
      <c r="BB77" s="187"/>
      <c r="BC77" s="187"/>
      <c r="BD77" s="187"/>
      <c r="BE77" s="187"/>
      <c r="BF77" s="187"/>
      <c r="BG77" s="187"/>
      <c r="BH77" s="187"/>
      <c r="BI77" s="187"/>
      <c r="BJ77" s="187"/>
      <c r="BK77" s="187"/>
      <c r="BL77" s="187"/>
      <c r="BM77" s="187"/>
      <c r="BN77" s="187"/>
      <c r="BO77" s="187"/>
      <c r="BP77" s="187"/>
      <c r="BQ77" s="187"/>
      <c r="BR77" s="187"/>
      <c r="BS77" s="187"/>
      <c r="BT77" s="187"/>
      <c r="BU77" s="187"/>
      <c r="BV77" s="187"/>
      <c r="BW77" s="187"/>
      <c r="BX77" s="187"/>
      <c r="BY77" s="187"/>
      <c r="BZ77" s="187"/>
      <c r="CA77" s="187"/>
      <c r="CB77" s="187"/>
      <c r="CC77" s="187"/>
      <c r="CD77" s="187"/>
      <c r="CE77" s="187"/>
      <c r="CF77" s="187"/>
      <c r="CG77" s="187"/>
      <c r="CH77" s="187"/>
      <c r="CI77" s="187"/>
      <c r="CJ77" s="187"/>
      <c r="CK77" s="187"/>
      <c r="CL77" s="187"/>
      <c r="CM77" s="187"/>
      <c r="CN77" s="187"/>
      <c r="CO77" s="187"/>
      <c r="CP77" s="187"/>
      <c r="CQ77" s="187"/>
      <c r="CR77" s="187"/>
      <c r="CS77" s="187"/>
      <c r="CT77" s="187"/>
      <c r="CU77" s="187"/>
      <c r="CV77" s="187"/>
      <c r="CW77" s="187"/>
      <c r="CX77" s="187"/>
      <c r="CY77" s="187"/>
      <c r="CZ77" s="187"/>
      <c r="DA77" s="187"/>
      <c r="DB77" s="187"/>
      <c r="DC77" s="187"/>
      <c r="DD77" s="187"/>
      <c r="DE77" s="187"/>
      <c r="DF77" s="187"/>
      <c r="DG77" s="187"/>
      <c r="DH77" s="187"/>
      <c r="DI77" s="187"/>
      <c r="DJ77" s="187"/>
      <c r="DK77" s="187"/>
      <c r="DL77" s="187"/>
      <c r="DM77" s="187"/>
      <c r="DN77" s="187"/>
      <c r="DO77" s="187"/>
      <c r="DP77" s="187"/>
      <c r="DQ77" s="187"/>
      <c r="DR77" s="187"/>
      <c r="DS77" s="187"/>
      <c r="DT77" s="187"/>
      <c r="DU77" s="187"/>
      <c r="DV77" s="187"/>
      <c r="DW77" s="187"/>
      <c r="DX77" s="187"/>
      <c r="DY77" s="187"/>
      <c r="DZ77" s="187"/>
      <c r="EA77" s="187"/>
      <c r="EB77" s="187"/>
      <c r="EC77" s="187"/>
      <c r="ED77" s="187"/>
      <c r="EE77" s="187"/>
      <c r="EF77" s="187"/>
      <c r="EG77" s="187"/>
      <c r="EH77" s="187"/>
      <c r="EI77" s="187"/>
      <c r="EJ77" s="187"/>
      <c r="EK77" s="187"/>
      <c r="EL77" s="187"/>
      <c r="EM77" s="187"/>
      <c r="EN77" s="187"/>
      <c r="EO77" s="187"/>
      <c r="EP77" s="187"/>
      <c r="EQ77" s="187"/>
      <c r="ER77" s="187"/>
      <c r="ES77" s="187"/>
      <c r="ET77" s="187"/>
      <c r="EU77" s="187"/>
      <c r="EV77" s="187"/>
      <c r="EW77" s="187"/>
      <c r="EX77" s="187"/>
      <c r="EY77" s="187"/>
      <c r="EZ77" s="187"/>
      <c r="FA77" s="187"/>
      <c r="FB77" s="187"/>
      <c r="FC77" s="187"/>
    </row>
    <row r="78" spans="1:159" ht="15" x14ac:dyDescent="0.25">
      <c r="A78" s="187" t="s">
        <v>212</v>
      </c>
      <c r="B78" s="187" t="s">
        <v>213</v>
      </c>
      <c r="C78" s="187">
        <v>22341</v>
      </c>
      <c r="D78" s="187">
        <v>0</v>
      </c>
      <c r="E78" s="187">
        <v>917</v>
      </c>
      <c r="F78" s="187">
        <v>1716</v>
      </c>
      <c r="G78" s="187">
        <v>634</v>
      </c>
      <c r="H78" s="187">
        <v>25608</v>
      </c>
      <c r="I78" s="187">
        <v>24974</v>
      </c>
      <c r="J78" s="187">
        <v>53</v>
      </c>
      <c r="K78" s="187">
        <v>91.01</v>
      </c>
      <c r="L78" s="187">
        <v>90.55</v>
      </c>
      <c r="M78" s="187">
        <v>6.13</v>
      </c>
      <c r="N78" s="187">
        <v>96.68</v>
      </c>
      <c r="O78" s="187">
        <v>19648</v>
      </c>
      <c r="P78" s="187">
        <v>98.15</v>
      </c>
      <c r="Q78" s="187">
        <v>89.15</v>
      </c>
      <c r="R78" s="187">
        <v>62.29</v>
      </c>
      <c r="S78" s="187">
        <v>159.18</v>
      </c>
      <c r="T78" s="187">
        <v>2077</v>
      </c>
      <c r="U78" s="187">
        <v>122.92</v>
      </c>
      <c r="V78" s="187">
        <v>2388</v>
      </c>
      <c r="W78" s="187">
        <v>119.73</v>
      </c>
      <c r="X78" s="187">
        <v>5</v>
      </c>
      <c r="Y78" s="187">
        <v>0</v>
      </c>
      <c r="Z78" s="187">
        <v>64</v>
      </c>
      <c r="AA78" s="187">
        <v>22</v>
      </c>
      <c r="AB78" s="187">
        <v>19</v>
      </c>
      <c r="AC78" s="187">
        <v>21</v>
      </c>
      <c r="AD78" s="187">
        <v>22208</v>
      </c>
      <c r="AE78" s="187">
        <v>89</v>
      </c>
      <c r="AF78" s="187">
        <v>482</v>
      </c>
      <c r="AG78" s="187">
        <v>571</v>
      </c>
      <c r="AH78" s="187"/>
      <c r="AI78" s="187"/>
      <c r="AJ78" s="187"/>
      <c r="AK78" s="187"/>
      <c r="AL78" s="187"/>
      <c r="AM78" s="187"/>
      <c r="AN78" s="187"/>
      <c r="AO78" s="187"/>
      <c r="AP78" s="187"/>
      <c r="AQ78" s="187"/>
      <c r="AR78" s="187"/>
      <c r="AS78" s="187"/>
      <c r="AT78" s="187"/>
      <c r="AU78" s="187"/>
      <c r="AV78" s="187"/>
      <c r="AW78" s="187"/>
      <c r="AX78" s="187"/>
      <c r="AY78" s="187"/>
      <c r="AZ78" s="187"/>
      <c r="BA78" s="187"/>
      <c r="BB78" s="187"/>
      <c r="BC78" s="187"/>
      <c r="BD78" s="187"/>
      <c r="BE78" s="187"/>
      <c r="BF78" s="187"/>
      <c r="BG78" s="187"/>
      <c r="BH78" s="187"/>
      <c r="BI78" s="187"/>
      <c r="BJ78" s="187"/>
      <c r="BK78" s="187"/>
      <c r="BL78" s="187"/>
      <c r="BM78" s="187"/>
      <c r="BN78" s="187"/>
      <c r="BO78" s="187"/>
      <c r="BP78" s="187"/>
      <c r="BQ78" s="187"/>
      <c r="BR78" s="187"/>
      <c r="BS78" s="187"/>
      <c r="BT78" s="187"/>
      <c r="BU78" s="187"/>
      <c r="BV78" s="187"/>
      <c r="BW78" s="187"/>
      <c r="BX78" s="187"/>
      <c r="BY78" s="187"/>
      <c r="BZ78" s="187"/>
      <c r="CA78" s="187"/>
      <c r="CB78" s="187"/>
      <c r="CC78" s="187"/>
      <c r="CD78" s="187"/>
      <c r="CE78" s="187"/>
      <c r="CF78" s="187"/>
      <c r="CG78" s="187"/>
      <c r="CH78" s="187"/>
      <c r="CI78" s="187"/>
      <c r="CJ78" s="187"/>
      <c r="CK78" s="187"/>
      <c r="CL78" s="187"/>
      <c r="CM78" s="187"/>
      <c r="CN78" s="187"/>
      <c r="CO78" s="187"/>
      <c r="CP78" s="187"/>
      <c r="CQ78" s="187"/>
      <c r="CR78" s="187"/>
      <c r="CS78" s="187"/>
      <c r="CT78" s="187"/>
      <c r="CU78" s="187"/>
      <c r="CV78" s="187"/>
      <c r="CW78" s="187"/>
      <c r="CX78" s="187"/>
      <c r="CY78" s="187"/>
      <c r="CZ78" s="187"/>
      <c r="DA78" s="187"/>
      <c r="DB78" s="187"/>
      <c r="DC78" s="187"/>
      <c r="DD78" s="187"/>
      <c r="DE78" s="187"/>
      <c r="DF78" s="187"/>
      <c r="DG78" s="187"/>
      <c r="DH78" s="187"/>
      <c r="DI78" s="187"/>
      <c r="DJ78" s="187"/>
      <c r="DK78" s="187"/>
      <c r="DL78" s="187"/>
      <c r="DM78" s="187"/>
      <c r="DN78" s="187"/>
      <c r="DO78" s="187"/>
      <c r="DP78" s="187"/>
      <c r="DQ78" s="187"/>
      <c r="DR78" s="187"/>
      <c r="DS78" s="187"/>
      <c r="DT78" s="187"/>
      <c r="DU78" s="187"/>
      <c r="DV78" s="187"/>
      <c r="DW78" s="187"/>
      <c r="DX78" s="187"/>
      <c r="DY78" s="187"/>
      <c r="DZ78" s="187"/>
      <c r="EA78" s="187"/>
      <c r="EB78" s="187"/>
      <c r="EC78" s="187"/>
      <c r="ED78" s="187"/>
      <c r="EE78" s="187"/>
      <c r="EF78" s="187"/>
      <c r="EG78" s="187"/>
      <c r="EH78" s="187"/>
      <c r="EI78" s="187"/>
      <c r="EJ78" s="187"/>
      <c r="EK78" s="187"/>
      <c r="EL78" s="187"/>
      <c r="EM78" s="187"/>
      <c r="EN78" s="187"/>
      <c r="EO78" s="187"/>
      <c r="EP78" s="187"/>
      <c r="EQ78" s="187"/>
      <c r="ER78" s="187"/>
      <c r="ES78" s="187"/>
      <c r="ET78" s="187"/>
      <c r="EU78" s="187"/>
      <c r="EV78" s="187"/>
      <c r="EW78" s="187"/>
      <c r="EX78" s="187"/>
      <c r="EY78" s="187"/>
      <c r="EZ78" s="187"/>
      <c r="FA78" s="187"/>
      <c r="FB78" s="187"/>
      <c r="FC78" s="187"/>
    </row>
    <row r="79" spans="1:159" ht="15" x14ac:dyDescent="0.25">
      <c r="A79" s="187" t="s">
        <v>214</v>
      </c>
      <c r="B79" s="187" t="s">
        <v>215</v>
      </c>
      <c r="C79" s="187">
        <v>2288</v>
      </c>
      <c r="D79" s="187">
        <v>0</v>
      </c>
      <c r="E79" s="187">
        <v>69</v>
      </c>
      <c r="F79" s="187">
        <v>278</v>
      </c>
      <c r="G79" s="187">
        <v>211</v>
      </c>
      <c r="H79" s="187">
        <v>2846</v>
      </c>
      <c r="I79" s="187">
        <v>2635</v>
      </c>
      <c r="J79" s="187">
        <v>1</v>
      </c>
      <c r="K79" s="187">
        <v>91.47</v>
      </c>
      <c r="L79" s="187">
        <v>94.05</v>
      </c>
      <c r="M79" s="187">
        <v>6.44</v>
      </c>
      <c r="N79" s="187">
        <v>95.56</v>
      </c>
      <c r="O79" s="187">
        <v>1527</v>
      </c>
      <c r="P79" s="187">
        <v>94.62</v>
      </c>
      <c r="Q79" s="187">
        <v>86.61</v>
      </c>
      <c r="R79" s="187">
        <v>55.23</v>
      </c>
      <c r="S79" s="187">
        <v>148.81</v>
      </c>
      <c r="T79" s="187">
        <v>321</v>
      </c>
      <c r="U79" s="187">
        <v>102.03</v>
      </c>
      <c r="V79" s="187">
        <v>716</v>
      </c>
      <c r="W79" s="187">
        <v>0</v>
      </c>
      <c r="X79" s="187">
        <v>0</v>
      </c>
      <c r="Y79" s="187">
        <v>0</v>
      </c>
      <c r="Z79" s="187">
        <v>2</v>
      </c>
      <c r="AA79" s="187">
        <v>1</v>
      </c>
      <c r="AB79" s="187">
        <v>9</v>
      </c>
      <c r="AC79" s="187">
        <v>3</v>
      </c>
      <c r="AD79" s="187">
        <v>2257</v>
      </c>
      <c r="AE79" s="187">
        <v>16</v>
      </c>
      <c r="AF79" s="187">
        <v>9</v>
      </c>
      <c r="AG79" s="187">
        <v>25</v>
      </c>
      <c r="AH79" s="187"/>
      <c r="AI79" s="187"/>
      <c r="AJ79" s="187"/>
      <c r="AK79" s="187"/>
      <c r="AL79" s="187"/>
      <c r="AM79" s="187"/>
      <c r="AN79" s="187"/>
      <c r="AO79" s="187"/>
      <c r="AP79" s="187"/>
      <c r="AQ79" s="187"/>
      <c r="AR79" s="187"/>
      <c r="AS79" s="187"/>
      <c r="AT79" s="187"/>
      <c r="AU79" s="187"/>
      <c r="AV79" s="187"/>
      <c r="AW79" s="187"/>
      <c r="AX79" s="187"/>
      <c r="AY79" s="187"/>
      <c r="AZ79" s="187"/>
      <c r="BA79" s="187"/>
      <c r="BB79" s="187"/>
      <c r="BC79" s="187"/>
      <c r="BD79" s="187"/>
      <c r="BE79" s="187"/>
      <c r="BF79" s="187"/>
      <c r="BG79" s="187"/>
      <c r="BH79" s="187"/>
      <c r="BI79" s="187"/>
      <c r="BJ79" s="187"/>
      <c r="BK79" s="187"/>
      <c r="BL79" s="187"/>
      <c r="BM79" s="187"/>
      <c r="BN79" s="187"/>
      <c r="BO79" s="187"/>
      <c r="BP79" s="187"/>
      <c r="BQ79" s="187"/>
      <c r="BR79" s="187"/>
      <c r="BS79" s="187"/>
      <c r="BT79" s="187"/>
      <c r="BU79" s="187"/>
      <c r="BV79" s="187"/>
      <c r="BW79" s="187"/>
      <c r="BX79" s="187"/>
      <c r="BY79" s="187"/>
      <c r="BZ79" s="187"/>
      <c r="CA79" s="187"/>
      <c r="CB79" s="187"/>
      <c r="CC79" s="187"/>
      <c r="CD79" s="187"/>
      <c r="CE79" s="187"/>
      <c r="CF79" s="187"/>
      <c r="CG79" s="187"/>
      <c r="CH79" s="187"/>
      <c r="CI79" s="187"/>
      <c r="CJ79" s="187"/>
      <c r="CK79" s="187"/>
      <c r="CL79" s="187"/>
      <c r="CM79" s="187"/>
      <c r="CN79" s="187"/>
      <c r="CO79" s="187"/>
      <c r="CP79" s="187"/>
      <c r="CQ79" s="187"/>
      <c r="CR79" s="187"/>
      <c r="CS79" s="187"/>
      <c r="CT79" s="187"/>
      <c r="CU79" s="187"/>
      <c r="CV79" s="187"/>
      <c r="CW79" s="187"/>
      <c r="CX79" s="187"/>
      <c r="CY79" s="187"/>
      <c r="CZ79" s="187"/>
      <c r="DA79" s="187"/>
      <c r="DB79" s="187"/>
      <c r="DC79" s="187"/>
      <c r="DD79" s="187"/>
      <c r="DE79" s="187"/>
      <c r="DF79" s="187"/>
      <c r="DG79" s="187"/>
      <c r="DH79" s="187"/>
      <c r="DI79" s="187"/>
      <c r="DJ79" s="187"/>
      <c r="DK79" s="187"/>
      <c r="DL79" s="187"/>
      <c r="DM79" s="187"/>
      <c r="DN79" s="187"/>
      <c r="DO79" s="187"/>
      <c r="DP79" s="187"/>
      <c r="DQ79" s="187"/>
      <c r="DR79" s="187"/>
      <c r="DS79" s="187"/>
      <c r="DT79" s="187"/>
      <c r="DU79" s="187"/>
      <c r="DV79" s="187"/>
      <c r="DW79" s="187"/>
      <c r="DX79" s="187"/>
      <c r="DY79" s="187"/>
      <c r="DZ79" s="187"/>
      <c r="EA79" s="187"/>
      <c r="EB79" s="187"/>
      <c r="EC79" s="187"/>
      <c r="ED79" s="187"/>
      <c r="EE79" s="187"/>
      <c r="EF79" s="187"/>
      <c r="EG79" s="187"/>
      <c r="EH79" s="187"/>
      <c r="EI79" s="187"/>
      <c r="EJ79" s="187"/>
      <c r="EK79" s="187"/>
      <c r="EL79" s="187"/>
      <c r="EM79" s="187"/>
      <c r="EN79" s="187"/>
      <c r="EO79" s="187"/>
      <c r="EP79" s="187"/>
      <c r="EQ79" s="187"/>
      <c r="ER79" s="187"/>
      <c r="ES79" s="187"/>
      <c r="ET79" s="187"/>
      <c r="EU79" s="187"/>
      <c r="EV79" s="187"/>
      <c r="EW79" s="187"/>
      <c r="EX79" s="187"/>
      <c r="EY79" s="187"/>
      <c r="EZ79" s="187"/>
      <c r="FA79" s="187"/>
      <c r="FB79" s="187"/>
      <c r="FC79" s="187"/>
    </row>
    <row r="80" spans="1:159" ht="15" x14ac:dyDescent="0.25">
      <c r="A80" s="187" t="s">
        <v>216</v>
      </c>
      <c r="B80" s="187" t="s">
        <v>217</v>
      </c>
      <c r="C80" s="187">
        <v>2214</v>
      </c>
      <c r="D80" s="187">
        <v>0</v>
      </c>
      <c r="E80" s="187">
        <v>153</v>
      </c>
      <c r="F80" s="187">
        <v>286</v>
      </c>
      <c r="G80" s="187">
        <v>433</v>
      </c>
      <c r="H80" s="187">
        <v>3086</v>
      </c>
      <c r="I80" s="187">
        <v>2653</v>
      </c>
      <c r="J80" s="187">
        <v>15</v>
      </c>
      <c r="K80" s="187">
        <v>118.62</v>
      </c>
      <c r="L80" s="187">
        <v>111.72</v>
      </c>
      <c r="M80" s="187">
        <v>11.18</v>
      </c>
      <c r="N80" s="187">
        <v>128.83000000000001</v>
      </c>
      <c r="O80" s="187">
        <v>1610</v>
      </c>
      <c r="P80" s="187">
        <v>128.35</v>
      </c>
      <c r="Q80" s="187">
        <v>106.71</v>
      </c>
      <c r="R80" s="187">
        <v>44.28</v>
      </c>
      <c r="S80" s="187">
        <v>172.47</v>
      </c>
      <c r="T80" s="187">
        <v>271</v>
      </c>
      <c r="U80" s="187">
        <v>177.57</v>
      </c>
      <c r="V80" s="187">
        <v>502</v>
      </c>
      <c r="W80" s="187">
        <v>0</v>
      </c>
      <c r="X80" s="187">
        <v>0</v>
      </c>
      <c r="Y80" s="187">
        <v>0</v>
      </c>
      <c r="Z80" s="187">
        <v>0</v>
      </c>
      <c r="AA80" s="187">
        <v>0</v>
      </c>
      <c r="AB80" s="187">
        <v>1</v>
      </c>
      <c r="AC80" s="187">
        <v>5</v>
      </c>
      <c r="AD80" s="187">
        <v>2185</v>
      </c>
      <c r="AE80" s="187">
        <v>24</v>
      </c>
      <c r="AF80" s="187">
        <v>5</v>
      </c>
      <c r="AG80" s="187">
        <v>29</v>
      </c>
      <c r="AH80" s="187"/>
      <c r="AI80" s="187"/>
      <c r="AJ80" s="187"/>
      <c r="AK80" s="187"/>
      <c r="AL80" s="187"/>
      <c r="AM80" s="187"/>
      <c r="AN80" s="187"/>
      <c r="AO80" s="187"/>
      <c r="AP80" s="187"/>
      <c r="AQ80" s="187"/>
      <c r="AR80" s="187"/>
      <c r="AS80" s="187"/>
      <c r="AT80" s="187"/>
      <c r="AU80" s="187"/>
      <c r="AV80" s="187"/>
      <c r="AW80" s="187"/>
      <c r="AX80" s="187"/>
      <c r="AY80" s="187"/>
      <c r="AZ80" s="187"/>
      <c r="BA80" s="187"/>
      <c r="BB80" s="187"/>
      <c r="BC80" s="187"/>
      <c r="BD80" s="187"/>
      <c r="BE80" s="187"/>
      <c r="BF80" s="187"/>
      <c r="BG80" s="187"/>
      <c r="BH80" s="187"/>
      <c r="BI80" s="187"/>
      <c r="BJ80" s="187"/>
      <c r="BK80" s="187"/>
      <c r="BL80" s="187"/>
      <c r="BM80" s="187"/>
      <c r="BN80" s="187"/>
      <c r="BO80" s="187"/>
      <c r="BP80" s="187"/>
      <c r="BQ80" s="187"/>
      <c r="BR80" s="187"/>
      <c r="BS80" s="187"/>
      <c r="BT80" s="187"/>
      <c r="BU80" s="187"/>
      <c r="BV80" s="187"/>
      <c r="BW80" s="187"/>
      <c r="BX80" s="187"/>
      <c r="BY80" s="187"/>
      <c r="BZ80" s="187"/>
      <c r="CA80" s="187"/>
      <c r="CB80" s="187"/>
      <c r="CC80" s="187"/>
      <c r="CD80" s="187"/>
      <c r="CE80" s="187"/>
      <c r="CF80" s="187"/>
      <c r="CG80" s="187"/>
      <c r="CH80" s="187"/>
      <c r="CI80" s="187"/>
      <c r="CJ80" s="187"/>
      <c r="CK80" s="187"/>
      <c r="CL80" s="187"/>
      <c r="CM80" s="187"/>
      <c r="CN80" s="187"/>
      <c r="CO80" s="187"/>
      <c r="CP80" s="187"/>
      <c r="CQ80" s="187"/>
      <c r="CR80" s="187"/>
      <c r="CS80" s="187"/>
      <c r="CT80" s="187"/>
      <c r="CU80" s="187"/>
      <c r="CV80" s="187"/>
      <c r="CW80" s="187"/>
      <c r="CX80" s="187"/>
      <c r="CY80" s="187"/>
      <c r="CZ80" s="187"/>
      <c r="DA80" s="187"/>
      <c r="DB80" s="187"/>
      <c r="DC80" s="187"/>
      <c r="DD80" s="187"/>
      <c r="DE80" s="187"/>
      <c r="DF80" s="187"/>
      <c r="DG80" s="187"/>
      <c r="DH80" s="187"/>
      <c r="DI80" s="187"/>
      <c r="DJ80" s="187"/>
      <c r="DK80" s="187"/>
      <c r="DL80" s="187"/>
      <c r="DM80" s="187"/>
      <c r="DN80" s="187"/>
      <c r="DO80" s="187"/>
      <c r="DP80" s="187"/>
      <c r="DQ80" s="187"/>
      <c r="DR80" s="187"/>
      <c r="DS80" s="187"/>
      <c r="DT80" s="187"/>
      <c r="DU80" s="187"/>
      <c r="DV80" s="187"/>
      <c r="DW80" s="187"/>
      <c r="DX80" s="187"/>
      <c r="DY80" s="187"/>
      <c r="DZ80" s="187"/>
      <c r="EA80" s="187"/>
      <c r="EB80" s="187"/>
      <c r="EC80" s="187"/>
      <c r="ED80" s="187"/>
      <c r="EE80" s="187"/>
      <c r="EF80" s="187"/>
      <c r="EG80" s="187"/>
      <c r="EH80" s="187"/>
      <c r="EI80" s="187"/>
      <c r="EJ80" s="187"/>
      <c r="EK80" s="187"/>
      <c r="EL80" s="187"/>
      <c r="EM80" s="187"/>
      <c r="EN80" s="187"/>
      <c r="EO80" s="187"/>
      <c r="EP80" s="187"/>
      <c r="EQ80" s="187"/>
      <c r="ER80" s="187"/>
      <c r="ES80" s="187"/>
      <c r="ET80" s="187"/>
      <c r="EU80" s="187"/>
      <c r="EV80" s="187"/>
      <c r="EW80" s="187"/>
      <c r="EX80" s="187"/>
      <c r="EY80" s="187"/>
      <c r="EZ80" s="187"/>
      <c r="FA80" s="187"/>
      <c r="FB80" s="187"/>
      <c r="FC80" s="187"/>
    </row>
    <row r="81" spans="1:159" ht="15" x14ac:dyDescent="0.25">
      <c r="A81" s="187" t="s">
        <v>218</v>
      </c>
      <c r="B81" s="187" t="s">
        <v>219</v>
      </c>
      <c r="C81" s="187">
        <v>11884</v>
      </c>
      <c r="D81" s="187">
        <v>65</v>
      </c>
      <c r="E81" s="187">
        <v>838</v>
      </c>
      <c r="F81" s="187">
        <v>1039</v>
      </c>
      <c r="G81" s="187">
        <v>2572</v>
      </c>
      <c r="H81" s="187">
        <v>16398</v>
      </c>
      <c r="I81" s="187">
        <v>13826</v>
      </c>
      <c r="J81" s="187">
        <v>92</v>
      </c>
      <c r="K81" s="187">
        <v>131.04</v>
      </c>
      <c r="L81" s="187">
        <v>129.75</v>
      </c>
      <c r="M81" s="187">
        <v>11.27</v>
      </c>
      <c r="N81" s="187">
        <v>139.12</v>
      </c>
      <c r="O81" s="187">
        <v>8741</v>
      </c>
      <c r="P81" s="187">
        <v>109.53</v>
      </c>
      <c r="Q81" s="187">
        <v>101.4</v>
      </c>
      <c r="R81" s="187">
        <v>68.430000000000007</v>
      </c>
      <c r="S81" s="187">
        <v>173.84</v>
      </c>
      <c r="T81" s="187">
        <v>1112</v>
      </c>
      <c r="U81" s="187">
        <v>200.97</v>
      </c>
      <c r="V81" s="187">
        <v>2330</v>
      </c>
      <c r="W81" s="187">
        <v>155.19</v>
      </c>
      <c r="X81" s="187">
        <v>39</v>
      </c>
      <c r="Y81" s="187">
        <v>11</v>
      </c>
      <c r="Z81" s="187">
        <v>5</v>
      </c>
      <c r="AA81" s="187">
        <v>27</v>
      </c>
      <c r="AB81" s="187">
        <v>107</v>
      </c>
      <c r="AC81" s="187">
        <v>44</v>
      </c>
      <c r="AD81" s="187">
        <v>11548</v>
      </c>
      <c r="AE81" s="187">
        <v>170</v>
      </c>
      <c r="AF81" s="187">
        <v>44</v>
      </c>
      <c r="AG81" s="187">
        <v>214</v>
      </c>
      <c r="AH81" s="187"/>
      <c r="AI81" s="187"/>
      <c r="AJ81" s="187"/>
      <c r="AK81" s="187"/>
      <c r="AL81" s="187"/>
      <c r="AM81" s="187"/>
      <c r="AN81" s="187"/>
      <c r="AO81" s="187"/>
      <c r="AP81" s="187"/>
      <c r="AQ81" s="187"/>
      <c r="AR81" s="187"/>
      <c r="AS81" s="187"/>
      <c r="AT81" s="187"/>
      <c r="AU81" s="187"/>
      <c r="AV81" s="187"/>
      <c r="AW81" s="187"/>
      <c r="AX81" s="187"/>
      <c r="AY81" s="187"/>
      <c r="AZ81" s="187"/>
      <c r="BA81" s="187"/>
      <c r="BB81" s="187"/>
      <c r="BC81" s="187"/>
      <c r="BD81" s="187"/>
      <c r="BE81" s="187"/>
      <c r="BF81" s="187"/>
      <c r="BG81" s="187"/>
      <c r="BH81" s="187"/>
      <c r="BI81" s="187"/>
      <c r="BJ81" s="187"/>
      <c r="BK81" s="187"/>
      <c r="BL81" s="187"/>
      <c r="BM81" s="187"/>
      <c r="BN81" s="187"/>
      <c r="BO81" s="187"/>
      <c r="BP81" s="187"/>
      <c r="BQ81" s="187"/>
      <c r="BR81" s="187"/>
      <c r="BS81" s="187"/>
      <c r="BT81" s="187"/>
      <c r="BU81" s="187"/>
      <c r="BV81" s="187"/>
      <c r="BW81" s="187"/>
      <c r="BX81" s="187"/>
      <c r="BY81" s="187"/>
      <c r="BZ81" s="187"/>
      <c r="CA81" s="187"/>
      <c r="CB81" s="187"/>
      <c r="CC81" s="187"/>
      <c r="CD81" s="187"/>
      <c r="CE81" s="187"/>
      <c r="CF81" s="187"/>
      <c r="CG81" s="187"/>
      <c r="CH81" s="187"/>
      <c r="CI81" s="187"/>
      <c r="CJ81" s="187"/>
      <c r="CK81" s="187"/>
      <c r="CL81" s="187"/>
      <c r="CM81" s="187"/>
      <c r="CN81" s="187"/>
      <c r="CO81" s="187"/>
      <c r="CP81" s="187"/>
      <c r="CQ81" s="187"/>
      <c r="CR81" s="187"/>
      <c r="CS81" s="187"/>
      <c r="CT81" s="187"/>
      <c r="CU81" s="187"/>
      <c r="CV81" s="187"/>
      <c r="CW81" s="187"/>
      <c r="CX81" s="187"/>
      <c r="CY81" s="187"/>
      <c r="CZ81" s="187"/>
      <c r="DA81" s="187"/>
      <c r="DB81" s="187"/>
      <c r="DC81" s="187"/>
      <c r="DD81" s="187"/>
      <c r="DE81" s="187"/>
      <c r="DF81" s="187"/>
      <c r="DG81" s="187"/>
      <c r="DH81" s="187"/>
      <c r="DI81" s="187"/>
      <c r="DJ81" s="187"/>
      <c r="DK81" s="187"/>
      <c r="DL81" s="187"/>
      <c r="DM81" s="187"/>
      <c r="DN81" s="187"/>
      <c r="DO81" s="187"/>
      <c r="DP81" s="187"/>
      <c r="DQ81" s="187"/>
      <c r="DR81" s="187"/>
      <c r="DS81" s="187"/>
      <c r="DT81" s="187"/>
      <c r="DU81" s="187"/>
      <c r="DV81" s="187"/>
      <c r="DW81" s="187"/>
      <c r="DX81" s="187"/>
      <c r="DY81" s="187"/>
      <c r="DZ81" s="187"/>
      <c r="EA81" s="187"/>
      <c r="EB81" s="187"/>
      <c r="EC81" s="187"/>
      <c r="ED81" s="187"/>
      <c r="EE81" s="187"/>
      <c r="EF81" s="187"/>
      <c r="EG81" s="187"/>
      <c r="EH81" s="187"/>
      <c r="EI81" s="187"/>
      <c r="EJ81" s="187"/>
      <c r="EK81" s="187"/>
      <c r="EL81" s="187"/>
      <c r="EM81" s="187"/>
      <c r="EN81" s="187"/>
      <c r="EO81" s="187"/>
      <c r="EP81" s="187"/>
      <c r="EQ81" s="187"/>
      <c r="ER81" s="187"/>
      <c r="ES81" s="187"/>
      <c r="ET81" s="187"/>
      <c r="EU81" s="187"/>
      <c r="EV81" s="187"/>
      <c r="EW81" s="187"/>
      <c r="EX81" s="187"/>
      <c r="EY81" s="187"/>
      <c r="EZ81" s="187"/>
      <c r="FA81" s="187"/>
      <c r="FB81" s="187"/>
      <c r="FC81" s="187"/>
    </row>
    <row r="82" spans="1:159" ht="15" x14ac:dyDescent="0.25">
      <c r="A82" s="187" t="s">
        <v>220</v>
      </c>
      <c r="B82" s="187" t="s">
        <v>221</v>
      </c>
      <c r="C82" s="187">
        <v>3302</v>
      </c>
      <c r="D82" s="187">
        <v>0</v>
      </c>
      <c r="E82" s="187">
        <v>250</v>
      </c>
      <c r="F82" s="187">
        <v>275</v>
      </c>
      <c r="G82" s="187">
        <v>438</v>
      </c>
      <c r="H82" s="187">
        <v>4265</v>
      </c>
      <c r="I82" s="187">
        <v>3827</v>
      </c>
      <c r="J82" s="187">
        <v>7</v>
      </c>
      <c r="K82" s="187">
        <v>124.5</v>
      </c>
      <c r="L82" s="187">
        <v>121.73</v>
      </c>
      <c r="M82" s="187">
        <v>9.57</v>
      </c>
      <c r="N82" s="187">
        <v>132.66999999999999</v>
      </c>
      <c r="O82" s="187">
        <v>1956</v>
      </c>
      <c r="P82" s="187">
        <v>127.92</v>
      </c>
      <c r="Q82" s="187">
        <v>104.61</v>
      </c>
      <c r="R82" s="187">
        <v>33.33</v>
      </c>
      <c r="S82" s="187">
        <v>161.08000000000001</v>
      </c>
      <c r="T82" s="187">
        <v>386</v>
      </c>
      <c r="U82" s="187">
        <v>193.39</v>
      </c>
      <c r="V82" s="187">
        <v>1048</v>
      </c>
      <c r="W82" s="187">
        <v>168.1</v>
      </c>
      <c r="X82" s="187">
        <v>13</v>
      </c>
      <c r="Y82" s="187">
        <v>39</v>
      </c>
      <c r="Z82" s="187">
        <v>1</v>
      </c>
      <c r="AA82" s="187">
        <v>0</v>
      </c>
      <c r="AB82" s="187">
        <v>40</v>
      </c>
      <c r="AC82" s="187">
        <v>15</v>
      </c>
      <c r="AD82" s="187">
        <v>3212</v>
      </c>
      <c r="AE82" s="187">
        <v>28</v>
      </c>
      <c r="AF82" s="187">
        <v>19</v>
      </c>
      <c r="AG82" s="187">
        <v>47</v>
      </c>
      <c r="AH82" s="187"/>
      <c r="AI82" s="187"/>
      <c r="AJ82" s="187"/>
      <c r="AK82" s="187"/>
      <c r="AL82" s="187"/>
      <c r="AM82" s="187"/>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187"/>
      <c r="BR82" s="187"/>
      <c r="BS82" s="187"/>
      <c r="BT82" s="187"/>
      <c r="BU82" s="187"/>
      <c r="BV82" s="187"/>
      <c r="BW82" s="187"/>
      <c r="BX82" s="187"/>
      <c r="BY82" s="187"/>
      <c r="BZ82" s="187"/>
      <c r="CA82" s="187"/>
      <c r="CB82" s="187"/>
      <c r="CC82" s="187"/>
      <c r="CD82" s="187"/>
      <c r="CE82" s="187"/>
      <c r="CF82" s="187"/>
      <c r="CG82" s="187"/>
      <c r="CH82" s="187"/>
      <c r="CI82" s="187"/>
      <c r="CJ82" s="187"/>
      <c r="CK82" s="187"/>
      <c r="CL82" s="187"/>
      <c r="CM82" s="187"/>
      <c r="CN82" s="187"/>
      <c r="CO82" s="187"/>
      <c r="CP82" s="187"/>
      <c r="CQ82" s="187"/>
      <c r="CR82" s="187"/>
      <c r="CS82" s="187"/>
      <c r="CT82" s="187"/>
      <c r="CU82" s="187"/>
      <c r="CV82" s="187"/>
      <c r="CW82" s="187"/>
      <c r="CX82" s="187"/>
      <c r="CY82" s="187"/>
      <c r="CZ82" s="187"/>
      <c r="DA82" s="187"/>
      <c r="DB82" s="187"/>
      <c r="DC82" s="187"/>
      <c r="DD82" s="187"/>
      <c r="DE82" s="187"/>
      <c r="DF82" s="187"/>
      <c r="DG82" s="187"/>
      <c r="DH82" s="187"/>
      <c r="DI82" s="187"/>
      <c r="DJ82" s="187"/>
      <c r="DK82" s="187"/>
      <c r="DL82" s="187"/>
      <c r="DM82" s="187"/>
      <c r="DN82" s="187"/>
      <c r="DO82" s="187"/>
      <c r="DP82" s="187"/>
      <c r="DQ82" s="187"/>
      <c r="DR82" s="187"/>
      <c r="DS82" s="187"/>
      <c r="DT82" s="187"/>
      <c r="DU82" s="187"/>
      <c r="DV82" s="187"/>
      <c r="DW82" s="187"/>
      <c r="DX82" s="187"/>
      <c r="DY82" s="187"/>
      <c r="DZ82" s="187"/>
      <c r="EA82" s="187"/>
      <c r="EB82" s="187"/>
      <c r="EC82" s="187"/>
      <c r="ED82" s="187"/>
      <c r="EE82" s="187"/>
      <c r="EF82" s="187"/>
      <c r="EG82" s="187"/>
      <c r="EH82" s="187"/>
      <c r="EI82" s="187"/>
      <c r="EJ82" s="187"/>
      <c r="EK82" s="187"/>
      <c r="EL82" s="187"/>
      <c r="EM82" s="187"/>
      <c r="EN82" s="187"/>
      <c r="EO82" s="187"/>
      <c r="EP82" s="187"/>
      <c r="EQ82" s="187"/>
      <c r="ER82" s="187"/>
      <c r="ES82" s="187"/>
      <c r="ET82" s="187"/>
      <c r="EU82" s="187"/>
      <c r="EV82" s="187"/>
      <c r="EW82" s="187"/>
      <c r="EX82" s="187"/>
      <c r="EY82" s="187"/>
      <c r="EZ82" s="187"/>
      <c r="FA82" s="187"/>
      <c r="FB82" s="187"/>
      <c r="FC82" s="187"/>
    </row>
    <row r="83" spans="1:159" ht="15" x14ac:dyDescent="0.25">
      <c r="A83" s="187" t="s">
        <v>222</v>
      </c>
      <c r="B83" s="187" t="s">
        <v>223</v>
      </c>
      <c r="C83" s="187">
        <v>2216</v>
      </c>
      <c r="D83" s="187">
        <v>4</v>
      </c>
      <c r="E83" s="187">
        <v>306</v>
      </c>
      <c r="F83" s="187">
        <v>531</v>
      </c>
      <c r="G83" s="187">
        <v>141</v>
      </c>
      <c r="H83" s="187">
        <v>3198</v>
      </c>
      <c r="I83" s="187">
        <v>3057</v>
      </c>
      <c r="J83" s="187">
        <v>505</v>
      </c>
      <c r="K83" s="187">
        <v>83.99</v>
      </c>
      <c r="L83" s="187">
        <v>80.98</v>
      </c>
      <c r="M83" s="187">
        <v>4.54</v>
      </c>
      <c r="N83" s="187">
        <v>86.97</v>
      </c>
      <c r="O83" s="187">
        <v>1309</v>
      </c>
      <c r="P83" s="187">
        <v>99.6</v>
      </c>
      <c r="Q83" s="187">
        <v>82.22</v>
      </c>
      <c r="R83" s="187">
        <v>57.25</v>
      </c>
      <c r="S83" s="187">
        <v>156.37</v>
      </c>
      <c r="T83" s="187">
        <v>598</v>
      </c>
      <c r="U83" s="187">
        <v>105.9</v>
      </c>
      <c r="V83" s="187">
        <v>783</v>
      </c>
      <c r="W83" s="187">
        <v>116.35</v>
      </c>
      <c r="X83" s="187">
        <v>41</v>
      </c>
      <c r="Y83" s="187">
        <v>0</v>
      </c>
      <c r="Z83" s="187">
        <v>3</v>
      </c>
      <c r="AA83" s="187">
        <v>1</v>
      </c>
      <c r="AB83" s="187">
        <v>10</v>
      </c>
      <c r="AC83" s="187">
        <v>8</v>
      </c>
      <c r="AD83" s="187">
        <v>2170</v>
      </c>
      <c r="AE83" s="187">
        <v>27</v>
      </c>
      <c r="AF83" s="187">
        <v>10</v>
      </c>
      <c r="AG83" s="187">
        <v>37</v>
      </c>
      <c r="AH83" s="187"/>
      <c r="AI83" s="187"/>
      <c r="AJ83" s="187"/>
      <c r="AK83" s="187"/>
      <c r="AL83" s="187"/>
      <c r="AM83" s="187"/>
      <c r="AN83" s="187"/>
      <c r="AO83" s="187"/>
      <c r="AP83" s="187"/>
      <c r="AQ83" s="187"/>
      <c r="AR83" s="187"/>
      <c r="AS83" s="187"/>
      <c r="AT83" s="187"/>
      <c r="AU83" s="187"/>
      <c r="AV83" s="187"/>
      <c r="AW83" s="187"/>
      <c r="AX83" s="187"/>
      <c r="AY83" s="187"/>
      <c r="AZ83" s="187"/>
      <c r="BA83" s="187"/>
      <c r="BB83" s="187"/>
      <c r="BC83" s="187"/>
      <c r="BD83" s="187"/>
      <c r="BE83" s="187"/>
      <c r="BF83" s="187"/>
      <c r="BG83" s="187"/>
      <c r="BH83" s="187"/>
      <c r="BI83" s="187"/>
      <c r="BJ83" s="187"/>
      <c r="BK83" s="187"/>
      <c r="BL83" s="187"/>
      <c r="BM83" s="187"/>
      <c r="BN83" s="187"/>
      <c r="BO83" s="187"/>
      <c r="BP83" s="187"/>
      <c r="BQ83" s="187"/>
      <c r="BR83" s="187"/>
      <c r="BS83" s="187"/>
      <c r="BT83" s="187"/>
      <c r="BU83" s="187"/>
      <c r="BV83" s="187"/>
      <c r="BW83" s="187"/>
      <c r="BX83" s="187"/>
      <c r="BY83" s="187"/>
      <c r="BZ83" s="187"/>
      <c r="CA83" s="187"/>
      <c r="CB83" s="187"/>
      <c r="CC83" s="187"/>
      <c r="CD83" s="187"/>
      <c r="CE83" s="187"/>
      <c r="CF83" s="187"/>
      <c r="CG83" s="187"/>
      <c r="CH83" s="187"/>
      <c r="CI83" s="187"/>
      <c r="CJ83" s="187"/>
      <c r="CK83" s="187"/>
      <c r="CL83" s="187"/>
      <c r="CM83" s="187"/>
      <c r="CN83" s="187"/>
      <c r="CO83" s="187"/>
      <c r="CP83" s="187"/>
      <c r="CQ83" s="187"/>
      <c r="CR83" s="187"/>
      <c r="CS83" s="187"/>
      <c r="CT83" s="187"/>
      <c r="CU83" s="187"/>
      <c r="CV83" s="187"/>
      <c r="CW83" s="187"/>
      <c r="CX83" s="187"/>
      <c r="CY83" s="187"/>
      <c r="CZ83" s="187"/>
      <c r="DA83" s="187"/>
      <c r="DB83" s="187"/>
      <c r="DC83" s="187"/>
      <c r="DD83" s="187"/>
      <c r="DE83" s="187"/>
      <c r="DF83" s="187"/>
      <c r="DG83" s="187"/>
      <c r="DH83" s="187"/>
      <c r="DI83" s="187"/>
      <c r="DJ83" s="187"/>
      <c r="DK83" s="187"/>
      <c r="DL83" s="187"/>
      <c r="DM83" s="187"/>
      <c r="DN83" s="187"/>
      <c r="DO83" s="187"/>
      <c r="DP83" s="187"/>
      <c r="DQ83" s="187"/>
      <c r="DR83" s="187"/>
      <c r="DS83" s="187"/>
      <c r="DT83" s="187"/>
      <c r="DU83" s="187"/>
      <c r="DV83" s="187"/>
      <c r="DW83" s="187"/>
      <c r="DX83" s="187"/>
      <c r="DY83" s="187"/>
      <c r="DZ83" s="187"/>
      <c r="EA83" s="187"/>
      <c r="EB83" s="187"/>
      <c r="EC83" s="187"/>
      <c r="ED83" s="187"/>
      <c r="EE83" s="187"/>
      <c r="EF83" s="187"/>
      <c r="EG83" s="187"/>
      <c r="EH83" s="187"/>
      <c r="EI83" s="187"/>
      <c r="EJ83" s="187"/>
      <c r="EK83" s="187"/>
      <c r="EL83" s="187"/>
      <c r="EM83" s="187"/>
      <c r="EN83" s="187"/>
      <c r="EO83" s="187"/>
      <c r="EP83" s="187"/>
      <c r="EQ83" s="187"/>
      <c r="ER83" s="187"/>
      <c r="ES83" s="187"/>
      <c r="ET83" s="187"/>
      <c r="EU83" s="187"/>
      <c r="EV83" s="187"/>
      <c r="EW83" s="187"/>
      <c r="EX83" s="187"/>
      <c r="EY83" s="187"/>
      <c r="EZ83" s="187"/>
      <c r="FA83" s="187"/>
      <c r="FB83" s="187"/>
      <c r="FC83" s="187"/>
    </row>
    <row r="84" spans="1:159" ht="15" x14ac:dyDescent="0.25">
      <c r="A84" s="187" t="s">
        <v>224</v>
      </c>
      <c r="B84" s="187" t="s">
        <v>225</v>
      </c>
      <c r="C84" s="187">
        <v>1859</v>
      </c>
      <c r="D84" s="187">
        <v>12</v>
      </c>
      <c r="E84" s="187">
        <v>146</v>
      </c>
      <c r="F84" s="187">
        <v>107</v>
      </c>
      <c r="G84" s="187">
        <v>1344</v>
      </c>
      <c r="H84" s="187">
        <v>3468</v>
      </c>
      <c r="I84" s="187">
        <v>2124</v>
      </c>
      <c r="J84" s="187">
        <v>12</v>
      </c>
      <c r="K84" s="187">
        <v>115.24</v>
      </c>
      <c r="L84" s="187">
        <v>111.36</v>
      </c>
      <c r="M84" s="187">
        <v>7.71</v>
      </c>
      <c r="N84" s="187">
        <v>122.32</v>
      </c>
      <c r="O84" s="187">
        <v>857</v>
      </c>
      <c r="P84" s="187">
        <v>141.87</v>
      </c>
      <c r="Q84" s="187">
        <v>88.07</v>
      </c>
      <c r="R84" s="187">
        <v>46.83</v>
      </c>
      <c r="S84" s="187">
        <v>184.75</v>
      </c>
      <c r="T84" s="187">
        <v>142</v>
      </c>
      <c r="U84" s="187">
        <v>177.91</v>
      </c>
      <c r="V84" s="187">
        <v>571</v>
      </c>
      <c r="W84" s="187">
        <v>0</v>
      </c>
      <c r="X84" s="187">
        <v>0</v>
      </c>
      <c r="Y84" s="187">
        <v>0</v>
      </c>
      <c r="Z84" s="187">
        <v>1</v>
      </c>
      <c r="AA84" s="187">
        <v>0</v>
      </c>
      <c r="AB84" s="187">
        <v>116</v>
      </c>
      <c r="AC84" s="187">
        <v>37</v>
      </c>
      <c r="AD84" s="187">
        <v>1480</v>
      </c>
      <c r="AE84" s="187">
        <v>9</v>
      </c>
      <c r="AF84" s="187">
        <v>2</v>
      </c>
      <c r="AG84" s="187">
        <v>11</v>
      </c>
      <c r="AH84" s="187"/>
      <c r="AI84" s="187"/>
      <c r="AJ84" s="187"/>
      <c r="AK84" s="187"/>
      <c r="AL84" s="187"/>
      <c r="AM84" s="187"/>
      <c r="AN84" s="187"/>
      <c r="AO84" s="187"/>
      <c r="AP84" s="187"/>
      <c r="AQ84" s="187"/>
      <c r="AR84" s="187"/>
      <c r="AS84" s="187"/>
      <c r="AT84" s="187"/>
      <c r="AU84" s="187"/>
      <c r="AV84" s="187"/>
      <c r="AW84" s="187"/>
      <c r="AX84" s="187"/>
      <c r="AY84" s="187"/>
      <c r="AZ84" s="187"/>
      <c r="BA84" s="187"/>
      <c r="BB84" s="187"/>
      <c r="BC84" s="187"/>
      <c r="BD84" s="187"/>
      <c r="BE84" s="187"/>
      <c r="BF84" s="187"/>
      <c r="BG84" s="187"/>
      <c r="BH84" s="187"/>
      <c r="BI84" s="187"/>
      <c r="BJ84" s="187"/>
      <c r="BK84" s="187"/>
      <c r="BL84" s="187"/>
      <c r="BM84" s="187"/>
      <c r="BN84" s="187"/>
      <c r="BO84" s="187"/>
      <c r="BP84" s="187"/>
      <c r="BQ84" s="187"/>
      <c r="BR84" s="187"/>
      <c r="BS84" s="187"/>
      <c r="BT84" s="187"/>
      <c r="BU84" s="187"/>
      <c r="BV84" s="187"/>
      <c r="BW84" s="187"/>
      <c r="BX84" s="187"/>
      <c r="BY84" s="187"/>
      <c r="BZ84" s="187"/>
      <c r="CA84" s="187"/>
      <c r="CB84" s="187"/>
      <c r="CC84" s="187"/>
      <c r="CD84" s="187"/>
      <c r="CE84" s="187"/>
      <c r="CF84" s="187"/>
      <c r="CG84" s="187"/>
      <c r="CH84" s="187"/>
      <c r="CI84" s="187"/>
      <c r="CJ84" s="187"/>
      <c r="CK84" s="187"/>
      <c r="CL84" s="187"/>
      <c r="CM84" s="187"/>
      <c r="CN84" s="187"/>
      <c r="CO84" s="187"/>
      <c r="CP84" s="187"/>
      <c r="CQ84" s="187"/>
      <c r="CR84" s="187"/>
      <c r="CS84" s="187"/>
      <c r="CT84" s="187"/>
      <c r="CU84" s="187"/>
      <c r="CV84" s="187"/>
      <c r="CW84" s="187"/>
      <c r="CX84" s="187"/>
      <c r="CY84" s="187"/>
      <c r="CZ84" s="187"/>
      <c r="DA84" s="187"/>
      <c r="DB84" s="187"/>
      <c r="DC84" s="187"/>
      <c r="DD84" s="187"/>
      <c r="DE84" s="187"/>
      <c r="DF84" s="187"/>
      <c r="DG84" s="187"/>
      <c r="DH84" s="187"/>
      <c r="DI84" s="187"/>
      <c r="DJ84" s="187"/>
      <c r="DK84" s="187"/>
      <c r="DL84" s="187"/>
      <c r="DM84" s="187"/>
      <c r="DN84" s="187"/>
      <c r="DO84" s="187"/>
      <c r="DP84" s="187"/>
      <c r="DQ84" s="187"/>
      <c r="DR84" s="187"/>
      <c r="DS84" s="187"/>
      <c r="DT84" s="187"/>
      <c r="DU84" s="187"/>
      <c r="DV84" s="187"/>
      <c r="DW84" s="187"/>
      <c r="DX84" s="187"/>
      <c r="DY84" s="187"/>
      <c r="DZ84" s="187"/>
      <c r="EA84" s="187"/>
      <c r="EB84" s="187"/>
      <c r="EC84" s="187"/>
      <c r="ED84" s="187"/>
      <c r="EE84" s="187"/>
      <c r="EF84" s="187"/>
      <c r="EG84" s="187"/>
      <c r="EH84" s="187"/>
      <c r="EI84" s="187"/>
      <c r="EJ84" s="187"/>
      <c r="EK84" s="187"/>
      <c r="EL84" s="187"/>
      <c r="EM84" s="187"/>
      <c r="EN84" s="187"/>
      <c r="EO84" s="187"/>
      <c r="EP84" s="187"/>
      <c r="EQ84" s="187"/>
      <c r="ER84" s="187"/>
      <c r="ES84" s="187"/>
      <c r="ET84" s="187"/>
      <c r="EU84" s="187"/>
      <c r="EV84" s="187"/>
      <c r="EW84" s="187"/>
      <c r="EX84" s="187"/>
      <c r="EY84" s="187"/>
      <c r="EZ84" s="187"/>
      <c r="FA84" s="187"/>
      <c r="FB84" s="187"/>
      <c r="FC84" s="187"/>
    </row>
    <row r="85" spans="1:159" ht="15" x14ac:dyDescent="0.25">
      <c r="A85" s="187" t="s">
        <v>226</v>
      </c>
      <c r="B85" s="187" t="s">
        <v>227</v>
      </c>
      <c r="C85" s="187">
        <v>5984</v>
      </c>
      <c r="D85" s="187">
        <v>102</v>
      </c>
      <c r="E85" s="187">
        <v>612</v>
      </c>
      <c r="F85" s="187">
        <v>1375</v>
      </c>
      <c r="G85" s="187">
        <v>569</v>
      </c>
      <c r="H85" s="187">
        <v>8642</v>
      </c>
      <c r="I85" s="187">
        <v>8073</v>
      </c>
      <c r="J85" s="187">
        <v>26</v>
      </c>
      <c r="K85" s="187">
        <v>95.05</v>
      </c>
      <c r="L85" s="187">
        <v>92.9</v>
      </c>
      <c r="M85" s="187">
        <v>6.85</v>
      </c>
      <c r="N85" s="187">
        <v>99.85</v>
      </c>
      <c r="O85" s="187">
        <v>5162</v>
      </c>
      <c r="P85" s="187">
        <v>93.09</v>
      </c>
      <c r="Q85" s="187">
        <v>84.4</v>
      </c>
      <c r="R85" s="187">
        <v>51.84</v>
      </c>
      <c r="S85" s="187">
        <v>144.31</v>
      </c>
      <c r="T85" s="187">
        <v>1597</v>
      </c>
      <c r="U85" s="187">
        <v>115.9</v>
      </c>
      <c r="V85" s="187">
        <v>675</v>
      </c>
      <c r="W85" s="187">
        <v>203.53</v>
      </c>
      <c r="X85" s="187">
        <v>2</v>
      </c>
      <c r="Y85" s="187">
        <v>0</v>
      </c>
      <c r="Z85" s="187">
        <v>5</v>
      </c>
      <c r="AA85" s="187">
        <v>10</v>
      </c>
      <c r="AB85" s="187">
        <v>54</v>
      </c>
      <c r="AC85" s="187">
        <v>16</v>
      </c>
      <c r="AD85" s="187">
        <v>5798</v>
      </c>
      <c r="AE85" s="187">
        <v>21</v>
      </c>
      <c r="AF85" s="187">
        <v>24</v>
      </c>
      <c r="AG85" s="187">
        <v>45</v>
      </c>
      <c r="AH85" s="187"/>
      <c r="AI85" s="187"/>
      <c r="AJ85" s="187"/>
      <c r="AK85" s="187"/>
      <c r="AL85" s="187"/>
      <c r="AM85" s="187"/>
      <c r="AN85" s="187"/>
      <c r="AO85" s="187"/>
      <c r="AP85" s="187"/>
      <c r="AQ85" s="187"/>
      <c r="AR85" s="187"/>
      <c r="AS85" s="187"/>
      <c r="AT85" s="187"/>
      <c r="AU85" s="187"/>
      <c r="AV85" s="187"/>
      <c r="AW85" s="187"/>
      <c r="AX85" s="187"/>
      <c r="AY85" s="187"/>
      <c r="AZ85" s="187"/>
      <c r="BA85" s="187"/>
      <c r="BB85" s="187"/>
      <c r="BC85" s="187"/>
      <c r="BD85" s="187"/>
      <c r="BE85" s="187"/>
      <c r="BF85" s="187"/>
      <c r="BG85" s="187"/>
      <c r="BH85" s="187"/>
      <c r="BI85" s="187"/>
      <c r="BJ85" s="187"/>
      <c r="BK85" s="187"/>
      <c r="BL85" s="187"/>
      <c r="BM85" s="187"/>
      <c r="BN85" s="187"/>
      <c r="BO85" s="187"/>
      <c r="BP85" s="187"/>
      <c r="BQ85" s="187"/>
      <c r="BR85" s="187"/>
      <c r="BS85" s="187"/>
      <c r="BT85" s="187"/>
      <c r="BU85" s="187"/>
      <c r="BV85" s="187"/>
      <c r="BW85" s="187"/>
      <c r="BX85" s="187"/>
      <c r="BY85" s="187"/>
      <c r="BZ85" s="187"/>
      <c r="CA85" s="187"/>
      <c r="CB85" s="187"/>
      <c r="CC85" s="187"/>
      <c r="CD85" s="187"/>
      <c r="CE85" s="187"/>
      <c r="CF85" s="187"/>
      <c r="CG85" s="187"/>
      <c r="CH85" s="187"/>
      <c r="CI85" s="187"/>
      <c r="CJ85" s="187"/>
      <c r="CK85" s="187"/>
      <c r="CL85" s="187"/>
      <c r="CM85" s="187"/>
      <c r="CN85" s="187"/>
      <c r="CO85" s="187"/>
      <c r="CP85" s="187"/>
      <c r="CQ85" s="187"/>
      <c r="CR85" s="187"/>
      <c r="CS85" s="187"/>
      <c r="CT85" s="187"/>
      <c r="CU85" s="187"/>
      <c r="CV85" s="187"/>
      <c r="CW85" s="187"/>
      <c r="CX85" s="187"/>
      <c r="CY85" s="187"/>
      <c r="CZ85" s="187"/>
      <c r="DA85" s="187"/>
      <c r="DB85" s="187"/>
      <c r="DC85" s="187"/>
      <c r="DD85" s="187"/>
      <c r="DE85" s="187"/>
      <c r="DF85" s="187"/>
      <c r="DG85" s="187"/>
      <c r="DH85" s="187"/>
      <c r="DI85" s="187"/>
      <c r="DJ85" s="187"/>
      <c r="DK85" s="187"/>
      <c r="DL85" s="187"/>
      <c r="DM85" s="187"/>
      <c r="DN85" s="187"/>
      <c r="DO85" s="187"/>
      <c r="DP85" s="187"/>
      <c r="DQ85" s="187"/>
      <c r="DR85" s="187"/>
      <c r="DS85" s="187"/>
      <c r="DT85" s="187"/>
      <c r="DU85" s="187"/>
      <c r="DV85" s="187"/>
      <c r="DW85" s="187"/>
      <c r="DX85" s="187"/>
      <c r="DY85" s="187"/>
      <c r="DZ85" s="187"/>
      <c r="EA85" s="187"/>
      <c r="EB85" s="187"/>
      <c r="EC85" s="187"/>
      <c r="ED85" s="187"/>
      <c r="EE85" s="187"/>
      <c r="EF85" s="187"/>
      <c r="EG85" s="187"/>
      <c r="EH85" s="187"/>
      <c r="EI85" s="187"/>
      <c r="EJ85" s="187"/>
      <c r="EK85" s="187"/>
      <c r="EL85" s="187"/>
      <c r="EM85" s="187"/>
      <c r="EN85" s="187"/>
      <c r="EO85" s="187"/>
      <c r="EP85" s="187"/>
      <c r="EQ85" s="187"/>
      <c r="ER85" s="187"/>
      <c r="ES85" s="187"/>
      <c r="ET85" s="187"/>
      <c r="EU85" s="187"/>
      <c r="EV85" s="187"/>
      <c r="EW85" s="187"/>
      <c r="EX85" s="187"/>
      <c r="EY85" s="187"/>
      <c r="EZ85" s="187"/>
      <c r="FA85" s="187"/>
      <c r="FB85" s="187"/>
      <c r="FC85" s="187"/>
    </row>
    <row r="86" spans="1:159" ht="15" x14ac:dyDescent="0.25">
      <c r="A86" s="187" t="s">
        <v>228</v>
      </c>
      <c r="B86" s="187" t="s">
        <v>229</v>
      </c>
      <c r="C86" s="187">
        <v>3896</v>
      </c>
      <c r="D86" s="187">
        <v>0</v>
      </c>
      <c r="E86" s="187">
        <v>69</v>
      </c>
      <c r="F86" s="187">
        <v>274</v>
      </c>
      <c r="G86" s="187">
        <v>249</v>
      </c>
      <c r="H86" s="187">
        <v>4488</v>
      </c>
      <c r="I86" s="187">
        <v>4239</v>
      </c>
      <c r="J86" s="187">
        <v>0</v>
      </c>
      <c r="K86" s="187">
        <v>98.66</v>
      </c>
      <c r="L86" s="187">
        <v>100.43</v>
      </c>
      <c r="M86" s="187">
        <v>3.18</v>
      </c>
      <c r="N86" s="187">
        <v>101.46</v>
      </c>
      <c r="O86" s="187">
        <v>3350</v>
      </c>
      <c r="P86" s="187">
        <v>92.59</v>
      </c>
      <c r="Q86" s="187">
        <v>88.89</v>
      </c>
      <c r="R86" s="187">
        <v>32.71</v>
      </c>
      <c r="S86" s="187">
        <v>123.61</v>
      </c>
      <c r="T86" s="187">
        <v>329</v>
      </c>
      <c r="U86" s="187">
        <v>121.36</v>
      </c>
      <c r="V86" s="187">
        <v>415</v>
      </c>
      <c r="W86" s="187">
        <v>205.83</v>
      </c>
      <c r="X86" s="187">
        <v>2</v>
      </c>
      <c r="Y86" s="187">
        <v>0</v>
      </c>
      <c r="Z86" s="187">
        <v>10</v>
      </c>
      <c r="AA86" s="187">
        <v>2</v>
      </c>
      <c r="AB86" s="187">
        <v>3</v>
      </c>
      <c r="AC86" s="187">
        <v>4</v>
      </c>
      <c r="AD86" s="187">
        <v>3745</v>
      </c>
      <c r="AE86" s="187">
        <v>34</v>
      </c>
      <c r="AF86" s="187">
        <v>8</v>
      </c>
      <c r="AG86" s="187">
        <v>42</v>
      </c>
      <c r="AH86" s="187"/>
      <c r="AI86" s="187"/>
      <c r="AJ86" s="187"/>
      <c r="AK86" s="187"/>
      <c r="AL86" s="187"/>
      <c r="AM86" s="187"/>
      <c r="AN86" s="187"/>
      <c r="AO86" s="187"/>
      <c r="AP86" s="187"/>
      <c r="AQ86" s="187"/>
      <c r="AR86" s="187"/>
      <c r="AS86" s="187"/>
      <c r="AT86" s="187"/>
      <c r="AU86" s="187"/>
      <c r="AV86" s="187"/>
      <c r="AW86" s="187"/>
      <c r="AX86" s="187"/>
      <c r="AY86" s="187"/>
      <c r="AZ86" s="187"/>
      <c r="BA86" s="187"/>
      <c r="BB86" s="187"/>
      <c r="BC86" s="187"/>
      <c r="BD86" s="187"/>
      <c r="BE86" s="187"/>
      <c r="BF86" s="187"/>
      <c r="BG86" s="187"/>
      <c r="BH86" s="187"/>
      <c r="BI86" s="187"/>
      <c r="BJ86" s="187"/>
      <c r="BK86" s="187"/>
      <c r="BL86" s="187"/>
      <c r="BM86" s="187"/>
      <c r="BN86" s="187"/>
      <c r="BO86" s="187"/>
      <c r="BP86" s="187"/>
      <c r="BQ86" s="187"/>
      <c r="BR86" s="187"/>
      <c r="BS86" s="187"/>
      <c r="BT86" s="187"/>
      <c r="BU86" s="187"/>
      <c r="BV86" s="187"/>
      <c r="BW86" s="187"/>
      <c r="BX86" s="187"/>
      <c r="BY86" s="187"/>
      <c r="BZ86" s="187"/>
      <c r="CA86" s="187"/>
      <c r="CB86" s="187"/>
      <c r="CC86" s="187"/>
      <c r="CD86" s="187"/>
      <c r="CE86" s="187"/>
      <c r="CF86" s="187"/>
      <c r="CG86" s="187"/>
      <c r="CH86" s="187"/>
      <c r="CI86" s="187"/>
      <c r="CJ86" s="187"/>
      <c r="CK86" s="187"/>
      <c r="CL86" s="187"/>
      <c r="CM86" s="187"/>
      <c r="CN86" s="187"/>
      <c r="CO86" s="187"/>
      <c r="CP86" s="187"/>
      <c r="CQ86" s="187"/>
      <c r="CR86" s="187"/>
      <c r="CS86" s="187"/>
      <c r="CT86" s="187"/>
      <c r="CU86" s="187"/>
      <c r="CV86" s="187"/>
      <c r="CW86" s="187"/>
      <c r="CX86" s="187"/>
      <c r="CY86" s="187"/>
      <c r="CZ86" s="187"/>
      <c r="DA86" s="187"/>
      <c r="DB86" s="187"/>
      <c r="DC86" s="187"/>
      <c r="DD86" s="187"/>
      <c r="DE86" s="187"/>
      <c r="DF86" s="187"/>
      <c r="DG86" s="187"/>
      <c r="DH86" s="187"/>
      <c r="DI86" s="187"/>
      <c r="DJ86" s="187"/>
      <c r="DK86" s="187"/>
      <c r="DL86" s="187"/>
      <c r="DM86" s="187"/>
      <c r="DN86" s="187"/>
      <c r="DO86" s="187"/>
      <c r="DP86" s="187"/>
      <c r="DQ86" s="187"/>
      <c r="DR86" s="187"/>
      <c r="DS86" s="187"/>
      <c r="DT86" s="187"/>
      <c r="DU86" s="187"/>
      <c r="DV86" s="187"/>
      <c r="DW86" s="187"/>
      <c r="DX86" s="187"/>
      <c r="DY86" s="187"/>
      <c r="DZ86" s="187"/>
      <c r="EA86" s="187"/>
      <c r="EB86" s="187"/>
      <c r="EC86" s="187"/>
      <c r="ED86" s="187"/>
      <c r="EE86" s="187"/>
      <c r="EF86" s="187"/>
      <c r="EG86" s="187"/>
      <c r="EH86" s="187"/>
      <c r="EI86" s="187"/>
      <c r="EJ86" s="187"/>
      <c r="EK86" s="187"/>
      <c r="EL86" s="187"/>
      <c r="EM86" s="187"/>
      <c r="EN86" s="187"/>
      <c r="EO86" s="187"/>
      <c r="EP86" s="187"/>
      <c r="EQ86" s="187"/>
      <c r="ER86" s="187"/>
      <c r="ES86" s="187"/>
      <c r="ET86" s="187"/>
      <c r="EU86" s="187"/>
      <c r="EV86" s="187"/>
      <c r="EW86" s="187"/>
      <c r="EX86" s="187"/>
      <c r="EY86" s="187"/>
      <c r="EZ86" s="187"/>
      <c r="FA86" s="187"/>
      <c r="FB86" s="187"/>
      <c r="FC86" s="187"/>
    </row>
    <row r="87" spans="1:159" ht="15" x14ac:dyDescent="0.25">
      <c r="A87" s="187" t="s">
        <v>230</v>
      </c>
      <c r="B87" s="187" t="s">
        <v>231</v>
      </c>
      <c r="C87" s="187">
        <v>2826</v>
      </c>
      <c r="D87" s="187">
        <v>3</v>
      </c>
      <c r="E87" s="187">
        <v>853</v>
      </c>
      <c r="F87" s="187">
        <v>992</v>
      </c>
      <c r="G87" s="187">
        <v>528</v>
      </c>
      <c r="H87" s="187">
        <v>5202</v>
      </c>
      <c r="I87" s="187">
        <v>4674</v>
      </c>
      <c r="J87" s="187">
        <v>121</v>
      </c>
      <c r="K87" s="187">
        <v>87.28</v>
      </c>
      <c r="L87" s="187">
        <v>83.94</v>
      </c>
      <c r="M87" s="187">
        <v>5.81</v>
      </c>
      <c r="N87" s="187">
        <v>90.64</v>
      </c>
      <c r="O87" s="187">
        <v>1699</v>
      </c>
      <c r="P87" s="187">
        <v>110.13</v>
      </c>
      <c r="Q87" s="187">
        <v>88.04</v>
      </c>
      <c r="R87" s="187">
        <v>42.65</v>
      </c>
      <c r="S87" s="187">
        <v>152.41</v>
      </c>
      <c r="T87" s="187">
        <v>1590</v>
      </c>
      <c r="U87" s="187">
        <v>105.86</v>
      </c>
      <c r="V87" s="187">
        <v>1016</v>
      </c>
      <c r="W87" s="187">
        <v>236.75</v>
      </c>
      <c r="X87" s="187">
        <v>82</v>
      </c>
      <c r="Y87" s="187">
        <v>12</v>
      </c>
      <c r="Z87" s="187">
        <v>0</v>
      </c>
      <c r="AA87" s="187">
        <v>3</v>
      </c>
      <c r="AB87" s="187">
        <v>93</v>
      </c>
      <c r="AC87" s="187">
        <v>11</v>
      </c>
      <c r="AD87" s="187">
        <v>2724</v>
      </c>
      <c r="AE87" s="187">
        <v>17</v>
      </c>
      <c r="AF87" s="187">
        <v>30</v>
      </c>
      <c r="AG87" s="187">
        <v>47</v>
      </c>
      <c r="AH87" s="187"/>
      <c r="AI87" s="187"/>
      <c r="AJ87" s="187"/>
      <c r="AK87" s="187"/>
      <c r="AL87" s="187"/>
      <c r="AM87" s="187"/>
      <c r="AN87" s="187"/>
      <c r="AO87" s="187"/>
      <c r="AP87" s="187"/>
      <c r="AQ87" s="187"/>
      <c r="AR87" s="187"/>
      <c r="AS87" s="187"/>
      <c r="AT87" s="187"/>
      <c r="AU87" s="187"/>
      <c r="AV87" s="187"/>
      <c r="AW87" s="187"/>
      <c r="AX87" s="187"/>
      <c r="AY87" s="187"/>
      <c r="AZ87" s="187"/>
      <c r="BA87" s="187"/>
      <c r="BB87" s="187"/>
      <c r="BC87" s="187"/>
      <c r="BD87" s="187"/>
      <c r="BE87" s="187"/>
      <c r="BF87" s="187"/>
      <c r="BG87" s="187"/>
      <c r="BH87" s="187"/>
      <c r="BI87" s="187"/>
      <c r="BJ87" s="187"/>
      <c r="BK87" s="187"/>
      <c r="BL87" s="187"/>
      <c r="BM87" s="187"/>
      <c r="BN87" s="187"/>
      <c r="BO87" s="187"/>
      <c r="BP87" s="187"/>
      <c r="BQ87" s="187"/>
      <c r="BR87" s="187"/>
      <c r="BS87" s="187"/>
      <c r="BT87" s="187"/>
      <c r="BU87" s="187"/>
      <c r="BV87" s="187"/>
      <c r="BW87" s="187"/>
      <c r="BX87" s="187"/>
      <c r="BY87" s="187"/>
      <c r="BZ87" s="187"/>
      <c r="CA87" s="187"/>
      <c r="CB87" s="187"/>
      <c r="CC87" s="187"/>
      <c r="CD87" s="187"/>
      <c r="CE87" s="187"/>
      <c r="CF87" s="187"/>
      <c r="CG87" s="187"/>
      <c r="CH87" s="187"/>
      <c r="CI87" s="187"/>
      <c r="CJ87" s="187"/>
      <c r="CK87" s="187"/>
      <c r="CL87" s="187"/>
      <c r="CM87" s="187"/>
      <c r="CN87" s="187"/>
      <c r="CO87" s="187"/>
      <c r="CP87" s="187"/>
      <c r="CQ87" s="187"/>
      <c r="CR87" s="187"/>
      <c r="CS87" s="187"/>
      <c r="CT87" s="187"/>
      <c r="CU87" s="187"/>
      <c r="CV87" s="187"/>
      <c r="CW87" s="187"/>
      <c r="CX87" s="187"/>
      <c r="CY87" s="187"/>
      <c r="CZ87" s="187"/>
      <c r="DA87" s="187"/>
      <c r="DB87" s="187"/>
      <c r="DC87" s="187"/>
      <c r="DD87" s="187"/>
      <c r="DE87" s="187"/>
      <c r="DF87" s="187"/>
      <c r="DG87" s="187"/>
      <c r="DH87" s="187"/>
      <c r="DI87" s="187"/>
      <c r="DJ87" s="187"/>
      <c r="DK87" s="187"/>
      <c r="DL87" s="187"/>
      <c r="DM87" s="187"/>
      <c r="DN87" s="187"/>
      <c r="DO87" s="187"/>
      <c r="DP87" s="187"/>
      <c r="DQ87" s="187"/>
      <c r="DR87" s="187"/>
      <c r="DS87" s="187"/>
      <c r="DT87" s="187"/>
      <c r="DU87" s="187"/>
      <c r="DV87" s="187"/>
      <c r="DW87" s="187"/>
      <c r="DX87" s="187"/>
      <c r="DY87" s="187"/>
      <c r="DZ87" s="187"/>
      <c r="EA87" s="187"/>
      <c r="EB87" s="187"/>
      <c r="EC87" s="187"/>
      <c r="ED87" s="187"/>
      <c r="EE87" s="187"/>
      <c r="EF87" s="187"/>
      <c r="EG87" s="187"/>
      <c r="EH87" s="187"/>
      <c r="EI87" s="187"/>
      <c r="EJ87" s="187"/>
      <c r="EK87" s="187"/>
      <c r="EL87" s="187"/>
      <c r="EM87" s="187"/>
      <c r="EN87" s="187"/>
      <c r="EO87" s="187"/>
      <c r="EP87" s="187"/>
      <c r="EQ87" s="187"/>
      <c r="ER87" s="187"/>
      <c r="ES87" s="187"/>
      <c r="ET87" s="187"/>
      <c r="EU87" s="187"/>
      <c r="EV87" s="187"/>
      <c r="EW87" s="187"/>
      <c r="EX87" s="187"/>
      <c r="EY87" s="187"/>
      <c r="EZ87" s="187"/>
      <c r="FA87" s="187"/>
      <c r="FB87" s="187"/>
      <c r="FC87" s="187"/>
    </row>
    <row r="88" spans="1:159" ht="15" x14ac:dyDescent="0.25">
      <c r="A88" s="187" t="s">
        <v>232</v>
      </c>
      <c r="B88" s="187" t="s">
        <v>233</v>
      </c>
      <c r="C88" s="187">
        <v>16870</v>
      </c>
      <c r="D88" s="187">
        <v>16</v>
      </c>
      <c r="E88" s="187">
        <v>804</v>
      </c>
      <c r="F88" s="187">
        <v>3982</v>
      </c>
      <c r="G88" s="187">
        <v>1681</v>
      </c>
      <c r="H88" s="187">
        <v>23353</v>
      </c>
      <c r="I88" s="187">
        <v>21672</v>
      </c>
      <c r="J88" s="187">
        <v>8</v>
      </c>
      <c r="K88" s="187">
        <v>105.92</v>
      </c>
      <c r="L88" s="187">
        <v>104.68</v>
      </c>
      <c r="M88" s="187">
        <v>4.67</v>
      </c>
      <c r="N88" s="187">
        <v>108.93</v>
      </c>
      <c r="O88" s="187">
        <v>14598</v>
      </c>
      <c r="P88" s="187">
        <v>96.11</v>
      </c>
      <c r="Q88" s="187">
        <v>92.94</v>
      </c>
      <c r="R88" s="187">
        <v>25.3</v>
      </c>
      <c r="S88" s="187">
        <v>120.73</v>
      </c>
      <c r="T88" s="187">
        <v>4131</v>
      </c>
      <c r="U88" s="187">
        <v>148.34</v>
      </c>
      <c r="V88" s="187">
        <v>2198</v>
      </c>
      <c r="W88" s="187">
        <v>171.64</v>
      </c>
      <c r="X88" s="187">
        <v>56</v>
      </c>
      <c r="Y88" s="187">
        <v>0</v>
      </c>
      <c r="Z88" s="187">
        <v>10</v>
      </c>
      <c r="AA88" s="187">
        <v>41</v>
      </c>
      <c r="AB88" s="187">
        <v>209</v>
      </c>
      <c r="AC88" s="187">
        <v>33</v>
      </c>
      <c r="AD88" s="187">
        <v>16818</v>
      </c>
      <c r="AE88" s="187">
        <v>59</v>
      </c>
      <c r="AF88" s="187">
        <v>126</v>
      </c>
      <c r="AG88" s="187">
        <v>185</v>
      </c>
      <c r="AH88" s="187"/>
      <c r="AI88" s="187"/>
      <c r="AJ88" s="187"/>
      <c r="AK88" s="187"/>
      <c r="AL88" s="187"/>
      <c r="AM88" s="187"/>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7"/>
      <c r="BR88" s="187"/>
      <c r="BS88" s="187"/>
      <c r="BT88" s="187"/>
      <c r="BU88" s="187"/>
      <c r="BV88" s="187"/>
      <c r="BW88" s="187"/>
      <c r="BX88" s="187"/>
      <c r="BY88" s="187"/>
      <c r="BZ88" s="187"/>
      <c r="CA88" s="187"/>
      <c r="CB88" s="187"/>
      <c r="CC88" s="187"/>
      <c r="CD88" s="187"/>
      <c r="CE88" s="187"/>
      <c r="CF88" s="187"/>
      <c r="CG88" s="187"/>
      <c r="CH88" s="187"/>
      <c r="CI88" s="187"/>
      <c r="CJ88" s="187"/>
      <c r="CK88" s="187"/>
      <c r="CL88" s="187"/>
      <c r="CM88" s="187"/>
      <c r="CN88" s="187"/>
      <c r="CO88" s="187"/>
      <c r="CP88" s="187"/>
      <c r="CQ88" s="187"/>
      <c r="CR88" s="187"/>
      <c r="CS88" s="187"/>
      <c r="CT88" s="187"/>
      <c r="CU88" s="187"/>
      <c r="CV88" s="187"/>
      <c r="CW88" s="187"/>
      <c r="CX88" s="187"/>
      <c r="CY88" s="187"/>
      <c r="CZ88" s="187"/>
      <c r="DA88" s="187"/>
      <c r="DB88" s="187"/>
      <c r="DC88" s="187"/>
      <c r="DD88" s="187"/>
      <c r="DE88" s="187"/>
      <c r="DF88" s="187"/>
      <c r="DG88" s="187"/>
      <c r="DH88" s="187"/>
      <c r="DI88" s="187"/>
      <c r="DJ88" s="187"/>
      <c r="DK88" s="187"/>
      <c r="DL88" s="187"/>
      <c r="DM88" s="187"/>
      <c r="DN88" s="187"/>
      <c r="DO88" s="187"/>
      <c r="DP88" s="187"/>
      <c r="DQ88" s="187"/>
      <c r="DR88" s="187"/>
      <c r="DS88" s="187"/>
      <c r="DT88" s="187"/>
      <c r="DU88" s="187"/>
      <c r="DV88" s="187"/>
      <c r="DW88" s="187"/>
      <c r="DX88" s="187"/>
      <c r="DY88" s="187"/>
      <c r="DZ88" s="187"/>
      <c r="EA88" s="187"/>
      <c r="EB88" s="187"/>
      <c r="EC88" s="187"/>
      <c r="ED88" s="187"/>
      <c r="EE88" s="187"/>
      <c r="EF88" s="187"/>
      <c r="EG88" s="187"/>
      <c r="EH88" s="187"/>
      <c r="EI88" s="187"/>
      <c r="EJ88" s="187"/>
      <c r="EK88" s="187"/>
      <c r="EL88" s="187"/>
      <c r="EM88" s="187"/>
      <c r="EN88" s="187"/>
      <c r="EO88" s="187"/>
      <c r="EP88" s="187"/>
      <c r="EQ88" s="187"/>
      <c r="ER88" s="187"/>
      <c r="ES88" s="187"/>
      <c r="ET88" s="187"/>
      <c r="EU88" s="187"/>
      <c r="EV88" s="187"/>
      <c r="EW88" s="187"/>
      <c r="EX88" s="187"/>
      <c r="EY88" s="187"/>
      <c r="EZ88" s="187"/>
      <c r="FA88" s="187"/>
      <c r="FB88" s="187"/>
      <c r="FC88" s="187"/>
    </row>
    <row r="89" spans="1:159" ht="15" x14ac:dyDescent="0.25">
      <c r="A89" s="187" t="s">
        <v>234</v>
      </c>
      <c r="B89" s="187" t="s">
        <v>235</v>
      </c>
      <c r="C89" s="187">
        <v>2221</v>
      </c>
      <c r="D89" s="187">
        <v>0</v>
      </c>
      <c r="E89" s="187">
        <v>165</v>
      </c>
      <c r="F89" s="187">
        <v>545</v>
      </c>
      <c r="G89" s="187">
        <v>316</v>
      </c>
      <c r="H89" s="187">
        <v>3247</v>
      </c>
      <c r="I89" s="187">
        <v>2931</v>
      </c>
      <c r="J89" s="187">
        <v>25</v>
      </c>
      <c r="K89" s="187">
        <v>96.96</v>
      </c>
      <c r="L89" s="187">
        <v>94.88</v>
      </c>
      <c r="M89" s="187">
        <v>8.7200000000000006</v>
      </c>
      <c r="N89" s="187">
        <v>103.61</v>
      </c>
      <c r="O89" s="187">
        <v>1717</v>
      </c>
      <c r="P89" s="187">
        <v>117.02</v>
      </c>
      <c r="Q89" s="187">
        <v>91.51</v>
      </c>
      <c r="R89" s="187">
        <v>45.57</v>
      </c>
      <c r="S89" s="187">
        <v>158.9</v>
      </c>
      <c r="T89" s="187">
        <v>691</v>
      </c>
      <c r="U89" s="187">
        <v>141.46</v>
      </c>
      <c r="V89" s="187">
        <v>393</v>
      </c>
      <c r="W89" s="187">
        <v>0</v>
      </c>
      <c r="X89" s="187">
        <v>0</v>
      </c>
      <c r="Y89" s="187">
        <v>64</v>
      </c>
      <c r="Z89" s="187">
        <v>0</v>
      </c>
      <c r="AA89" s="187">
        <v>0</v>
      </c>
      <c r="AB89" s="187">
        <v>37</v>
      </c>
      <c r="AC89" s="187">
        <v>11</v>
      </c>
      <c r="AD89" s="187">
        <v>2144</v>
      </c>
      <c r="AE89" s="187">
        <v>20</v>
      </c>
      <c r="AF89" s="187">
        <v>35</v>
      </c>
      <c r="AG89" s="187">
        <v>55</v>
      </c>
      <c r="AH89" s="187"/>
      <c r="AI89" s="187"/>
      <c r="AJ89" s="187"/>
      <c r="AK89" s="187"/>
      <c r="AL89" s="187"/>
      <c r="AM89" s="187"/>
      <c r="AN89" s="187"/>
      <c r="AO89" s="187"/>
      <c r="AP89" s="187"/>
      <c r="AQ89" s="187"/>
      <c r="AR89" s="187"/>
      <c r="AS89" s="187"/>
      <c r="AT89" s="187"/>
      <c r="AU89" s="187"/>
      <c r="AV89" s="187"/>
      <c r="AW89" s="187"/>
      <c r="AX89" s="187"/>
      <c r="AY89" s="187"/>
      <c r="AZ89" s="187"/>
      <c r="BA89" s="187"/>
      <c r="BB89" s="187"/>
      <c r="BC89" s="187"/>
      <c r="BD89" s="187"/>
      <c r="BE89" s="187"/>
      <c r="BF89" s="187"/>
      <c r="BG89" s="187"/>
      <c r="BH89" s="187"/>
      <c r="BI89" s="187"/>
      <c r="BJ89" s="187"/>
      <c r="BK89" s="187"/>
      <c r="BL89" s="187"/>
      <c r="BM89" s="187"/>
      <c r="BN89" s="187"/>
      <c r="BO89" s="187"/>
      <c r="BP89" s="187"/>
      <c r="BQ89" s="187"/>
      <c r="BR89" s="187"/>
      <c r="BS89" s="187"/>
      <c r="BT89" s="187"/>
      <c r="BU89" s="187"/>
      <c r="BV89" s="187"/>
      <c r="BW89" s="187"/>
      <c r="BX89" s="187"/>
      <c r="BY89" s="187"/>
      <c r="BZ89" s="187"/>
      <c r="CA89" s="187"/>
      <c r="CB89" s="187"/>
      <c r="CC89" s="187"/>
      <c r="CD89" s="187"/>
      <c r="CE89" s="187"/>
      <c r="CF89" s="187"/>
      <c r="CG89" s="187"/>
      <c r="CH89" s="187"/>
      <c r="CI89" s="187"/>
      <c r="CJ89" s="187"/>
      <c r="CK89" s="187"/>
      <c r="CL89" s="187"/>
      <c r="CM89" s="187"/>
      <c r="CN89" s="187"/>
      <c r="CO89" s="187"/>
      <c r="CP89" s="187"/>
      <c r="CQ89" s="187"/>
      <c r="CR89" s="187"/>
      <c r="CS89" s="187"/>
      <c r="CT89" s="187"/>
      <c r="CU89" s="187"/>
      <c r="CV89" s="187"/>
      <c r="CW89" s="187"/>
      <c r="CX89" s="187"/>
      <c r="CY89" s="187"/>
      <c r="CZ89" s="187"/>
      <c r="DA89" s="187"/>
      <c r="DB89" s="187"/>
      <c r="DC89" s="187"/>
      <c r="DD89" s="187"/>
      <c r="DE89" s="187"/>
      <c r="DF89" s="187"/>
      <c r="DG89" s="187"/>
      <c r="DH89" s="187"/>
      <c r="DI89" s="187"/>
      <c r="DJ89" s="187"/>
      <c r="DK89" s="187"/>
      <c r="DL89" s="187"/>
      <c r="DM89" s="187"/>
      <c r="DN89" s="187"/>
      <c r="DO89" s="187"/>
      <c r="DP89" s="187"/>
      <c r="DQ89" s="187"/>
      <c r="DR89" s="187"/>
      <c r="DS89" s="187"/>
      <c r="DT89" s="187"/>
      <c r="DU89" s="187"/>
      <c r="DV89" s="187"/>
      <c r="DW89" s="187"/>
      <c r="DX89" s="187"/>
      <c r="DY89" s="187"/>
      <c r="DZ89" s="187"/>
      <c r="EA89" s="187"/>
      <c r="EB89" s="187"/>
      <c r="EC89" s="187"/>
      <c r="ED89" s="187"/>
      <c r="EE89" s="187"/>
      <c r="EF89" s="187"/>
      <c r="EG89" s="187"/>
      <c r="EH89" s="187"/>
      <c r="EI89" s="187"/>
      <c r="EJ89" s="187"/>
      <c r="EK89" s="187"/>
      <c r="EL89" s="187"/>
      <c r="EM89" s="187"/>
      <c r="EN89" s="187"/>
      <c r="EO89" s="187"/>
      <c r="EP89" s="187"/>
      <c r="EQ89" s="187"/>
      <c r="ER89" s="187"/>
      <c r="ES89" s="187"/>
      <c r="ET89" s="187"/>
      <c r="EU89" s="187"/>
      <c r="EV89" s="187"/>
      <c r="EW89" s="187"/>
      <c r="EX89" s="187"/>
      <c r="EY89" s="187"/>
      <c r="EZ89" s="187"/>
      <c r="FA89" s="187"/>
      <c r="FB89" s="187"/>
      <c r="FC89" s="187"/>
    </row>
    <row r="90" spans="1:159" ht="15" x14ac:dyDescent="0.25">
      <c r="A90" s="187" t="s">
        <v>236</v>
      </c>
      <c r="B90" s="187" t="s">
        <v>237</v>
      </c>
      <c r="C90" s="187">
        <v>4104</v>
      </c>
      <c r="D90" s="187">
        <v>0</v>
      </c>
      <c r="E90" s="187">
        <v>408</v>
      </c>
      <c r="F90" s="187">
        <v>790</v>
      </c>
      <c r="G90" s="187">
        <v>748</v>
      </c>
      <c r="H90" s="187">
        <v>6050</v>
      </c>
      <c r="I90" s="187">
        <v>5302</v>
      </c>
      <c r="J90" s="187">
        <v>16</v>
      </c>
      <c r="K90" s="187">
        <v>99.44</v>
      </c>
      <c r="L90" s="187">
        <v>96.92</v>
      </c>
      <c r="M90" s="187">
        <v>6.92</v>
      </c>
      <c r="N90" s="187">
        <v>105.34</v>
      </c>
      <c r="O90" s="187">
        <v>3221</v>
      </c>
      <c r="P90" s="187">
        <v>117.71</v>
      </c>
      <c r="Q90" s="187">
        <v>100.08</v>
      </c>
      <c r="R90" s="187">
        <v>60.45</v>
      </c>
      <c r="S90" s="187">
        <v>175.77</v>
      </c>
      <c r="T90" s="187">
        <v>936</v>
      </c>
      <c r="U90" s="187">
        <v>123.38</v>
      </c>
      <c r="V90" s="187">
        <v>796</v>
      </c>
      <c r="W90" s="187">
        <v>114.48</v>
      </c>
      <c r="X90" s="187">
        <v>13</v>
      </c>
      <c r="Y90" s="187">
        <v>21</v>
      </c>
      <c r="Z90" s="187">
        <v>4</v>
      </c>
      <c r="AA90" s="187">
        <v>3</v>
      </c>
      <c r="AB90" s="187">
        <v>43</v>
      </c>
      <c r="AC90" s="187">
        <v>10</v>
      </c>
      <c r="AD90" s="187">
        <v>4104</v>
      </c>
      <c r="AE90" s="187">
        <v>16</v>
      </c>
      <c r="AF90" s="187">
        <v>20</v>
      </c>
      <c r="AG90" s="187">
        <v>36</v>
      </c>
      <c r="AH90" s="187"/>
      <c r="AI90" s="187"/>
      <c r="AJ90" s="187"/>
      <c r="AK90" s="187"/>
      <c r="AL90" s="187"/>
      <c r="AM90" s="187"/>
      <c r="AN90" s="187"/>
      <c r="AO90" s="187"/>
      <c r="AP90" s="187"/>
      <c r="AQ90" s="187"/>
      <c r="AR90" s="187"/>
      <c r="AS90" s="187"/>
      <c r="AT90" s="187"/>
      <c r="AU90" s="187"/>
      <c r="AV90" s="187"/>
      <c r="AW90" s="187"/>
      <c r="AX90" s="187"/>
      <c r="AY90" s="187"/>
      <c r="AZ90" s="187"/>
      <c r="BA90" s="187"/>
      <c r="BB90" s="187"/>
      <c r="BC90" s="187"/>
      <c r="BD90" s="187"/>
      <c r="BE90" s="187"/>
      <c r="BF90" s="187"/>
      <c r="BG90" s="187"/>
      <c r="BH90" s="187"/>
      <c r="BI90" s="187"/>
      <c r="BJ90" s="187"/>
      <c r="BK90" s="187"/>
      <c r="BL90" s="187"/>
      <c r="BM90" s="187"/>
      <c r="BN90" s="187"/>
      <c r="BO90" s="187"/>
      <c r="BP90" s="187"/>
      <c r="BQ90" s="187"/>
      <c r="BR90" s="187"/>
      <c r="BS90" s="187"/>
      <c r="BT90" s="187"/>
      <c r="BU90" s="187"/>
      <c r="BV90" s="187"/>
      <c r="BW90" s="187"/>
      <c r="BX90" s="187"/>
      <c r="BY90" s="187"/>
      <c r="BZ90" s="187"/>
      <c r="CA90" s="187"/>
      <c r="CB90" s="187"/>
      <c r="CC90" s="187"/>
      <c r="CD90" s="187"/>
      <c r="CE90" s="187"/>
      <c r="CF90" s="187"/>
      <c r="CG90" s="187"/>
      <c r="CH90" s="187"/>
      <c r="CI90" s="187"/>
      <c r="CJ90" s="187"/>
      <c r="CK90" s="187"/>
      <c r="CL90" s="187"/>
      <c r="CM90" s="187"/>
      <c r="CN90" s="187"/>
      <c r="CO90" s="187"/>
      <c r="CP90" s="187"/>
      <c r="CQ90" s="187"/>
      <c r="CR90" s="187"/>
      <c r="CS90" s="187"/>
      <c r="CT90" s="187"/>
      <c r="CU90" s="187"/>
      <c r="CV90" s="187"/>
      <c r="CW90" s="187"/>
      <c r="CX90" s="187"/>
      <c r="CY90" s="187"/>
      <c r="CZ90" s="187"/>
      <c r="DA90" s="187"/>
      <c r="DB90" s="187"/>
      <c r="DC90" s="187"/>
      <c r="DD90" s="187"/>
      <c r="DE90" s="187"/>
      <c r="DF90" s="187"/>
      <c r="DG90" s="187"/>
      <c r="DH90" s="187"/>
      <c r="DI90" s="187"/>
      <c r="DJ90" s="187"/>
      <c r="DK90" s="187"/>
      <c r="DL90" s="187"/>
      <c r="DM90" s="187"/>
      <c r="DN90" s="187"/>
      <c r="DO90" s="187"/>
      <c r="DP90" s="187"/>
      <c r="DQ90" s="187"/>
      <c r="DR90" s="187"/>
      <c r="DS90" s="187"/>
      <c r="DT90" s="187"/>
      <c r="DU90" s="187"/>
      <c r="DV90" s="187"/>
      <c r="DW90" s="187"/>
      <c r="DX90" s="187"/>
      <c r="DY90" s="187"/>
      <c r="DZ90" s="187"/>
      <c r="EA90" s="187"/>
      <c r="EB90" s="187"/>
      <c r="EC90" s="187"/>
      <c r="ED90" s="187"/>
      <c r="EE90" s="187"/>
      <c r="EF90" s="187"/>
      <c r="EG90" s="187"/>
      <c r="EH90" s="187"/>
      <c r="EI90" s="187"/>
      <c r="EJ90" s="187"/>
      <c r="EK90" s="187"/>
      <c r="EL90" s="187"/>
      <c r="EM90" s="187"/>
      <c r="EN90" s="187"/>
      <c r="EO90" s="187"/>
      <c r="EP90" s="187"/>
      <c r="EQ90" s="187"/>
      <c r="ER90" s="187"/>
      <c r="ES90" s="187"/>
      <c r="ET90" s="187"/>
      <c r="EU90" s="187"/>
      <c r="EV90" s="187"/>
      <c r="EW90" s="187"/>
      <c r="EX90" s="187"/>
      <c r="EY90" s="187"/>
      <c r="EZ90" s="187"/>
      <c r="FA90" s="187"/>
      <c r="FB90" s="187"/>
      <c r="FC90" s="187"/>
    </row>
    <row r="91" spans="1:159" ht="15" x14ac:dyDescent="0.25">
      <c r="A91" s="187" t="s">
        <v>238</v>
      </c>
      <c r="B91" s="187" t="s">
        <v>239</v>
      </c>
      <c r="C91" s="187">
        <v>11430</v>
      </c>
      <c r="D91" s="187">
        <v>251</v>
      </c>
      <c r="E91" s="187">
        <v>921</v>
      </c>
      <c r="F91" s="187">
        <v>746</v>
      </c>
      <c r="G91" s="187">
        <v>3355</v>
      </c>
      <c r="H91" s="187">
        <v>16703</v>
      </c>
      <c r="I91" s="187">
        <v>13348</v>
      </c>
      <c r="J91" s="187">
        <v>55</v>
      </c>
      <c r="K91" s="187">
        <v>136.58000000000001</v>
      </c>
      <c r="L91" s="187">
        <v>134.66</v>
      </c>
      <c r="M91" s="187">
        <v>12.13</v>
      </c>
      <c r="N91" s="187">
        <v>145.4</v>
      </c>
      <c r="O91" s="187">
        <v>8350</v>
      </c>
      <c r="P91" s="187">
        <v>141.91999999999999</v>
      </c>
      <c r="Q91" s="187">
        <v>127.73</v>
      </c>
      <c r="R91" s="187">
        <v>59.37</v>
      </c>
      <c r="S91" s="187">
        <v>200.52</v>
      </c>
      <c r="T91" s="187">
        <v>1074</v>
      </c>
      <c r="U91" s="187">
        <v>211.15</v>
      </c>
      <c r="V91" s="187">
        <v>1947</v>
      </c>
      <c r="W91" s="187">
        <v>207.96</v>
      </c>
      <c r="X91" s="187">
        <v>44</v>
      </c>
      <c r="Y91" s="187">
        <v>40</v>
      </c>
      <c r="Z91" s="187">
        <v>3</v>
      </c>
      <c r="AA91" s="187">
        <v>11</v>
      </c>
      <c r="AB91" s="187">
        <v>357</v>
      </c>
      <c r="AC91" s="187">
        <v>86</v>
      </c>
      <c r="AD91" s="187">
        <v>10749</v>
      </c>
      <c r="AE91" s="187">
        <v>221</v>
      </c>
      <c r="AF91" s="187">
        <v>80</v>
      </c>
      <c r="AG91" s="187">
        <v>301</v>
      </c>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7"/>
      <c r="BD91" s="187"/>
      <c r="BE91" s="187"/>
      <c r="BF91" s="187"/>
      <c r="BG91" s="187"/>
      <c r="BH91" s="187"/>
      <c r="BI91" s="187"/>
      <c r="BJ91" s="187"/>
      <c r="BK91" s="187"/>
      <c r="BL91" s="187"/>
      <c r="BM91" s="187"/>
      <c r="BN91" s="187"/>
      <c r="BO91" s="187"/>
      <c r="BP91" s="187"/>
      <c r="BQ91" s="187"/>
      <c r="BR91" s="187"/>
      <c r="BS91" s="187"/>
      <c r="BT91" s="187"/>
      <c r="BU91" s="187"/>
      <c r="BV91" s="187"/>
      <c r="BW91" s="187"/>
      <c r="BX91" s="187"/>
      <c r="BY91" s="187"/>
      <c r="BZ91" s="187"/>
      <c r="CA91" s="187"/>
      <c r="CB91" s="187"/>
      <c r="CC91" s="187"/>
      <c r="CD91" s="187"/>
      <c r="CE91" s="187"/>
      <c r="CF91" s="187"/>
      <c r="CG91" s="187"/>
      <c r="CH91" s="187"/>
      <c r="CI91" s="187"/>
      <c r="CJ91" s="187"/>
      <c r="CK91" s="187"/>
      <c r="CL91" s="187"/>
      <c r="CM91" s="187"/>
      <c r="CN91" s="187"/>
      <c r="CO91" s="187"/>
      <c r="CP91" s="187"/>
      <c r="CQ91" s="187"/>
      <c r="CR91" s="187"/>
      <c r="CS91" s="187"/>
      <c r="CT91" s="187"/>
      <c r="CU91" s="187"/>
      <c r="CV91" s="187"/>
      <c r="CW91" s="187"/>
      <c r="CX91" s="187"/>
      <c r="CY91" s="187"/>
      <c r="CZ91" s="187"/>
      <c r="DA91" s="187"/>
      <c r="DB91" s="187"/>
      <c r="DC91" s="187"/>
      <c r="DD91" s="187"/>
      <c r="DE91" s="187"/>
      <c r="DF91" s="187"/>
      <c r="DG91" s="187"/>
      <c r="DH91" s="187"/>
      <c r="DI91" s="187"/>
      <c r="DJ91" s="187"/>
      <c r="DK91" s="187"/>
      <c r="DL91" s="187"/>
      <c r="DM91" s="187"/>
      <c r="DN91" s="187"/>
      <c r="DO91" s="187"/>
      <c r="DP91" s="187"/>
      <c r="DQ91" s="187"/>
      <c r="DR91" s="187"/>
      <c r="DS91" s="187"/>
      <c r="DT91" s="187"/>
      <c r="DU91" s="187"/>
      <c r="DV91" s="187"/>
      <c r="DW91" s="187"/>
      <c r="DX91" s="187"/>
      <c r="DY91" s="187"/>
      <c r="DZ91" s="187"/>
      <c r="EA91" s="187"/>
      <c r="EB91" s="187"/>
      <c r="EC91" s="187"/>
      <c r="ED91" s="187"/>
      <c r="EE91" s="187"/>
      <c r="EF91" s="187"/>
      <c r="EG91" s="187"/>
      <c r="EH91" s="187"/>
      <c r="EI91" s="187"/>
      <c r="EJ91" s="187"/>
      <c r="EK91" s="187"/>
      <c r="EL91" s="187"/>
      <c r="EM91" s="187"/>
      <c r="EN91" s="187"/>
      <c r="EO91" s="187"/>
      <c r="EP91" s="187"/>
      <c r="EQ91" s="187"/>
      <c r="ER91" s="187"/>
      <c r="ES91" s="187"/>
      <c r="ET91" s="187"/>
      <c r="EU91" s="187"/>
      <c r="EV91" s="187"/>
      <c r="EW91" s="187"/>
      <c r="EX91" s="187"/>
      <c r="EY91" s="187"/>
      <c r="EZ91" s="187"/>
      <c r="FA91" s="187"/>
      <c r="FB91" s="187"/>
      <c r="FC91" s="187"/>
    </row>
    <row r="92" spans="1:159" ht="15" x14ac:dyDescent="0.25">
      <c r="A92" s="187" t="s">
        <v>240</v>
      </c>
      <c r="B92" s="187" t="s">
        <v>241</v>
      </c>
      <c r="C92" s="187">
        <v>4416</v>
      </c>
      <c r="D92" s="187">
        <v>5</v>
      </c>
      <c r="E92" s="187">
        <v>114</v>
      </c>
      <c r="F92" s="187">
        <v>1016</v>
      </c>
      <c r="G92" s="187">
        <v>561</v>
      </c>
      <c r="H92" s="187">
        <v>6112</v>
      </c>
      <c r="I92" s="187">
        <v>5551</v>
      </c>
      <c r="J92" s="187">
        <v>85</v>
      </c>
      <c r="K92" s="187">
        <v>108.85</v>
      </c>
      <c r="L92" s="187">
        <v>108.67</v>
      </c>
      <c r="M92" s="187">
        <v>3.52</v>
      </c>
      <c r="N92" s="187">
        <v>110.25</v>
      </c>
      <c r="O92" s="187">
        <v>3694</v>
      </c>
      <c r="P92" s="187">
        <v>102.4</v>
      </c>
      <c r="Q92" s="187">
        <v>100.28</v>
      </c>
      <c r="R92" s="187">
        <v>32.06</v>
      </c>
      <c r="S92" s="187">
        <v>134.28</v>
      </c>
      <c r="T92" s="187">
        <v>1120</v>
      </c>
      <c r="U92" s="187">
        <v>151.07</v>
      </c>
      <c r="V92" s="187">
        <v>631</v>
      </c>
      <c r="W92" s="187">
        <v>0</v>
      </c>
      <c r="X92" s="187">
        <v>0</v>
      </c>
      <c r="Y92" s="187">
        <v>0</v>
      </c>
      <c r="Z92" s="187">
        <v>2</v>
      </c>
      <c r="AA92" s="187">
        <v>2</v>
      </c>
      <c r="AB92" s="187">
        <v>50</v>
      </c>
      <c r="AC92" s="187">
        <v>10</v>
      </c>
      <c r="AD92" s="187">
        <v>4403</v>
      </c>
      <c r="AE92" s="187">
        <v>24</v>
      </c>
      <c r="AF92" s="187">
        <v>148</v>
      </c>
      <c r="AG92" s="187">
        <v>172</v>
      </c>
      <c r="AH92" s="187"/>
      <c r="AI92" s="187"/>
      <c r="AJ92" s="187"/>
      <c r="AK92" s="187"/>
      <c r="AL92" s="187"/>
      <c r="AM92" s="187"/>
      <c r="AN92" s="187"/>
      <c r="AO92" s="187"/>
      <c r="AP92" s="187"/>
      <c r="AQ92" s="187"/>
      <c r="AR92" s="187"/>
      <c r="AS92" s="187"/>
      <c r="AT92" s="187"/>
      <c r="AU92" s="187"/>
      <c r="AV92" s="187"/>
      <c r="AW92" s="187"/>
      <c r="AX92" s="187"/>
      <c r="AY92" s="187"/>
      <c r="AZ92" s="187"/>
      <c r="BA92" s="187"/>
      <c r="BB92" s="187"/>
      <c r="BC92" s="187"/>
      <c r="BD92" s="187"/>
      <c r="BE92" s="187"/>
      <c r="BF92" s="187"/>
      <c r="BG92" s="187"/>
      <c r="BH92" s="187"/>
      <c r="BI92" s="187"/>
      <c r="BJ92" s="187"/>
      <c r="BK92" s="187"/>
      <c r="BL92" s="187"/>
      <c r="BM92" s="187"/>
      <c r="BN92" s="187"/>
      <c r="BO92" s="187"/>
      <c r="BP92" s="187"/>
      <c r="BQ92" s="187"/>
      <c r="BR92" s="187"/>
      <c r="BS92" s="187"/>
      <c r="BT92" s="187"/>
      <c r="BU92" s="187"/>
      <c r="BV92" s="187"/>
      <c r="BW92" s="187"/>
      <c r="BX92" s="187"/>
      <c r="BY92" s="187"/>
      <c r="BZ92" s="187"/>
      <c r="CA92" s="187"/>
      <c r="CB92" s="187"/>
      <c r="CC92" s="187"/>
      <c r="CD92" s="187"/>
      <c r="CE92" s="187"/>
      <c r="CF92" s="187"/>
      <c r="CG92" s="187"/>
      <c r="CH92" s="187"/>
      <c r="CI92" s="187"/>
      <c r="CJ92" s="187"/>
      <c r="CK92" s="187"/>
      <c r="CL92" s="187"/>
      <c r="CM92" s="187"/>
      <c r="CN92" s="187"/>
      <c r="CO92" s="187"/>
      <c r="CP92" s="187"/>
      <c r="CQ92" s="187"/>
      <c r="CR92" s="187"/>
      <c r="CS92" s="187"/>
      <c r="CT92" s="187"/>
      <c r="CU92" s="187"/>
      <c r="CV92" s="187"/>
      <c r="CW92" s="187"/>
      <c r="CX92" s="187"/>
      <c r="CY92" s="187"/>
      <c r="CZ92" s="187"/>
      <c r="DA92" s="187"/>
      <c r="DB92" s="187"/>
      <c r="DC92" s="187"/>
      <c r="DD92" s="187"/>
      <c r="DE92" s="187"/>
      <c r="DF92" s="187"/>
      <c r="DG92" s="187"/>
      <c r="DH92" s="187"/>
      <c r="DI92" s="187"/>
      <c r="DJ92" s="187"/>
      <c r="DK92" s="187"/>
      <c r="DL92" s="187"/>
      <c r="DM92" s="187"/>
      <c r="DN92" s="187"/>
      <c r="DO92" s="187"/>
      <c r="DP92" s="187"/>
      <c r="DQ92" s="187"/>
      <c r="DR92" s="187"/>
      <c r="DS92" s="187"/>
      <c r="DT92" s="187"/>
      <c r="DU92" s="187"/>
      <c r="DV92" s="187"/>
      <c r="DW92" s="187"/>
      <c r="DX92" s="187"/>
      <c r="DY92" s="187"/>
      <c r="DZ92" s="187"/>
      <c r="EA92" s="187"/>
      <c r="EB92" s="187"/>
      <c r="EC92" s="187"/>
      <c r="ED92" s="187"/>
      <c r="EE92" s="187"/>
      <c r="EF92" s="187"/>
      <c r="EG92" s="187"/>
      <c r="EH92" s="187"/>
      <c r="EI92" s="187"/>
      <c r="EJ92" s="187"/>
      <c r="EK92" s="187"/>
      <c r="EL92" s="187"/>
      <c r="EM92" s="187"/>
      <c r="EN92" s="187"/>
      <c r="EO92" s="187"/>
      <c r="EP92" s="187"/>
      <c r="EQ92" s="187"/>
      <c r="ER92" s="187"/>
      <c r="ES92" s="187"/>
      <c r="ET92" s="187"/>
      <c r="EU92" s="187"/>
      <c r="EV92" s="187"/>
      <c r="EW92" s="187"/>
      <c r="EX92" s="187"/>
      <c r="EY92" s="187"/>
      <c r="EZ92" s="187"/>
      <c r="FA92" s="187"/>
      <c r="FB92" s="187"/>
      <c r="FC92" s="187"/>
    </row>
    <row r="93" spans="1:159" ht="15" x14ac:dyDescent="0.25">
      <c r="A93" s="187" t="s">
        <v>242</v>
      </c>
      <c r="B93" s="187" t="s">
        <v>243</v>
      </c>
      <c r="C93" s="187">
        <v>2699</v>
      </c>
      <c r="D93" s="187">
        <v>1</v>
      </c>
      <c r="E93" s="187">
        <v>206</v>
      </c>
      <c r="F93" s="187">
        <v>146</v>
      </c>
      <c r="G93" s="187">
        <v>980</v>
      </c>
      <c r="H93" s="187">
        <v>4032</v>
      </c>
      <c r="I93" s="187">
        <v>3052</v>
      </c>
      <c r="J93" s="187">
        <v>2</v>
      </c>
      <c r="K93" s="187">
        <v>99.5</v>
      </c>
      <c r="L93" s="187">
        <v>95.66</v>
      </c>
      <c r="M93" s="187">
        <v>4.3499999999999996</v>
      </c>
      <c r="N93" s="187">
        <v>102.79</v>
      </c>
      <c r="O93" s="187">
        <v>1660</v>
      </c>
      <c r="P93" s="187">
        <v>112.05</v>
      </c>
      <c r="Q93" s="187">
        <v>78.3</v>
      </c>
      <c r="R93" s="187">
        <v>56.6</v>
      </c>
      <c r="S93" s="187">
        <v>166.06</v>
      </c>
      <c r="T93" s="187">
        <v>262</v>
      </c>
      <c r="U93" s="187">
        <v>142.27000000000001</v>
      </c>
      <c r="V93" s="187">
        <v>857</v>
      </c>
      <c r="W93" s="187">
        <v>0</v>
      </c>
      <c r="X93" s="187">
        <v>0</v>
      </c>
      <c r="Y93" s="187">
        <v>0</v>
      </c>
      <c r="Z93" s="187">
        <v>1</v>
      </c>
      <c r="AA93" s="187">
        <v>1</v>
      </c>
      <c r="AB93" s="187">
        <v>43</v>
      </c>
      <c r="AC93" s="187">
        <v>18</v>
      </c>
      <c r="AD93" s="187">
        <v>2690</v>
      </c>
      <c r="AE93" s="187">
        <v>14</v>
      </c>
      <c r="AF93" s="187">
        <v>2</v>
      </c>
      <c r="AG93" s="187">
        <v>16</v>
      </c>
      <c r="AH93" s="187"/>
      <c r="AI93" s="187"/>
      <c r="AJ93" s="187"/>
      <c r="AK93" s="187"/>
      <c r="AL93" s="187"/>
      <c r="AM93" s="187"/>
      <c r="AN93" s="187"/>
      <c r="AO93" s="187"/>
      <c r="AP93" s="187"/>
      <c r="AQ93" s="187"/>
      <c r="AR93" s="187"/>
      <c r="AS93" s="187"/>
      <c r="AT93" s="187"/>
      <c r="AU93" s="187"/>
      <c r="AV93" s="187"/>
      <c r="AW93" s="187"/>
      <c r="AX93" s="187"/>
      <c r="AY93" s="187"/>
      <c r="AZ93" s="187"/>
      <c r="BA93" s="187"/>
      <c r="BB93" s="187"/>
      <c r="BC93" s="187"/>
      <c r="BD93" s="187"/>
      <c r="BE93" s="187"/>
      <c r="BF93" s="187"/>
      <c r="BG93" s="187"/>
      <c r="BH93" s="187"/>
      <c r="BI93" s="187"/>
      <c r="BJ93" s="187"/>
      <c r="BK93" s="187"/>
      <c r="BL93" s="187"/>
      <c r="BM93" s="187"/>
      <c r="BN93" s="187"/>
      <c r="BO93" s="187"/>
      <c r="BP93" s="187"/>
      <c r="BQ93" s="187"/>
      <c r="BR93" s="187"/>
      <c r="BS93" s="187"/>
      <c r="BT93" s="187"/>
      <c r="BU93" s="187"/>
      <c r="BV93" s="187"/>
      <c r="BW93" s="187"/>
      <c r="BX93" s="187"/>
      <c r="BY93" s="187"/>
      <c r="BZ93" s="187"/>
      <c r="CA93" s="187"/>
      <c r="CB93" s="187"/>
      <c r="CC93" s="187"/>
      <c r="CD93" s="187"/>
      <c r="CE93" s="187"/>
      <c r="CF93" s="187"/>
      <c r="CG93" s="187"/>
      <c r="CH93" s="187"/>
      <c r="CI93" s="187"/>
      <c r="CJ93" s="187"/>
      <c r="CK93" s="187"/>
      <c r="CL93" s="187"/>
      <c r="CM93" s="187"/>
      <c r="CN93" s="187"/>
      <c r="CO93" s="187"/>
      <c r="CP93" s="187"/>
      <c r="CQ93" s="187"/>
      <c r="CR93" s="187"/>
      <c r="CS93" s="187"/>
      <c r="CT93" s="187"/>
      <c r="CU93" s="187"/>
      <c r="CV93" s="187"/>
      <c r="CW93" s="187"/>
      <c r="CX93" s="187"/>
      <c r="CY93" s="187"/>
      <c r="CZ93" s="187"/>
      <c r="DA93" s="187"/>
      <c r="DB93" s="187"/>
      <c r="DC93" s="187"/>
      <c r="DD93" s="187"/>
      <c r="DE93" s="187"/>
      <c r="DF93" s="187"/>
      <c r="DG93" s="187"/>
      <c r="DH93" s="187"/>
      <c r="DI93" s="187"/>
      <c r="DJ93" s="187"/>
      <c r="DK93" s="187"/>
      <c r="DL93" s="187"/>
      <c r="DM93" s="187"/>
      <c r="DN93" s="187"/>
      <c r="DO93" s="187"/>
      <c r="DP93" s="187"/>
      <c r="DQ93" s="187"/>
      <c r="DR93" s="187"/>
      <c r="DS93" s="187"/>
      <c r="DT93" s="187"/>
      <c r="DU93" s="187"/>
      <c r="DV93" s="187"/>
      <c r="DW93" s="187"/>
      <c r="DX93" s="187"/>
      <c r="DY93" s="187"/>
      <c r="DZ93" s="187"/>
      <c r="EA93" s="187"/>
      <c r="EB93" s="187"/>
      <c r="EC93" s="187"/>
      <c r="ED93" s="187"/>
      <c r="EE93" s="187"/>
      <c r="EF93" s="187"/>
      <c r="EG93" s="187"/>
      <c r="EH93" s="187"/>
      <c r="EI93" s="187"/>
      <c r="EJ93" s="187"/>
      <c r="EK93" s="187"/>
      <c r="EL93" s="187"/>
      <c r="EM93" s="187"/>
      <c r="EN93" s="187"/>
      <c r="EO93" s="187"/>
      <c r="EP93" s="187"/>
      <c r="EQ93" s="187"/>
      <c r="ER93" s="187"/>
      <c r="ES93" s="187"/>
      <c r="ET93" s="187"/>
      <c r="EU93" s="187"/>
      <c r="EV93" s="187"/>
      <c r="EW93" s="187"/>
      <c r="EX93" s="187"/>
      <c r="EY93" s="187"/>
      <c r="EZ93" s="187"/>
      <c r="FA93" s="187"/>
      <c r="FB93" s="187"/>
      <c r="FC93" s="187"/>
    </row>
    <row r="94" spans="1:159" ht="15" x14ac:dyDescent="0.25">
      <c r="A94" s="187" t="s">
        <v>244</v>
      </c>
      <c r="B94" s="187" t="s">
        <v>245</v>
      </c>
      <c r="C94" s="187">
        <v>5947</v>
      </c>
      <c r="D94" s="187">
        <v>0</v>
      </c>
      <c r="E94" s="187">
        <v>124</v>
      </c>
      <c r="F94" s="187">
        <v>792</v>
      </c>
      <c r="G94" s="187">
        <v>795</v>
      </c>
      <c r="H94" s="187">
        <v>7658</v>
      </c>
      <c r="I94" s="187">
        <v>6863</v>
      </c>
      <c r="J94" s="187">
        <v>14</v>
      </c>
      <c r="K94" s="187">
        <v>122.71</v>
      </c>
      <c r="L94" s="187">
        <v>120.08</v>
      </c>
      <c r="M94" s="187">
        <v>4.72</v>
      </c>
      <c r="N94" s="187">
        <v>124.51</v>
      </c>
      <c r="O94" s="187">
        <v>4259</v>
      </c>
      <c r="P94" s="187">
        <v>104.96</v>
      </c>
      <c r="Q94" s="187">
        <v>99.48</v>
      </c>
      <c r="R94" s="187">
        <v>21.48</v>
      </c>
      <c r="S94" s="187">
        <v>125.92</v>
      </c>
      <c r="T94" s="187">
        <v>877</v>
      </c>
      <c r="U94" s="187">
        <v>170.85</v>
      </c>
      <c r="V94" s="187">
        <v>1308</v>
      </c>
      <c r="W94" s="187">
        <v>134.08000000000001</v>
      </c>
      <c r="X94" s="187">
        <v>8</v>
      </c>
      <c r="Y94" s="187">
        <v>0</v>
      </c>
      <c r="Z94" s="187">
        <v>3</v>
      </c>
      <c r="AA94" s="187">
        <v>8</v>
      </c>
      <c r="AB94" s="187">
        <v>60</v>
      </c>
      <c r="AC94" s="187">
        <v>10</v>
      </c>
      <c r="AD94" s="187">
        <v>5673</v>
      </c>
      <c r="AE94" s="187">
        <v>9</v>
      </c>
      <c r="AF94" s="187">
        <v>37</v>
      </c>
      <c r="AG94" s="187">
        <v>46</v>
      </c>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c r="BI94" s="187"/>
      <c r="BJ94" s="187"/>
      <c r="BK94" s="187"/>
      <c r="BL94" s="187"/>
      <c r="BM94" s="187"/>
      <c r="BN94" s="187"/>
      <c r="BO94" s="187"/>
      <c r="BP94" s="187"/>
      <c r="BQ94" s="187"/>
      <c r="BR94" s="187"/>
      <c r="BS94" s="187"/>
      <c r="BT94" s="187"/>
      <c r="BU94" s="187"/>
      <c r="BV94" s="187"/>
      <c r="BW94" s="187"/>
      <c r="BX94" s="187"/>
      <c r="BY94" s="187"/>
      <c r="BZ94" s="187"/>
      <c r="CA94" s="187"/>
      <c r="CB94" s="187"/>
      <c r="CC94" s="187"/>
      <c r="CD94" s="187"/>
      <c r="CE94" s="187"/>
      <c r="CF94" s="187"/>
      <c r="CG94" s="187"/>
      <c r="CH94" s="187"/>
      <c r="CI94" s="187"/>
      <c r="CJ94" s="187"/>
      <c r="CK94" s="187"/>
      <c r="CL94" s="187"/>
      <c r="CM94" s="187"/>
      <c r="CN94" s="187"/>
      <c r="CO94" s="187"/>
      <c r="CP94" s="187"/>
      <c r="CQ94" s="187"/>
      <c r="CR94" s="187"/>
      <c r="CS94" s="187"/>
      <c r="CT94" s="187"/>
      <c r="CU94" s="187"/>
      <c r="CV94" s="187"/>
      <c r="CW94" s="187"/>
      <c r="CX94" s="187"/>
      <c r="CY94" s="187"/>
      <c r="CZ94" s="187"/>
      <c r="DA94" s="187"/>
      <c r="DB94" s="187"/>
      <c r="DC94" s="187"/>
      <c r="DD94" s="187"/>
      <c r="DE94" s="187"/>
      <c r="DF94" s="187"/>
      <c r="DG94" s="187"/>
      <c r="DH94" s="187"/>
      <c r="DI94" s="187"/>
      <c r="DJ94" s="187"/>
      <c r="DK94" s="187"/>
      <c r="DL94" s="187"/>
      <c r="DM94" s="187"/>
      <c r="DN94" s="187"/>
      <c r="DO94" s="187"/>
      <c r="DP94" s="187"/>
      <c r="DQ94" s="187"/>
      <c r="DR94" s="187"/>
      <c r="DS94" s="187"/>
      <c r="DT94" s="187"/>
      <c r="DU94" s="187"/>
      <c r="DV94" s="187"/>
      <c r="DW94" s="187"/>
      <c r="DX94" s="187"/>
      <c r="DY94" s="187"/>
      <c r="DZ94" s="187"/>
      <c r="EA94" s="187"/>
      <c r="EB94" s="187"/>
      <c r="EC94" s="187"/>
      <c r="ED94" s="187"/>
      <c r="EE94" s="187"/>
      <c r="EF94" s="187"/>
      <c r="EG94" s="187"/>
      <c r="EH94" s="187"/>
      <c r="EI94" s="187"/>
      <c r="EJ94" s="187"/>
      <c r="EK94" s="187"/>
      <c r="EL94" s="187"/>
      <c r="EM94" s="187"/>
      <c r="EN94" s="187"/>
      <c r="EO94" s="187"/>
      <c r="EP94" s="187"/>
      <c r="EQ94" s="187"/>
      <c r="ER94" s="187"/>
      <c r="ES94" s="187"/>
      <c r="ET94" s="187"/>
      <c r="EU94" s="187"/>
      <c r="EV94" s="187"/>
      <c r="EW94" s="187"/>
      <c r="EX94" s="187"/>
      <c r="EY94" s="187"/>
      <c r="EZ94" s="187"/>
      <c r="FA94" s="187"/>
      <c r="FB94" s="187"/>
      <c r="FC94" s="187"/>
    </row>
    <row r="95" spans="1:159" ht="15" x14ac:dyDescent="0.25">
      <c r="A95" s="187" t="s">
        <v>246</v>
      </c>
      <c r="B95" s="187" t="s">
        <v>247</v>
      </c>
      <c r="C95" s="187">
        <v>7436</v>
      </c>
      <c r="D95" s="187">
        <v>0</v>
      </c>
      <c r="E95" s="187">
        <v>175</v>
      </c>
      <c r="F95" s="187">
        <v>1055</v>
      </c>
      <c r="G95" s="187">
        <v>1053</v>
      </c>
      <c r="H95" s="187">
        <v>9719</v>
      </c>
      <c r="I95" s="187">
        <v>8666</v>
      </c>
      <c r="J95" s="187">
        <v>85</v>
      </c>
      <c r="K95" s="187">
        <v>123.74</v>
      </c>
      <c r="L95" s="187">
        <v>122.84</v>
      </c>
      <c r="M95" s="187">
        <v>6.46</v>
      </c>
      <c r="N95" s="187">
        <v>126.7</v>
      </c>
      <c r="O95" s="187">
        <v>5135</v>
      </c>
      <c r="P95" s="187">
        <v>112.8</v>
      </c>
      <c r="Q95" s="187">
        <v>105.49</v>
      </c>
      <c r="R95" s="187">
        <v>35.909999999999997</v>
      </c>
      <c r="S95" s="187">
        <v>147.54</v>
      </c>
      <c r="T95" s="187">
        <v>1188</v>
      </c>
      <c r="U95" s="187">
        <v>182.75</v>
      </c>
      <c r="V95" s="187">
        <v>2213</v>
      </c>
      <c r="W95" s="187">
        <v>0</v>
      </c>
      <c r="X95" s="187">
        <v>0</v>
      </c>
      <c r="Y95" s="187">
        <v>2</v>
      </c>
      <c r="Z95" s="187">
        <v>7</v>
      </c>
      <c r="AA95" s="187">
        <v>4</v>
      </c>
      <c r="AB95" s="187">
        <v>68</v>
      </c>
      <c r="AC95" s="187">
        <v>20</v>
      </c>
      <c r="AD95" s="187">
        <v>7410</v>
      </c>
      <c r="AE95" s="187">
        <v>99</v>
      </c>
      <c r="AF95" s="187">
        <v>51</v>
      </c>
      <c r="AG95" s="187">
        <v>150</v>
      </c>
      <c r="AH95" s="187"/>
      <c r="AI95" s="187"/>
      <c r="AJ95" s="187"/>
      <c r="AK95" s="187"/>
      <c r="AL95" s="187"/>
      <c r="AM95" s="187"/>
      <c r="AN95" s="187"/>
      <c r="AO95" s="187"/>
      <c r="AP95" s="187"/>
      <c r="AQ95" s="187"/>
      <c r="AR95" s="187"/>
      <c r="AS95" s="187"/>
      <c r="AT95" s="187"/>
      <c r="AU95" s="187"/>
      <c r="AV95" s="187"/>
      <c r="AW95" s="187"/>
      <c r="AX95" s="187"/>
      <c r="AY95" s="187"/>
      <c r="AZ95" s="187"/>
      <c r="BA95" s="187"/>
      <c r="BB95" s="187"/>
      <c r="BC95" s="187"/>
      <c r="BD95" s="187"/>
      <c r="BE95" s="187"/>
      <c r="BF95" s="187"/>
      <c r="BG95" s="187"/>
      <c r="BH95" s="187"/>
      <c r="BI95" s="187"/>
      <c r="BJ95" s="187"/>
      <c r="BK95" s="187"/>
      <c r="BL95" s="187"/>
      <c r="BM95" s="187"/>
      <c r="BN95" s="187"/>
      <c r="BO95" s="187"/>
      <c r="BP95" s="187"/>
      <c r="BQ95" s="187"/>
      <c r="BR95" s="187"/>
      <c r="BS95" s="187"/>
      <c r="BT95" s="187"/>
      <c r="BU95" s="187"/>
      <c r="BV95" s="187"/>
      <c r="BW95" s="187"/>
      <c r="BX95" s="187"/>
      <c r="BY95" s="187"/>
      <c r="BZ95" s="187"/>
      <c r="CA95" s="187"/>
      <c r="CB95" s="187"/>
      <c r="CC95" s="187"/>
      <c r="CD95" s="187"/>
      <c r="CE95" s="187"/>
      <c r="CF95" s="187"/>
      <c r="CG95" s="187"/>
      <c r="CH95" s="187"/>
      <c r="CI95" s="187"/>
      <c r="CJ95" s="187"/>
      <c r="CK95" s="187"/>
      <c r="CL95" s="187"/>
      <c r="CM95" s="187"/>
      <c r="CN95" s="187"/>
      <c r="CO95" s="187"/>
      <c r="CP95" s="187"/>
      <c r="CQ95" s="187"/>
      <c r="CR95" s="187"/>
      <c r="CS95" s="187"/>
      <c r="CT95" s="187"/>
      <c r="CU95" s="187"/>
      <c r="CV95" s="187"/>
      <c r="CW95" s="187"/>
      <c r="CX95" s="187"/>
      <c r="CY95" s="187"/>
      <c r="CZ95" s="187"/>
      <c r="DA95" s="187"/>
      <c r="DB95" s="187"/>
      <c r="DC95" s="187"/>
      <c r="DD95" s="187"/>
      <c r="DE95" s="187"/>
      <c r="DF95" s="187"/>
      <c r="DG95" s="187"/>
      <c r="DH95" s="187"/>
      <c r="DI95" s="187"/>
      <c r="DJ95" s="187"/>
      <c r="DK95" s="187"/>
      <c r="DL95" s="187"/>
      <c r="DM95" s="187"/>
      <c r="DN95" s="187"/>
      <c r="DO95" s="187"/>
      <c r="DP95" s="187"/>
      <c r="DQ95" s="187"/>
      <c r="DR95" s="187"/>
      <c r="DS95" s="187"/>
      <c r="DT95" s="187"/>
      <c r="DU95" s="187"/>
      <c r="DV95" s="187"/>
      <c r="DW95" s="187"/>
      <c r="DX95" s="187"/>
      <c r="DY95" s="187"/>
      <c r="DZ95" s="187"/>
      <c r="EA95" s="187"/>
      <c r="EB95" s="187"/>
      <c r="EC95" s="187"/>
      <c r="ED95" s="187"/>
      <c r="EE95" s="187"/>
      <c r="EF95" s="187"/>
      <c r="EG95" s="187"/>
      <c r="EH95" s="187"/>
      <c r="EI95" s="187"/>
      <c r="EJ95" s="187"/>
      <c r="EK95" s="187"/>
      <c r="EL95" s="187"/>
      <c r="EM95" s="187"/>
      <c r="EN95" s="187"/>
      <c r="EO95" s="187"/>
      <c r="EP95" s="187"/>
      <c r="EQ95" s="187"/>
      <c r="ER95" s="187"/>
      <c r="ES95" s="187"/>
      <c r="ET95" s="187"/>
      <c r="EU95" s="187"/>
      <c r="EV95" s="187"/>
      <c r="EW95" s="187"/>
      <c r="EX95" s="187"/>
      <c r="EY95" s="187"/>
      <c r="EZ95" s="187"/>
      <c r="FA95" s="187"/>
      <c r="FB95" s="187"/>
      <c r="FC95" s="187"/>
    </row>
    <row r="96" spans="1:159" ht="15" x14ac:dyDescent="0.25">
      <c r="A96" s="187" t="s">
        <v>248</v>
      </c>
      <c r="B96" s="187" t="s">
        <v>249</v>
      </c>
      <c r="C96" s="187">
        <v>6972</v>
      </c>
      <c r="D96" s="187">
        <v>0</v>
      </c>
      <c r="E96" s="187">
        <v>194</v>
      </c>
      <c r="F96" s="187">
        <v>577</v>
      </c>
      <c r="G96" s="187">
        <v>666</v>
      </c>
      <c r="H96" s="187">
        <v>8409</v>
      </c>
      <c r="I96" s="187">
        <v>7743</v>
      </c>
      <c r="J96" s="187">
        <v>2</v>
      </c>
      <c r="K96" s="187">
        <v>88.49</v>
      </c>
      <c r="L96" s="187">
        <v>88.01</v>
      </c>
      <c r="M96" s="187">
        <v>3.23</v>
      </c>
      <c r="N96" s="187">
        <v>91.11</v>
      </c>
      <c r="O96" s="187">
        <v>5137</v>
      </c>
      <c r="P96" s="187">
        <v>87.52</v>
      </c>
      <c r="Q96" s="187">
        <v>81.52</v>
      </c>
      <c r="R96" s="187">
        <v>37.54</v>
      </c>
      <c r="S96" s="187">
        <v>123.98</v>
      </c>
      <c r="T96" s="187">
        <v>725</v>
      </c>
      <c r="U96" s="187">
        <v>100.64</v>
      </c>
      <c r="V96" s="187">
        <v>1597</v>
      </c>
      <c r="W96" s="187">
        <v>161.71</v>
      </c>
      <c r="X96" s="187">
        <v>40</v>
      </c>
      <c r="Y96" s="187">
        <v>0</v>
      </c>
      <c r="Z96" s="187">
        <v>9</v>
      </c>
      <c r="AA96" s="187">
        <v>1</v>
      </c>
      <c r="AB96" s="187">
        <v>30</v>
      </c>
      <c r="AC96" s="187">
        <v>9</v>
      </c>
      <c r="AD96" s="187">
        <v>6813</v>
      </c>
      <c r="AE96" s="187">
        <v>60</v>
      </c>
      <c r="AF96" s="187">
        <v>55</v>
      </c>
      <c r="AG96" s="187">
        <v>115</v>
      </c>
      <c r="AH96" s="187"/>
      <c r="AI96" s="187"/>
      <c r="AJ96" s="187"/>
      <c r="AK96" s="187"/>
      <c r="AL96" s="187"/>
      <c r="AM96" s="187"/>
      <c r="AN96" s="187"/>
      <c r="AO96" s="187"/>
      <c r="AP96" s="187"/>
      <c r="AQ96" s="187"/>
      <c r="AR96" s="187"/>
      <c r="AS96" s="187"/>
      <c r="AT96" s="187"/>
      <c r="AU96" s="187"/>
      <c r="AV96" s="187"/>
      <c r="AW96" s="187"/>
      <c r="AX96" s="187"/>
      <c r="AY96" s="187"/>
      <c r="AZ96" s="187"/>
      <c r="BA96" s="187"/>
      <c r="BB96" s="187"/>
      <c r="BC96" s="187"/>
      <c r="BD96" s="187"/>
      <c r="BE96" s="187"/>
      <c r="BF96" s="187"/>
      <c r="BG96" s="187"/>
      <c r="BH96" s="187"/>
      <c r="BI96" s="187"/>
      <c r="BJ96" s="187"/>
      <c r="BK96" s="187"/>
      <c r="BL96" s="187"/>
      <c r="BM96" s="187"/>
      <c r="BN96" s="187"/>
      <c r="BO96" s="187"/>
      <c r="BP96" s="187"/>
      <c r="BQ96" s="187"/>
      <c r="BR96" s="187"/>
      <c r="BS96" s="187"/>
      <c r="BT96" s="187"/>
      <c r="BU96" s="187"/>
      <c r="BV96" s="187"/>
      <c r="BW96" s="187"/>
      <c r="BX96" s="187"/>
      <c r="BY96" s="187"/>
      <c r="BZ96" s="187"/>
      <c r="CA96" s="187"/>
      <c r="CB96" s="187"/>
      <c r="CC96" s="187"/>
      <c r="CD96" s="187"/>
      <c r="CE96" s="187"/>
      <c r="CF96" s="187"/>
      <c r="CG96" s="187"/>
      <c r="CH96" s="187"/>
      <c r="CI96" s="187"/>
      <c r="CJ96" s="187"/>
      <c r="CK96" s="187"/>
      <c r="CL96" s="187"/>
      <c r="CM96" s="187"/>
      <c r="CN96" s="187"/>
      <c r="CO96" s="187"/>
      <c r="CP96" s="187"/>
      <c r="CQ96" s="187"/>
      <c r="CR96" s="187"/>
      <c r="CS96" s="187"/>
      <c r="CT96" s="187"/>
      <c r="CU96" s="187"/>
      <c r="CV96" s="187"/>
      <c r="CW96" s="187"/>
      <c r="CX96" s="187"/>
      <c r="CY96" s="187"/>
      <c r="CZ96" s="187"/>
      <c r="DA96" s="187"/>
      <c r="DB96" s="187"/>
      <c r="DC96" s="187"/>
      <c r="DD96" s="187"/>
      <c r="DE96" s="187"/>
      <c r="DF96" s="187"/>
      <c r="DG96" s="187"/>
      <c r="DH96" s="187"/>
      <c r="DI96" s="187"/>
      <c r="DJ96" s="187"/>
      <c r="DK96" s="187"/>
      <c r="DL96" s="187"/>
      <c r="DM96" s="187"/>
      <c r="DN96" s="187"/>
      <c r="DO96" s="187"/>
      <c r="DP96" s="187"/>
      <c r="DQ96" s="187"/>
      <c r="DR96" s="187"/>
      <c r="DS96" s="187"/>
      <c r="DT96" s="187"/>
      <c r="DU96" s="187"/>
      <c r="DV96" s="187"/>
      <c r="DW96" s="187"/>
      <c r="DX96" s="187"/>
      <c r="DY96" s="187"/>
      <c r="DZ96" s="187"/>
      <c r="EA96" s="187"/>
      <c r="EB96" s="187"/>
      <c r="EC96" s="187"/>
      <c r="ED96" s="187"/>
      <c r="EE96" s="187"/>
      <c r="EF96" s="187"/>
      <c r="EG96" s="187"/>
      <c r="EH96" s="187"/>
      <c r="EI96" s="187"/>
      <c r="EJ96" s="187"/>
      <c r="EK96" s="187"/>
      <c r="EL96" s="187"/>
      <c r="EM96" s="187"/>
      <c r="EN96" s="187"/>
      <c r="EO96" s="187"/>
      <c r="EP96" s="187"/>
      <c r="EQ96" s="187"/>
      <c r="ER96" s="187"/>
      <c r="ES96" s="187"/>
      <c r="ET96" s="187"/>
      <c r="EU96" s="187"/>
      <c r="EV96" s="187"/>
      <c r="EW96" s="187"/>
      <c r="EX96" s="187"/>
      <c r="EY96" s="187"/>
      <c r="EZ96" s="187"/>
      <c r="FA96" s="187"/>
      <c r="FB96" s="187"/>
      <c r="FC96" s="187"/>
    </row>
    <row r="97" spans="1:159" ht="15" x14ac:dyDescent="0.25">
      <c r="A97" s="187" t="s">
        <v>250</v>
      </c>
      <c r="B97" s="187" t="s">
        <v>251</v>
      </c>
      <c r="C97" s="187">
        <v>2728</v>
      </c>
      <c r="D97" s="187">
        <v>0</v>
      </c>
      <c r="E97" s="187">
        <v>775</v>
      </c>
      <c r="F97" s="187">
        <v>618</v>
      </c>
      <c r="G97" s="187">
        <v>588</v>
      </c>
      <c r="H97" s="187">
        <v>4709</v>
      </c>
      <c r="I97" s="187">
        <v>4121</v>
      </c>
      <c r="J97" s="187">
        <v>124</v>
      </c>
      <c r="K97" s="187">
        <v>95.26</v>
      </c>
      <c r="L97" s="187">
        <v>92.65</v>
      </c>
      <c r="M97" s="187">
        <v>4.9800000000000004</v>
      </c>
      <c r="N97" s="187">
        <v>98.17</v>
      </c>
      <c r="O97" s="187">
        <v>1311</v>
      </c>
      <c r="P97" s="187">
        <v>101.4</v>
      </c>
      <c r="Q97" s="187">
        <v>85.43</v>
      </c>
      <c r="R97" s="187">
        <v>49.27</v>
      </c>
      <c r="S97" s="187">
        <v>148.01</v>
      </c>
      <c r="T97" s="187">
        <v>798</v>
      </c>
      <c r="U97" s="187">
        <v>111.96</v>
      </c>
      <c r="V97" s="187">
        <v>1157</v>
      </c>
      <c r="W97" s="187">
        <v>118.99</v>
      </c>
      <c r="X97" s="187">
        <v>11</v>
      </c>
      <c r="Y97" s="187">
        <v>0</v>
      </c>
      <c r="Z97" s="187">
        <v>1</v>
      </c>
      <c r="AA97" s="187">
        <v>0</v>
      </c>
      <c r="AB97" s="187">
        <v>111</v>
      </c>
      <c r="AC97" s="187">
        <v>17</v>
      </c>
      <c r="AD97" s="187">
        <v>2520</v>
      </c>
      <c r="AE97" s="187">
        <v>12</v>
      </c>
      <c r="AF97" s="187">
        <v>9</v>
      </c>
      <c r="AG97" s="187">
        <v>21</v>
      </c>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7"/>
      <c r="BR97" s="187"/>
      <c r="BS97" s="187"/>
      <c r="BT97" s="187"/>
      <c r="BU97" s="187"/>
      <c r="BV97" s="187"/>
      <c r="BW97" s="187"/>
      <c r="BX97" s="187"/>
      <c r="BY97" s="187"/>
      <c r="BZ97" s="187"/>
      <c r="CA97" s="187"/>
      <c r="CB97" s="187"/>
      <c r="CC97" s="187"/>
      <c r="CD97" s="187"/>
      <c r="CE97" s="187"/>
      <c r="CF97" s="187"/>
      <c r="CG97" s="187"/>
      <c r="CH97" s="187"/>
      <c r="CI97" s="187"/>
      <c r="CJ97" s="187"/>
      <c r="CK97" s="187"/>
      <c r="CL97" s="187"/>
      <c r="CM97" s="187"/>
      <c r="CN97" s="187"/>
      <c r="CO97" s="187"/>
      <c r="CP97" s="187"/>
      <c r="CQ97" s="187"/>
      <c r="CR97" s="187"/>
      <c r="CS97" s="187"/>
      <c r="CT97" s="187"/>
      <c r="CU97" s="187"/>
      <c r="CV97" s="187"/>
      <c r="CW97" s="187"/>
      <c r="CX97" s="187"/>
      <c r="CY97" s="187"/>
      <c r="CZ97" s="187"/>
      <c r="DA97" s="187"/>
      <c r="DB97" s="187"/>
      <c r="DC97" s="187"/>
      <c r="DD97" s="187"/>
      <c r="DE97" s="187"/>
      <c r="DF97" s="187"/>
      <c r="DG97" s="187"/>
      <c r="DH97" s="187"/>
      <c r="DI97" s="187"/>
      <c r="DJ97" s="187"/>
      <c r="DK97" s="187"/>
      <c r="DL97" s="187"/>
      <c r="DM97" s="187"/>
      <c r="DN97" s="187"/>
      <c r="DO97" s="187"/>
      <c r="DP97" s="187"/>
      <c r="DQ97" s="187"/>
      <c r="DR97" s="187"/>
      <c r="DS97" s="187"/>
      <c r="DT97" s="187"/>
      <c r="DU97" s="187"/>
      <c r="DV97" s="187"/>
      <c r="DW97" s="187"/>
      <c r="DX97" s="187"/>
      <c r="DY97" s="187"/>
      <c r="DZ97" s="187"/>
      <c r="EA97" s="187"/>
      <c r="EB97" s="187"/>
      <c r="EC97" s="187"/>
      <c r="ED97" s="187"/>
      <c r="EE97" s="187"/>
      <c r="EF97" s="187"/>
      <c r="EG97" s="187"/>
      <c r="EH97" s="187"/>
      <c r="EI97" s="187"/>
      <c r="EJ97" s="187"/>
      <c r="EK97" s="187"/>
      <c r="EL97" s="187"/>
      <c r="EM97" s="187"/>
      <c r="EN97" s="187"/>
      <c r="EO97" s="187"/>
      <c r="EP97" s="187"/>
      <c r="EQ97" s="187"/>
      <c r="ER97" s="187"/>
      <c r="ES97" s="187"/>
      <c r="ET97" s="187"/>
      <c r="EU97" s="187"/>
      <c r="EV97" s="187"/>
      <c r="EW97" s="187"/>
      <c r="EX97" s="187"/>
      <c r="EY97" s="187"/>
      <c r="EZ97" s="187"/>
      <c r="FA97" s="187"/>
      <c r="FB97" s="187"/>
      <c r="FC97" s="187"/>
    </row>
    <row r="98" spans="1:159" ht="15" x14ac:dyDescent="0.25">
      <c r="A98" s="187" t="s">
        <v>252</v>
      </c>
      <c r="B98" s="187" t="s">
        <v>253</v>
      </c>
      <c r="C98" s="187">
        <v>6577</v>
      </c>
      <c r="D98" s="187">
        <v>0</v>
      </c>
      <c r="E98" s="187">
        <v>137</v>
      </c>
      <c r="F98" s="187">
        <v>381</v>
      </c>
      <c r="G98" s="187">
        <v>375</v>
      </c>
      <c r="H98" s="187">
        <v>7470</v>
      </c>
      <c r="I98" s="187">
        <v>7095</v>
      </c>
      <c r="J98" s="187">
        <v>3</v>
      </c>
      <c r="K98" s="187">
        <v>87.54</v>
      </c>
      <c r="L98" s="187">
        <v>84.44</v>
      </c>
      <c r="M98" s="187">
        <v>6.52</v>
      </c>
      <c r="N98" s="187">
        <v>90.32</v>
      </c>
      <c r="O98" s="187">
        <v>5093</v>
      </c>
      <c r="P98" s="187">
        <v>86.12</v>
      </c>
      <c r="Q98" s="187">
        <v>79.42</v>
      </c>
      <c r="R98" s="187">
        <v>63.71</v>
      </c>
      <c r="S98" s="187">
        <v>148.82</v>
      </c>
      <c r="T98" s="187">
        <v>506</v>
      </c>
      <c r="U98" s="187">
        <v>109.46</v>
      </c>
      <c r="V98" s="187">
        <v>1458</v>
      </c>
      <c r="W98" s="187">
        <v>0</v>
      </c>
      <c r="X98" s="187">
        <v>0</v>
      </c>
      <c r="Y98" s="187">
        <v>0</v>
      </c>
      <c r="Z98" s="187">
        <v>14</v>
      </c>
      <c r="AA98" s="187">
        <v>8</v>
      </c>
      <c r="AB98" s="187">
        <v>22</v>
      </c>
      <c r="AC98" s="187">
        <v>7</v>
      </c>
      <c r="AD98" s="187">
        <v>6571</v>
      </c>
      <c r="AE98" s="187">
        <v>49</v>
      </c>
      <c r="AF98" s="187">
        <v>19</v>
      </c>
      <c r="AG98" s="187">
        <v>68</v>
      </c>
      <c r="AH98" s="187"/>
      <c r="AI98" s="187"/>
      <c r="AJ98" s="187"/>
      <c r="AK98" s="187"/>
      <c r="AL98" s="187"/>
      <c r="AM98" s="187"/>
      <c r="AN98" s="187"/>
      <c r="AO98" s="187"/>
      <c r="AP98" s="187"/>
      <c r="AQ98" s="187"/>
      <c r="AR98" s="187"/>
      <c r="AS98" s="187"/>
      <c r="AT98" s="187"/>
      <c r="AU98" s="187"/>
      <c r="AV98" s="187"/>
      <c r="AW98" s="187"/>
      <c r="AX98" s="187"/>
      <c r="AY98" s="187"/>
      <c r="AZ98" s="187"/>
      <c r="BA98" s="187"/>
      <c r="BB98" s="187"/>
      <c r="BC98" s="187"/>
      <c r="BD98" s="187"/>
      <c r="BE98" s="187"/>
      <c r="BF98" s="187"/>
      <c r="BG98" s="187"/>
      <c r="BH98" s="187"/>
      <c r="BI98" s="187"/>
      <c r="BJ98" s="187"/>
      <c r="BK98" s="187"/>
      <c r="BL98" s="187"/>
      <c r="BM98" s="187"/>
      <c r="BN98" s="187"/>
      <c r="BO98" s="187"/>
      <c r="BP98" s="187"/>
      <c r="BQ98" s="187"/>
      <c r="BR98" s="187"/>
      <c r="BS98" s="187"/>
      <c r="BT98" s="187"/>
      <c r="BU98" s="187"/>
      <c r="BV98" s="187"/>
      <c r="BW98" s="187"/>
      <c r="BX98" s="187"/>
      <c r="BY98" s="187"/>
      <c r="BZ98" s="187"/>
      <c r="CA98" s="187"/>
      <c r="CB98" s="187"/>
      <c r="CC98" s="187"/>
      <c r="CD98" s="187"/>
      <c r="CE98" s="187"/>
      <c r="CF98" s="187"/>
      <c r="CG98" s="187"/>
      <c r="CH98" s="187"/>
      <c r="CI98" s="187"/>
      <c r="CJ98" s="187"/>
      <c r="CK98" s="187"/>
      <c r="CL98" s="187"/>
      <c r="CM98" s="187"/>
      <c r="CN98" s="187"/>
      <c r="CO98" s="187"/>
      <c r="CP98" s="187"/>
      <c r="CQ98" s="187"/>
      <c r="CR98" s="187"/>
      <c r="CS98" s="187"/>
      <c r="CT98" s="187"/>
      <c r="CU98" s="187"/>
      <c r="CV98" s="187"/>
      <c r="CW98" s="187"/>
      <c r="CX98" s="187"/>
      <c r="CY98" s="187"/>
      <c r="CZ98" s="187"/>
      <c r="DA98" s="187"/>
      <c r="DB98" s="187"/>
      <c r="DC98" s="187"/>
      <c r="DD98" s="187"/>
      <c r="DE98" s="187"/>
      <c r="DF98" s="187"/>
      <c r="DG98" s="187"/>
      <c r="DH98" s="187"/>
      <c r="DI98" s="187"/>
      <c r="DJ98" s="187"/>
      <c r="DK98" s="187"/>
      <c r="DL98" s="187"/>
      <c r="DM98" s="187"/>
      <c r="DN98" s="187"/>
      <c r="DO98" s="187"/>
      <c r="DP98" s="187"/>
      <c r="DQ98" s="187"/>
      <c r="DR98" s="187"/>
      <c r="DS98" s="187"/>
      <c r="DT98" s="187"/>
      <c r="DU98" s="187"/>
      <c r="DV98" s="187"/>
      <c r="DW98" s="187"/>
      <c r="DX98" s="187"/>
      <c r="DY98" s="187"/>
      <c r="DZ98" s="187"/>
      <c r="EA98" s="187"/>
      <c r="EB98" s="187"/>
      <c r="EC98" s="187"/>
      <c r="ED98" s="187"/>
      <c r="EE98" s="187"/>
      <c r="EF98" s="187"/>
      <c r="EG98" s="187"/>
      <c r="EH98" s="187"/>
      <c r="EI98" s="187"/>
      <c r="EJ98" s="187"/>
      <c r="EK98" s="187"/>
      <c r="EL98" s="187"/>
      <c r="EM98" s="187"/>
      <c r="EN98" s="187"/>
      <c r="EO98" s="187"/>
      <c r="EP98" s="187"/>
      <c r="EQ98" s="187"/>
      <c r="ER98" s="187"/>
      <c r="ES98" s="187"/>
      <c r="ET98" s="187"/>
      <c r="EU98" s="187"/>
      <c r="EV98" s="187"/>
      <c r="EW98" s="187"/>
      <c r="EX98" s="187"/>
      <c r="EY98" s="187"/>
      <c r="EZ98" s="187"/>
      <c r="FA98" s="187"/>
      <c r="FB98" s="187"/>
      <c r="FC98" s="187"/>
    </row>
    <row r="99" spans="1:159" ht="15" x14ac:dyDescent="0.25">
      <c r="A99" s="187" t="s">
        <v>254</v>
      </c>
      <c r="B99" s="187" t="s">
        <v>255</v>
      </c>
      <c r="C99" s="187">
        <v>8975</v>
      </c>
      <c r="D99" s="187">
        <v>0</v>
      </c>
      <c r="E99" s="187">
        <v>387</v>
      </c>
      <c r="F99" s="187">
        <v>1020</v>
      </c>
      <c r="G99" s="187">
        <v>317</v>
      </c>
      <c r="H99" s="187">
        <v>10699</v>
      </c>
      <c r="I99" s="187">
        <v>10382</v>
      </c>
      <c r="J99" s="187">
        <v>258</v>
      </c>
      <c r="K99" s="187">
        <v>96.45</v>
      </c>
      <c r="L99" s="187">
        <v>93.39</v>
      </c>
      <c r="M99" s="187">
        <v>5.79</v>
      </c>
      <c r="N99" s="187">
        <v>99.51</v>
      </c>
      <c r="O99" s="187">
        <v>7328</v>
      </c>
      <c r="P99" s="187">
        <v>90.01</v>
      </c>
      <c r="Q99" s="187">
        <v>83.52</v>
      </c>
      <c r="R99" s="187">
        <v>53.47</v>
      </c>
      <c r="S99" s="187">
        <v>142.55000000000001</v>
      </c>
      <c r="T99" s="187">
        <v>1270</v>
      </c>
      <c r="U99" s="187">
        <v>114.92</v>
      </c>
      <c r="V99" s="187">
        <v>1348</v>
      </c>
      <c r="W99" s="187">
        <v>118.2</v>
      </c>
      <c r="X99" s="187">
        <v>17</v>
      </c>
      <c r="Y99" s="187">
        <v>0</v>
      </c>
      <c r="Z99" s="187">
        <v>0</v>
      </c>
      <c r="AA99" s="187">
        <v>40</v>
      </c>
      <c r="AB99" s="187">
        <v>23</v>
      </c>
      <c r="AC99" s="187">
        <v>5</v>
      </c>
      <c r="AD99" s="187">
        <v>8942</v>
      </c>
      <c r="AE99" s="187">
        <v>31</v>
      </c>
      <c r="AF99" s="187">
        <v>25</v>
      </c>
      <c r="AG99" s="187">
        <v>56</v>
      </c>
      <c r="AH99" s="187"/>
      <c r="AI99" s="187"/>
      <c r="AJ99" s="187"/>
      <c r="AK99" s="187"/>
      <c r="AL99" s="187"/>
      <c r="AM99" s="187"/>
      <c r="AN99" s="187"/>
      <c r="AO99" s="187"/>
      <c r="AP99" s="187"/>
      <c r="AQ99" s="187"/>
      <c r="AR99" s="187"/>
      <c r="AS99" s="187"/>
      <c r="AT99" s="187"/>
      <c r="AU99" s="187"/>
      <c r="AV99" s="187"/>
      <c r="AW99" s="187"/>
      <c r="AX99" s="187"/>
      <c r="AY99" s="187"/>
      <c r="AZ99" s="187"/>
      <c r="BA99" s="187"/>
      <c r="BB99" s="187"/>
      <c r="BC99" s="187"/>
      <c r="BD99" s="187"/>
      <c r="BE99" s="187"/>
      <c r="BF99" s="187"/>
      <c r="BG99" s="187"/>
      <c r="BH99" s="187"/>
      <c r="BI99" s="187"/>
      <c r="BJ99" s="187"/>
      <c r="BK99" s="187"/>
      <c r="BL99" s="187"/>
      <c r="BM99" s="187"/>
      <c r="BN99" s="187"/>
      <c r="BO99" s="187"/>
      <c r="BP99" s="187"/>
      <c r="BQ99" s="187"/>
      <c r="BR99" s="187"/>
      <c r="BS99" s="187"/>
      <c r="BT99" s="187"/>
      <c r="BU99" s="187"/>
      <c r="BV99" s="187"/>
      <c r="BW99" s="187"/>
      <c r="BX99" s="187"/>
      <c r="BY99" s="187"/>
      <c r="BZ99" s="187"/>
      <c r="CA99" s="187"/>
      <c r="CB99" s="187"/>
      <c r="CC99" s="187"/>
      <c r="CD99" s="187"/>
      <c r="CE99" s="187"/>
      <c r="CF99" s="187"/>
      <c r="CG99" s="187"/>
      <c r="CH99" s="187"/>
      <c r="CI99" s="187"/>
      <c r="CJ99" s="187"/>
      <c r="CK99" s="187"/>
      <c r="CL99" s="187"/>
      <c r="CM99" s="187"/>
      <c r="CN99" s="187"/>
      <c r="CO99" s="187"/>
      <c r="CP99" s="187"/>
      <c r="CQ99" s="187"/>
      <c r="CR99" s="187"/>
      <c r="CS99" s="187"/>
      <c r="CT99" s="187"/>
      <c r="CU99" s="187"/>
      <c r="CV99" s="187"/>
      <c r="CW99" s="187"/>
      <c r="CX99" s="187"/>
      <c r="CY99" s="187"/>
      <c r="CZ99" s="187"/>
      <c r="DA99" s="187"/>
      <c r="DB99" s="187"/>
      <c r="DC99" s="187"/>
      <c r="DD99" s="187"/>
      <c r="DE99" s="187"/>
      <c r="DF99" s="187"/>
      <c r="DG99" s="187"/>
      <c r="DH99" s="187"/>
      <c r="DI99" s="187"/>
      <c r="DJ99" s="187"/>
      <c r="DK99" s="187"/>
      <c r="DL99" s="187"/>
      <c r="DM99" s="187"/>
      <c r="DN99" s="187"/>
      <c r="DO99" s="187"/>
      <c r="DP99" s="187"/>
      <c r="DQ99" s="187"/>
      <c r="DR99" s="187"/>
      <c r="DS99" s="187"/>
      <c r="DT99" s="187"/>
      <c r="DU99" s="187"/>
      <c r="DV99" s="187"/>
      <c r="DW99" s="187"/>
      <c r="DX99" s="187"/>
      <c r="DY99" s="187"/>
      <c r="DZ99" s="187"/>
      <c r="EA99" s="187"/>
      <c r="EB99" s="187"/>
      <c r="EC99" s="187"/>
      <c r="ED99" s="187"/>
      <c r="EE99" s="187"/>
      <c r="EF99" s="187"/>
      <c r="EG99" s="187"/>
      <c r="EH99" s="187"/>
      <c r="EI99" s="187"/>
      <c r="EJ99" s="187"/>
      <c r="EK99" s="187"/>
      <c r="EL99" s="187"/>
      <c r="EM99" s="187"/>
      <c r="EN99" s="187"/>
      <c r="EO99" s="187"/>
      <c r="EP99" s="187"/>
      <c r="EQ99" s="187"/>
      <c r="ER99" s="187"/>
      <c r="ES99" s="187"/>
      <c r="ET99" s="187"/>
      <c r="EU99" s="187"/>
      <c r="EV99" s="187"/>
      <c r="EW99" s="187"/>
      <c r="EX99" s="187"/>
      <c r="EY99" s="187"/>
      <c r="EZ99" s="187"/>
      <c r="FA99" s="187"/>
      <c r="FB99" s="187"/>
      <c r="FC99" s="187"/>
    </row>
    <row r="100" spans="1:159" ht="15" x14ac:dyDescent="0.25">
      <c r="A100" s="187" t="s">
        <v>256</v>
      </c>
      <c r="B100" s="187" t="s">
        <v>257</v>
      </c>
      <c r="C100" s="187">
        <v>1711</v>
      </c>
      <c r="D100" s="187">
        <v>0</v>
      </c>
      <c r="E100" s="187">
        <v>223</v>
      </c>
      <c r="F100" s="187">
        <v>632</v>
      </c>
      <c r="G100" s="187">
        <v>166</v>
      </c>
      <c r="H100" s="187">
        <v>2732</v>
      </c>
      <c r="I100" s="187">
        <v>2566</v>
      </c>
      <c r="J100" s="187">
        <v>32</v>
      </c>
      <c r="K100" s="187">
        <v>101.44</v>
      </c>
      <c r="L100" s="187">
        <v>97.64</v>
      </c>
      <c r="M100" s="187">
        <v>8.76</v>
      </c>
      <c r="N100" s="187">
        <v>108.81</v>
      </c>
      <c r="O100" s="187">
        <v>1469</v>
      </c>
      <c r="P100" s="187">
        <v>86.58</v>
      </c>
      <c r="Q100" s="187">
        <v>77.77</v>
      </c>
      <c r="R100" s="187">
        <v>47.25</v>
      </c>
      <c r="S100" s="187">
        <v>133.21</v>
      </c>
      <c r="T100" s="187">
        <v>684</v>
      </c>
      <c r="U100" s="187">
        <v>145.19999999999999</v>
      </c>
      <c r="V100" s="187">
        <v>218</v>
      </c>
      <c r="W100" s="187">
        <v>149.75</v>
      </c>
      <c r="X100" s="187">
        <v>18</v>
      </c>
      <c r="Y100" s="187">
        <v>50</v>
      </c>
      <c r="Z100" s="187">
        <v>1</v>
      </c>
      <c r="AA100" s="187">
        <v>0</v>
      </c>
      <c r="AB100" s="187">
        <v>0</v>
      </c>
      <c r="AC100" s="187">
        <v>2</v>
      </c>
      <c r="AD100" s="187">
        <v>1709</v>
      </c>
      <c r="AE100" s="187">
        <v>10</v>
      </c>
      <c r="AF100" s="187">
        <v>18</v>
      </c>
      <c r="AG100" s="187">
        <v>28</v>
      </c>
      <c r="AH100" s="187"/>
      <c r="AI100" s="187"/>
      <c r="AJ100" s="187"/>
      <c r="AK100" s="187"/>
      <c r="AL100" s="187"/>
      <c r="AM100" s="187"/>
      <c r="AN100" s="187"/>
      <c r="AO100" s="187"/>
      <c r="AP100" s="187"/>
      <c r="AQ100" s="187"/>
      <c r="AR100" s="187"/>
      <c r="AS100" s="187"/>
      <c r="AT100" s="187"/>
      <c r="AU100" s="187"/>
      <c r="AV100" s="187"/>
      <c r="AW100" s="187"/>
      <c r="AX100" s="187"/>
      <c r="AY100" s="187"/>
      <c r="AZ100" s="187"/>
      <c r="BA100" s="187"/>
      <c r="BB100" s="187"/>
      <c r="BC100" s="187"/>
      <c r="BD100" s="187"/>
      <c r="BE100" s="187"/>
      <c r="BF100" s="187"/>
      <c r="BG100" s="187"/>
      <c r="BH100" s="187"/>
      <c r="BI100" s="187"/>
      <c r="BJ100" s="187"/>
      <c r="BK100" s="187"/>
      <c r="BL100" s="187"/>
      <c r="BM100" s="187"/>
      <c r="BN100" s="187"/>
      <c r="BO100" s="187"/>
      <c r="BP100" s="187"/>
      <c r="BQ100" s="187"/>
      <c r="BR100" s="187"/>
      <c r="BS100" s="187"/>
      <c r="BT100" s="187"/>
      <c r="BU100" s="187"/>
      <c r="BV100" s="187"/>
      <c r="BW100" s="187"/>
      <c r="BX100" s="187"/>
      <c r="BY100" s="187"/>
      <c r="BZ100" s="187"/>
      <c r="CA100" s="187"/>
      <c r="CB100" s="187"/>
      <c r="CC100" s="187"/>
      <c r="CD100" s="187"/>
      <c r="CE100" s="187"/>
      <c r="CF100" s="187"/>
      <c r="CG100" s="187"/>
      <c r="CH100" s="187"/>
      <c r="CI100" s="187"/>
      <c r="CJ100" s="187"/>
      <c r="CK100" s="187"/>
      <c r="CL100" s="187"/>
      <c r="CM100" s="187"/>
      <c r="CN100" s="187"/>
      <c r="CO100" s="187"/>
      <c r="CP100" s="187"/>
      <c r="CQ100" s="187"/>
      <c r="CR100" s="187"/>
      <c r="CS100" s="187"/>
      <c r="CT100" s="187"/>
      <c r="CU100" s="187"/>
      <c r="CV100" s="187"/>
      <c r="CW100" s="187"/>
      <c r="CX100" s="187"/>
      <c r="CY100" s="187"/>
      <c r="CZ100" s="187"/>
      <c r="DA100" s="187"/>
      <c r="DB100" s="187"/>
      <c r="DC100" s="187"/>
      <c r="DD100" s="187"/>
      <c r="DE100" s="187"/>
      <c r="DF100" s="187"/>
      <c r="DG100" s="187"/>
      <c r="DH100" s="187"/>
      <c r="DI100" s="187"/>
      <c r="DJ100" s="187"/>
      <c r="DK100" s="187"/>
      <c r="DL100" s="187"/>
      <c r="DM100" s="187"/>
      <c r="DN100" s="187"/>
      <c r="DO100" s="187"/>
      <c r="DP100" s="187"/>
      <c r="DQ100" s="187"/>
      <c r="DR100" s="187"/>
      <c r="DS100" s="187"/>
      <c r="DT100" s="187"/>
      <c r="DU100" s="187"/>
      <c r="DV100" s="187"/>
      <c r="DW100" s="187"/>
      <c r="DX100" s="187"/>
      <c r="DY100" s="187"/>
      <c r="DZ100" s="187"/>
      <c r="EA100" s="187"/>
      <c r="EB100" s="187"/>
      <c r="EC100" s="187"/>
      <c r="ED100" s="187"/>
      <c r="EE100" s="187"/>
      <c r="EF100" s="187"/>
      <c r="EG100" s="187"/>
      <c r="EH100" s="187"/>
      <c r="EI100" s="187"/>
      <c r="EJ100" s="187"/>
      <c r="EK100" s="187"/>
      <c r="EL100" s="187"/>
      <c r="EM100" s="187"/>
      <c r="EN100" s="187"/>
      <c r="EO100" s="187"/>
      <c r="EP100" s="187"/>
      <c r="EQ100" s="187"/>
      <c r="ER100" s="187"/>
      <c r="ES100" s="187"/>
      <c r="ET100" s="187"/>
      <c r="EU100" s="187"/>
      <c r="EV100" s="187"/>
      <c r="EW100" s="187"/>
      <c r="EX100" s="187"/>
      <c r="EY100" s="187"/>
      <c r="EZ100" s="187"/>
      <c r="FA100" s="187"/>
      <c r="FB100" s="187"/>
      <c r="FC100" s="187"/>
    </row>
    <row r="101" spans="1:159" ht="15" x14ac:dyDescent="0.25">
      <c r="A101" s="187" t="s">
        <v>258</v>
      </c>
      <c r="B101" s="187" t="s">
        <v>259</v>
      </c>
      <c r="C101" s="187">
        <v>6909</v>
      </c>
      <c r="D101" s="187">
        <v>0</v>
      </c>
      <c r="E101" s="187">
        <v>172</v>
      </c>
      <c r="F101" s="187">
        <v>715</v>
      </c>
      <c r="G101" s="187">
        <v>1301</v>
      </c>
      <c r="H101" s="187">
        <v>9097</v>
      </c>
      <c r="I101" s="187">
        <v>7796</v>
      </c>
      <c r="J101" s="187">
        <v>36</v>
      </c>
      <c r="K101" s="187">
        <v>115.45</v>
      </c>
      <c r="L101" s="187">
        <v>110.83</v>
      </c>
      <c r="M101" s="187">
        <v>5.75</v>
      </c>
      <c r="N101" s="187">
        <v>118.43</v>
      </c>
      <c r="O101" s="187">
        <v>4821</v>
      </c>
      <c r="P101" s="187">
        <v>109.37</v>
      </c>
      <c r="Q101" s="187">
        <v>92.51</v>
      </c>
      <c r="R101" s="187">
        <v>41.59</v>
      </c>
      <c r="S101" s="187">
        <v>150.9</v>
      </c>
      <c r="T101" s="187">
        <v>760</v>
      </c>
      <c r="U101" s="187">
        <v>162.69999999999999</v>
      </c>
      <c r="V101" s="187">
        <v>1940</v>
      </c>
      <c r="W101" s="187">
        <v>179.34</v>
      </c>
      <c r="X101" s="187">
        <v>50</v>
      </c>
      <c r="Y101" s="187">
        <v>0</v>
      </c>
      <c r="Z101" s="187">
        <v>3</v>
      </c>
      <c r="AA101" s="187">
        <v>3</v>
      </c>
      <c r="AB101" s="187">
        <v>86</v>
      </c>
      <c r="AC101" s="187">
        <v>20</v>
      </c>
      <c r="AD101" s="187">
        <v>6909</v>
      </c>
      <c r="AE101" s="187">
        <v>49</v>
      </c>
      <c r="AF101" s="187">
        <v>41</v>
      </c>
      <c r="AG101" s="187">
        <v>90</v>
      </c>
      <c r="AH101" s="187"/>
      <c r="AI101" s="187"/>
      <c r="AJ101" s="187"/>
      <c r="AK101" s="187"/>
      <c r="AL101" s="187"/>
      <c r="AM101" s="187"/>
      <c r="AN101" s="187"/>
      <c r="AO101" s="187"/>
      <c r="AP101" s="187"/>
      <c r="AQ101" s="187"/>
      <c r="AR101" s="187"/>
      <c r="AS101" s="187"/>
      <c r="AT101" s="187"/>
      <c r="AU101" s="187"/>
      <c r="AV101" s="187"/>
      <c r="AW101" s="187"/>
      <c r="AX101" s="187"/>
      <c r="AY101" s="187"/>
      <c r="AZ101" s="187"/>
      <c r="BA101" s="187"/>
      <c r="BB101" s="187"/>
      <c r="BC101" s="187"/>
      <c r="BD101" s="187"/>
      <c r="BE101" s="187"/>
      <c r="BF101" s="187"/>
      <c r="BG101" s="187"/>
      <c r="BH101" s="187"/>
      <c r="BI101" s="187"/>
      <c r="BJ101" s="187"/>
      <c r="BK101" s="187"/>
      <c r="BL101" s="187"/>
      <c r="BM101" s="187"/>
      <c r="BN101" s="187"/>
      <c r="BO101" s="187"/>
      <c r="BP101" s="187"/>
      <c r="BQ101" s="187"/>
      <c r="BR101" s="187"/>
      <c r="BS101" s="187"/>
      <c r="BT101" s="187"/>
      <c r="BU101" s="187"/>
      <c r="BV101" s="187"/>
      <c r="BW101" s="187"/>
      <c r="BX101" s="187"/>
      <c r="BY101" s="187"/>
      <c r="BZ101" s="187"/>
      <c r="CA101" s="187"/>
      <c r="CB101" s="187"/>
      <c r="CC101" s="187"/>
      <c r="CD101" s="187"/>
      <c r="CE101" s="187"/>
      <c r="CF101" s="187"/>
      <c r="CG101" s="187"/>
      <c r="CH101" s="187"/>
      <c r="CI101" s="187"/>
      <c r="CJ101" s="187"/>
      <c r="CK101" s="187"/>
      <c r="CL101" s="187"/>
      <c r="CM101" s="187"/>
      <c r="CN101" s="187"/>
      <c r="CO101" s="187"/>
      <c r="CP101" s="187"/>
      <c r="CQ101" s="187"/>
      <c r="CR101" s="187"/>
      <c r="CS101" s="187"/>
      <c r="CT101" s="187"/>
      <c r="CU101" s="187"/>
      <c r="CV101" s="187"/>
      <c r="CW101" s="187"/>
      <c r="CX101" s="187"/>
      <c r="CY101" s="187"/>
      <c r="CZ101" s="187"/>
      <c r="DA101" s="187"/>
      <c r="DB101" s="187"/>
      <c r="DC101" s="187"/>
      <c r="DD101" s="187"/>
      <c r="DE101" s="187"/>
      <c r="DF101" s="187"/>
      <c r="DG101" s="187"/>
      <c r="DH101" s="187"/>
      <c r="DI101" s="187"/>
      <c r="DJ101" s="187"/>
      <c r="DK101" s="187"/>
      <c r="DL101" s="187"/>
      <c r="DM101" s="187"/>
      <c r="DN101" s="187"/>
      <c r="DO101" s="187"/>
      <c r="DP101" s="187"/>
      <c r="DQ101" s="187"/>
      <c r="DR101" s="187"/>
      <c r="DS101" s="187"/>
      <c r="DT101" s="187"/>
      <c r="DU101" s="187"/>
      <c r="DV101" s="187"/>
      <c r="DW101" s="187"/>
      <c r="DX101" s="187"/>
      <c r="DY101" s="187"/>
      <c r="DZ101" s="187"/>
      <c r="EA101" s="187"/>
      <c r="EB101" s="187"/>
      <c r="EC101" s="187"/>
      <c r="ED101" s="187"/>
      <c r="EE101" s="187"/>
      <c r="EF101" s="187"/>
      <c r="EG101" s="187"/>
      <c r="EH101" s="187"/>
      <c r="EI101" s="187"/>
      <c r="EJ101" s="187"/>
      <c r="EK101" s="187"/>
      <c r="EL101" s="187"/>
      <c r="EM101" s="187"/>
      <c r="EN101" s="187"/>
      <c r="EO101" s="187"/>
      <c r="EP101" s="187"/>
      <c r="EQ101" s="187"/>
      <c r="ER101" s="187"/>
      <c r="ES101" s="187"/>
      <c r="ET101" s="187"/>
      <c r="EU101" s="187"/>
      <c r="EV101" s="187"/>
      <c r="EW101" s="187"/>
      <c r="EX101" s="187"/>
      <c r="EY101" s="187"/>
      <c r="EZ101" s="187"/>
      <c r="FA101" s="187"/>
      <c r="FB101" s="187"/>
      <c r="FC101" s="187"/>
    </row>
    <row r="102" spans="1:159" ht="15" x14ac:dyDescent="0.25">
      <c r="A102" s="187" t="s">
        <v>260</v>
      </c>
      <c r="B102" s="187" t="s">
        <v>261</v>
      </c>
      <c r="C102" s="187">
        <v>2221</v>
      </c>
      <c r="D102" s="187">
        <v>0</v>
      </c>
      <c r="E102" s="187">
        <v>163</v>
      </c>
      <c r="F102" s="187">
        <v>211</v>
      </c>
      <c r="G102" s="187">
        <v>232</v>
      </c>
      <c r="H102" s="187">
        <v>2827</v>
      </c>
      <c r="I102" s="187">
        <v>2595</v>
      </c>
      <c r="J102" s="187">
        <v>10</v>
      </c>
      <c r="K102" s="187">
        <v>102.95</v>
      </c>
      <c r="L102" s="187">
        <v>103.36</v>
      </c>
      <c r="M102" s="187">
        <v>6.03</v>
      </c>
      <c r="N102" s="187">
        <v>105.11</v>
      </c>
      <c r="O102" s="187">
        <v>1935</v>
      </c>
      <c r="P102" s="187">
        <v>94.84</v>
      </c>
      <c r="Q102" s="187">
        <v>88.04</v>
      </c>
      <c r="R102" s="187">
        <v>35.619999999999997</v>
      </c>
      <c r="S102" s="187">
        <v>127.89</v>
      </c>
      <c r="T102" s="187">
        <v>361</v>
      </c>
      <c r="U102" s="187">
        <v>116.31</v>
      </c>
      <c r="V102" s="187">
        <v>251</v>
      </c>
      <c r="W102" s="187">
        <v>0</v>
      </c>
      <c r="X102" s="187">
        <v>0</v>
      </c>
      <c r="Y102" s="187">
        <v>0</v>
      </c>
      <c r="Z102" s="187">
        <v>3</v>
      </c>
      <c r="AA102" s="187">
        <v>0</v>
      </c>
      <c r="AB102" s="187">
        <v>13</v>
      </c>
      <c r="AC102" s="187">
        <v>1</v>
      </c>
      <c r="AD102" s="187">
        <v>2183</v>
      </c>
      <c r="AE102" s="187">
        <v>45</v>
      </c>
      <c r="AF102" s="187">
        <v>3</v>
      </c>
      <c r="AG102" s="187">
        <v>48</v>
      </c>
      <c r="AH102" s="187"/>
      <c r="AI102" s="187"/>
      <c r="AJ102" s="187"/>
      <c r="AK102" s="187"/>
      <c r="AL102" s="187"/>
      <c r="AM102" s="187"/>
      <c r="AN102" s="187"/>
      <c r="AO102" s="187"/>
      <c r="AP102" s="187"/>
      <c r="AQ102" s="187"/>
      <c r="AR102" s="187"/>
      <c r="AS102" s="187"/>
      <c r="AT102" s="187"/>
      <c r="AU102" s="187"/>
      <c r="AV102" s="187"/>
      <c r="AW102" s="187"/>
      <c r="AX102" s="187"/>
      <c r="AY102" s="187"/>
      <c r="AZ102" s="187"/>
      <c r="BA102" s="187"/>
      <c r="BB102" s="187"/>
      <c r="BC102" s="187"/>
      <c r="BD102" s="187"/>
      <c r="BE102" s="187"/>
      <c r="BF102" s="187"/>
      <c r="BG102" s="187"/>
      <c r="BH102" s="187"/>
      <c r="BI102" s="187"/>
      <c r="BJ102" s="187"/>
      <c r="BK102" s="187"/>
      <c r="BL102" s="187"/>
      <c r="BM102" s="187"/>
      <c r="BN102" s="187"/>
      <c r="BO102" s="187"/>
      <c r="BP102" s="187"/>
      <c r="BQ102" s="187"/>
      <c r="BR102" s="187"/>
      <c r="BS102" s="187"/>
      <c r="BT102" s="187"/>
      <c r="BU102" s="187"/>
      <c r="BV102" s="187"/>
      <c r="BW102" s="187"/>
      <c r="BX102" s="187"/>
      <c r="BY102" s="187"/>
      <c r="BZ102" s="187"/>
      <c r="CA102" s="187"/>
      <c r="CB102" s="187"/>
      <c r="CC102" s="187"/>
      <c r="CD102" s="187"/>
      <c r="CE102" s="187"/>
      <c r="CF102" s="187"/>
      <c r="CG102" s="187"/>
      <c r="CH102" s="187"/>
      <c r="CI102" s="187"/>
      <c r="CJ102" s="187"/>
      <c r="CK102" s="187"/>
      <c r="CL102" s="187"/>
      <c r="CM102" s="187"/>
      <c r="CN102" s="187"/>
      <c r="CO102" s="187"/>
      <c r="CP102" s="187"/>
      <c r="CQ102" s="187"/>
      <c r="CR102" s="187"/>
      <c r="CS102" s="187"/>
      <c r="CT102" s="187"/>
      <c r="CU102" s="187"/>
      <c r="CV102" s="187"/>
      <c r="CW102" s="187"/>
      <c r="CX102" s="187"/>
      <c r="CY102" s="187"/>
      <c r="CZ102" s="187"/>
      <c r="DA102" s="187"/>
      <c r="DB102" s="187"/>
      <c r="DC102" s="187"/>
      <c r="DD102" s="187"/>
      <c r="DE102" s="187"/>
      <c r="DF102" s="187"/>
      <c r="DG102" s="187"/>
      <c r="DH102" s="187"/>
      <c r="DI102" s="187"/>
      <c r="DJ102" s="187"/>
      <c r="DK102" s="187"/>
      <c r="DL102" s="187"/>
      <c r="DM102" s="187"/>
      <c r="DN102" s="187"/>
      <c r="DO102" s="187"/>
      <c r="DP102" s="187"/>
      <c r="DQ102" s="187"/>
      <c r="DR102" s="187"/>
      <c r="DS102" s="187"/>
      <c r="DT102" s="187"/>
      <c r="DU102" s="187"/>
      <c r="DV102" s="187"/>
      <c r="DW102" s="187"/>
      <c r="DX102" s="187"/>
      <c r="DY102" s="187"/>
      <c r="DZ102" s="187"/>
      <c r="EA102" s="187"/>
      <c r="EB102" s="187"/>
      <c r="EC102" s="187"/>
      <c r="ED102" s="187"/>
      <c r="EE102" s="187"/>
      <c r="EF102" s="187"/>
      <c r="EG102" s="187"/>
      <c r="EH102" s="187"/>
      <c r="EI102" s="187"/>
      <c r="EJ102" s="187"/>
      <c r="EK102" s="187"/>
      <c r="EL102" s="187"/>
      <c r="EM102" s="187"/>
      <c r="EN102" s="187"/>
      <c r="EO102" s="187"/>
      <c r="EP102" s="187"/>
      <c r="EQ102" s="187"/>
      <c r="ER102" s="187"/>
      <c r="ES102" s="187"/>
      <c r="ET102" s="187"/>
      <c r="EU102" s="187"/>
      <c r="EV102" s="187"/>
      <c r="EW102" s="187"/>
      <c r="EX102" s="187"/>
      <c r="EY102" s="187"/>
      <c r="EZ102" s="187"/>
      <c r="FA102" s="187"/>
      <c r="FB102" s="187"/>
      <c r="FC102" s="187"/>
    </row>
    <row r="103" spans="1:159" ht="15" x14ac:dyDescent="0.25">
      <c r="A103" s="187" t="s">
        <v>262</v>
      </c>
      <c r="B103" s="187" t="s">
        <v>263</v>
      </c>
      <c r="C103" s="187">
        <v>4679</v>
      </c>
      <c r="D103" s="187">
        <v>16</v>
      </c>
      <c r="E103" s="187">
        <v>124</v>
      </c>
      <c r="F103" s="187">
        <v>886</v>
      </c>
      <c r="G103" s="187">
        <v>562</v>
      </c>
      <c r="H103" s="187">
        <v>6267</v>
      </c>
      <c r="I103" s="187">
        <v>5705</v>
      </c>
      <c r="J103" s="187">
        <v>54</v>
      </c>
      <c r="K103" s="187">
        <v>136.15</v>
      </c>
      <c r="L103" s="187">
        <v>137.44999999999999</v>
      </c>
      <c r="M103" s="187">
        <v>11.18</v>
      </c>
      <c r="N103" s="187">
        <v>141.63999999999999</v>
      </c>
      <c r="O103" s="187">
        <v>3677</v>
      </c>
      <c r="P103" s="187">
        <v>128.79</v>
      </c>
      <c r="Q103" s="187">
        <v>114.64</v>
      </c>
      <c r="R103" s="187">
        <v>26.43</v>
      </c>
      <c r="S103" s="187">
        <v>154.76</v>
      </c>
      <c r="T103" s="187">
        <v>794</v>
      </c>
      <c r="U103" s="187">
        <v>215.39</v>
      </c>
      <c r="V103" s="187">
        <v>740</v>
      </c>
      <c r="W103" s="187">
        <v>186.88</v>
      </c>
      <c r="X103" s="187">
        <v>10</v>
      </c>
      <c r="Y103" s="187">
        <v>0</v>
      </c>
      <c r="Z103" s="187">
        <v>1</v>
      </c>
      <c r="AA103" s="187">
        <v>1</v>
      </c>
      <c r="AB103" s="187">
        <v>13</v>
      </c>
      <c r="AC103" s="187">
        <v>18</v>
      </c>
      <c r="AD103" s="187">
        <v>4515</v>
      </c>
      <c r="AE103" s="187">
        <v>10</v>
      </c>
      <c r="AF103" s="187">
        <v>23</v>
      </c>
      <c r="AG103" s="187">
        <v>33</v>
      </c>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187"/>
      <c r="BM103" s="187"/>
      <c r="BN103" s="187"/>
      <c r="BO103" s="187"/>
      <c r="BP103" s="187"/>
      <c r="BQ103" s="187"/>
      <c r="BR103" s="187"/>
      <c r="BS103" s="187"/>
      <c r="BT103" s="187"/>
      <c r="BU103" s="187"/>
      <c r="BV103" s="187"/>
      <c r="BW103" s="187"/>
      <c r="BX103" s="187"/>
      <c r="BY103" s="187"/>
      <c r="BZ103" s="187"/>
      <c r="CA103" s="187"/>
      <c r="CB103" s="187"/>
      <c r="CC103" s="187"/>
      <c r="CD103" s="187"/>
      <c r="CE103" s="187"/>
      <c r="CF103" s="187"/>
      <c r="CG103" s="187"/>
      <c r="CH103" s="187"/>
      <c r="CI103" s="187"/>
      <c r="CJ103" s="187"/>
      <c r="CK103" s="187"/>
      <c r="CL103" s="187"/>
      <c r="CM103" s="187"/>
      <c r="CN103" s="187"/>
      <c r="CO103" s="187"/>
      <c r="CP103" s="187"/>
      <c r="CQ103" s="187"/>
      <c r="CR103" s="187"/>
      <c r="CS103" s="187"/>
      <c r="CT103" s="187"/>
      <c r="CU103" s="187"/>
      <c r="CV103" s="187"/>
      <c r="CW103" s="187"/>
      <c r="CX103" s="187"/>
      <c r="CY103" s="187"/>
      <c r="CZ103" s="187"/>
      <c r="DA103" s="187"/>
      <c r="DB103" s="187"/>
      <c r="DC103" s="187"/>
      <c r="DD103" s="187"/>
      <c r="DE103" s="187"/>
      <c r="DF103" s="187"/>
      <c r="DG103" s="187"/>
      <c r="DH103" s="187"/>
      <c r="DI103" s="187"/>
      <c r="DJ103" s="187"/>
      <c r="DK103" s="187"/>
      <c r="DL103" s="187"/>
      <c r="DM103" s="187"/>
      <c r="DN103" s="187"/>
      <c r="DO103" s="187"/>
      <c r="DP103" s="187"/>
      <c r="DQ103" s="187"/>
      <c r="DR103" s="187"/>
      <c r="DS103" s="187"/>
      <c r="DT103" s="187"/>
      <c r="DU103" s="187"/>
      <c r="DV103" s="187"/>
      <c r="DW103" s="187"/>
      <c r="DX103" s="187"/>
      <c r="DY103" s="187"/>
      <c r="DZ103" s="187"/>
      <c r="EA103" s="187"/>
      <c r="EB103" s="187"/>
      <c r="EC103" s="187"/>
      <c r="ED103" s="187"/>
      <c r="EE103" s="187"/>
      <c r="EF103" s="187"/>
      <c r="EG103" s="187"/>
      <c r="EH103" s="187"/>
      <c r="EI103" s="187"/>
      <c r="EJ103" s="187"/>
      <c r="EK103" s="187"/>
      <c r="EL103" s="187"/>
      <c r="EM103" s="187"/>
      <c r="EN103" s="187"/>
      <c r="EO103" s="187"/>
      <c r="EP103" s="187"/>
      <c r="EQ103" s="187"/>
      <c r="ER103" s="187"/>
      <c r="ES103" s="187"/>
      <c r="ET103" s="187"/>
      <c r="EU103" s="187"/>
      <c r="EV103" s="187"/>
      <c r="EW103" s="187"/>
      <c r="EX103" s="187"/>
      <c r="EY103" s="187"/>
      <c r="EZ103" s="187"/>
      <c r="FA103" s="187"/>
      <c r="FB103" s="187"/>
      <c r="FC103" s="187"/>
    </row>
    <row r="104" spans="1:159" ht="15" x14ac:dyDescent="0.25">
      <c r="A104" s="187" t="s">
        <v>264</v>
      </c>
      <c r="B104" s="187" t="s">
        <v>265</v>
      </c>
      <c r="C104" s="187">
        <v>7042</v>
      </c>
      <c r="D104" s="187">
        <v>330</v>
      </c>
      <c r="E104" s="187">
        <v>572</v>
      </c>
      <c r="F104" s="187">
        <v>697</v>
      </c>
      <c r="G104" s="187">
        <v>1434</v>
      </c>
      <c r="H104" s="187">
        <v>10075</v>
      </c>
      <c r="I104" s="187">
        <v>8641</v>
      </c>
      <c r="J104" s="187">
        <v>24</v>
      </c>
      <c r="K104" s="187">
        <v>130.06</v>
      </c>
      <c r="L104" s="187">
        <v>129.22999999999999</v>
      </c>
      <c r="M104" s="187">
        <v>15.9</v>
      </c>
      <c r="N104" s="187">
        <v>141.82</v>
      </c>
      <c r="O104" s="187">
        <v>5763</v>
      </c>
      <c r="P104" s="187">
        <v>121.4</v>
      </c>
      <c r="Q104" s="187">
        <v>110</v>
      </c>
      <c r="R104" s="187">
        <v>77.760000000000005</v>
      </c>
      <c r="S104" s="187">
        <v>197.44</v>
      </c>
      <c r="T104" s="187">
        <v>1080</v>
      </c>
      <c r="U104" s="187">
        <v>206.3</v>
      </c>
      <c r="V104" s="187">
        <v>791</v>
      </c>
      <c r="W104" s="187">
        <v>204.1</v>
      </c>
      <c r="X104" s="187">
        <v>30</v>
      </c>
      <c r="Y104" s="187">
        <v>0</v>
      </c>
      <c r="Z104" s="187">
        <v>6</v>
      </c>
      <c r="AA104" s="187">
        <v>6</v>
      </c>
      <c r="AB104" s="187">
        <v>50</v>
      </c>
      <c r="AC104" s="187">
        <v>43</v>
      </c>
      <c r="AD104" s="187">
        <v>6647</v>
      </c>
      <c r="AE104" s="187">
        <v>72</v>
      </c>
      <c r="AF104" s="187">
        <v>68</v>
      </c>
      <c r="AG104" s="187">
        <v>140</v>
      </c>
      <c r="AH104" s="187"/>
      <c r="AI104" s="187"/>
      <c r="AJ104" s="187"/>
      <c r="AK104" s="187"/>
      <c r="AL104" s="187"/>
      <c r="AM104" s="187"/>
      <c r="AN104" s="187"/>
      <c r="AO104" s="187"/>
      <c r="AP104" s="187"/>
      <c r="AQ104" s="187"/>
      <c r="AR104" s="187"/>
      <c r="AS104" s="187"/>
      <c r="AT104" s="187"/>
      <c r="AU104" s="187"/>
      <c r="AV104" s="187"/>
      <c r="AW104" s="187"/>
      <c r="AX104" s="187"/>
      <c r="AY104" s="187"/>
      <c r="AZ104" s="187"/>
      <c r="BA104" s="187"/>
      <c r="BB104" s="187"/>
      <c r="BC104" s="187"/>
      <c r="BD104" s="187"/>
      <c r="BE104" s="187"/>
      <c r="BF104" s="187"/>
      <c r="BG104" s="187"/>
      <c r="BH104" s="187"/>
      <c r="BI104" s="187"/>
      <c r="BJ104" s="187"/>
      <c r="BK104" s="187"/>
      <c r="BL104" s="187"/>
      <c r="BM104" s="187"/>
      <c r="BN104" s="187"/>
      <c r="BO104" s="187"/>
      <c r="BP104" s="187"/>
      <c r="BQ104" s="187"/>
      <c r="BR104" s="187"/>
      <c r="BS104" s="187"/>
      <c r="BT104" s="187"/>
      <c r="BU104" s="187"/>
      <c r="BV104" s="187"/>
      <c r="BW104" s="187"/>
      <c r="BX104" s="187"/>
      <c r="BY104" s="187"/>
      <c r="BZ104" s="187"/>
      <c r="CA104" s="187"/>
      <c r="CB104" s="187"/>
      <c r="CC104" s="187"/>
      <c r="CD104" s="187"/>
      <c r="CE104" s="187"/>
      <c r="CF104" s="187"/>
      <c r="CG104" s="187"/>
      <c r="CH104" s="187"/>
      <c r="CI104" s="187"/>
      <c r="CJ104" s="187"/>
      <c r="CK104" s="187"/>
      <c r="CL104" s="187"/>
      <c r="CM104" s="187"/>
      <c r="CN104" s="187"/>
      <c r="CO104" s="187"/>
      <c r="CP104" s="187"/>
      <c r="CQ104" s="187"/>
      <c r="CR104" s="187"/>
      <c r="CS104" s="187"/>
      <c r="CT104" s="187"/>
      <c r="CU104" s="187"/>
      <c r="CV104" s="187"/>
      <c r="CW104" s="187"/>
      <c r="CX104" s="187"/>
      <c r="CY104" s="187"/>
      <c r="CZ104" s="187"/>
      <c r="DA104" s="187"/>
      <c r="DB104" s="187"/>
      <c r="DC104" s="187"/>
      <c r="DD104" s="187"/>
      <c r="DE104" s="187"/>
      <c r="DF104" s="187"/>
      <c r="DG104" s="187"/>
      <c r="DH104" s="187"/>
      <c r="DI104" s="187"/>
      <c r="DJ104" s="187"/>
      <c r="DK104" s="187"/>
      <c r="DL104" s="187"/>
      <c r="DM104" s="187"/>
      <c r="DN104" s="187"/>
      <c r="DO104" s="187"/>
      <c r="DP104" s="187"/>
      <c r="DQ104" s="187"/>
      <c r="DR104" s="187"/>
      <c r="DS104" s="187"/>
      <c r="DT104" s="187"/>
      <c r="DU104" s="187"/>
      <c r="DV104" s="187"/>
      <c r="DW104" s="187"/>
      <c r="DX104" s="187"/>
      <c r="DY104" s="187"/>
      <c r="DZ104" s="187"/>
      <c r="EA104" s="187"/>
      <c r="EB104" s="187"/>
      <c r="EC104" s="187"/>
      <c r="ED104" s="187"/>
      <c r="EE104" s="187"/>
      <c r="EF104" s="187"/>
      <c r="EG104" s="187"/>
      <c r="EH104" s="187"/>
      <c r="EI104" s="187"/>
      <c r="EJ104" s="187"/>
      <c r="EK104" s="187"/>
      <c r="EL104" s="187"/>
      <c r="EM104" s="187"/>
      <c r="EN104" s="187"/>
      <c r="EO104" s="187"/>
      <c r="EP104" s="187"/>
      <c r="EQ104" s="187"/>
      <c r="ER104" s="187"/>
      <c r="ES104" s="187"/>
      <c r="ET104" s="187"/>
      <c r="EU104" s="187"/>
      <c r="EV104" s="187"/>
      <c r="EW104" s="187"/>
      <c r="EX104" s="187"/>
      <c r="EY104" s="187"/>
      <c r="EZ104" s="187"/>
      <c r="FA104" s="187"/>
      <c r="FB104" s="187"/>
      <c r="FC104" s="187"/>
    </row>
    <row r="105" spans="1:159" ht="15" x14ac:dyDescent="0.25">
      <c r="A105" s="187" t="s">
        <v>266</v>
      </c>
      <c r="B105" s="187" t="s">
        <v>267</v>
      </c>
      <c r="C105" s="187">
        <v>1457</v>
      </c>
      <c r="D105" s="187">
        <v>0</v>
      </c>
      <c r="E105" s="187">
        <v>155</v>
      </c>
      <c r="F105" s="187">
        <v>228</v>
      </c>
      <c r="G105" s="187">
        <v>366</v>
      </c>
      <c r="H105" s="187">
        <v>2206</v>
      </c>
      <c r="I105" s="187">
        <v>1840</v>
      </c>
      <c r="J105" s="187">
        <v>8</v>
      </c>
      <c r="K105" s="187">
        <v>128.21</v>
      </c>
      <c r="L105" s="187">
        <v>125.85</v>
      </c>
      <c r="M105" s="187">
        <v>7.66</v>
      </c>
      <c r="N105" s="187">
        <v>134.97999999999999</v>
      </c>
      <c r="O105" s="187">
        <v>1226</v>
      </c>
      <c r="P105" s="187">
        <v>102.59</v>
      </c>
      <c r="Q105" s="187">
        <v>94.98</v>
      </c>
      <c r="R105" s="187">
        <v>58.86</v>
      </c>
      <c r="S105" s="187">
        <v>160.4</v>
      </c>
      <c r="T105" s="187">
        <v>282</v>
      </c>
      <c r="U105" s="187">
        <v>197.86</v>
      </c>
      <c r="V105" s="187">
        <v>214</v>
      </c>
      <c r="W105" s="187">
        <v>0</v>
      </c>
      <c r="X105" s="187">
        <v>0</v>
      </c>
      <c r="Y105" s="187">
        <v>0</v>
      </c>
      <c r="Z105" s="187">
        <v>0</v>
      </c>
      <c r="AA105" s="187">
        <v>2</v>
      </c>
      <c r="AB105" s="187">
        <v>0</v>
      </c>
      <c r="AC105" s="187">
        <v>9</v>
      </c>
      <c r="AD105" s="187">
        <v>1457</v>
      </c>
      <c r="AE105" s="187">
        <v>10</v>
      </c>
      <c r="AF105" s="187">
        <v>1</v>
      </c>
      <c r="AG105" s="187">
        <v>11</v>
      </c>
      <c r="AH105" s="187"/>
      <c r="AI105" s="187"/>
      <c r="AJ105" s="187"/>
      <c r="AK105" s="187"/>
      <c r="AL105" s="187"/>
      <c r="AM105" s="187"/>
      <c r="AN105" s="187"/>
      <c r="AO105" s="187"/>
      <c r="AP105" s="187"/>
      <c r="AQ105" s="187"/>
      <c r="AR105" s="187"/>
      <c r="AS105" s="187"/>
      <c r="AT105" s="187"/>
      <c r="AU105" s="187"/>
      <c r="AV105" s="187"/>
      <c r="AW105" s="187"/>
      <c r="AX105" s="187"/>
      <c r="AY105" s="187"/>
      <c r="AZ105" s="187"/>
      <c r="BA105" s="187"/>
      <c r="BB105" s="187"/>
      <c r="BC105" s="187"/>
      <c r="BD105" s="187"/>
      <c r="BE105" s="187"/>
      <c r="BF105" s="187"/>
      <c r="BG105" s="187"/>
      <c r="BH105" s="187"/>
      <c r="BI105" s="187"/>
      <c r="BJ105" s="187"/>
      <c r="BK105" s="187"/>
      <c r="BL105" s="187"/>
      <c r="BM105" s="187"/>
      <c r="BN105" s="187"/>
      <c r="BO105" s="187"/>
      <c r="BP105" s="187"/>
      <c r="BQ105" s="187"/>
      <c r="BR105" s="187"/>
      <c r="BS105" s="187"/>
      <c r="BT105" s="187"/>
      <c r="BU105" s="187"/>
      <c r="BV105" s="187"/>
      <c r="BW105" s="187"/>
      <c r="BX105" s="187"/>
      <c r="BY105" s="187"/>
      <c r="BZ105" s="187"/>
      <c r="CA105" s="187"/>
      <c r="CB105" s="187"/>
      <c r="CC105" s="187"/>
      <c r="CD105" s="187"/>
      <c r="CE105" s="187"/>
      <c r="CF105" s="187"/>
      <c r="CG105" s="187"/>
      <c r="CH105" s="187"/>
      <c r="CI105" s="187"/>
      <c r="CJ105" s="187"/>
      <c r="CK105" s="187"/>
      <c r="CL105" s="187"/>
      <c r="CM105" s="187"/>
      <c r="CN105" s="187"/>
      <c r="CO105" s="187"/>
      <c r="CP105" s="187"/>
      <c r="CQ105" s="187"/>
      <c r="CR105" s="187"/>
      <c r="CS105" s="187"/>
      <c r="CT105" s="187"/>
      <c r="CU105" s="187"/>
      <c r="CV105" s="187"/>
      <c r="CW105" s="187"/>
      <c r="CX105" s="187"/>
      <c r="CY105" s="187"/>
      <c r="CZ105" s="187"/>
      <c r="DA105" s="187"/>
      <c r="DB105" s="187"/>
      <c r="DC105" s="187"/>
      <c r="DD105" s="187"/>
      <c r="DE105" s="187"/>
      <c r="DF105" s="187"/>
      <c r="DG105" s="187"/>
      <c r="DH105" s="187"/>
      <c r="DI105" s="187"/>
      <c r="DJ105" s="187"/>
      <c r="DK105" s="187"/>
      <c r="DL105" s="187"/>
      <c r="DM105" s="187"/>
      <c r="DN105" s="187"/>
      <c r="DO105" s="187"/>
      <c r="DP105" s="187"/>
      <c r="DQ105" s="187"/>
      <c r="DR105" s="187"/>
      <c r="DS105" s="187"/>
      <c r="DT105" s="187"/>
      <c r="DU105" s="187"/>
      <c r="DV105" s="187"/>
      <c r="DW105" s="187"/>
      <c r="DX105" s="187"/>
      <c r="DY105" s="187"/>
      <c r="DZ105" s="187"/>
      <c r="EA105" s="187"/>
      <c r="EB105" s="187"/>
      <c r="EC105" s="187"/>
      <c r="ED105" s="187"/>
      <c r="EE105" s="187"/>
      <c r="EF105" s="187"/>
      <c r="EG105" s="187"/>
      <c r="EH105" s="187"/>
      <c r="EI105" s="187"/>
      <c r="EJ105" s="187"/>
      <c r="EK105" s="187"/>
      <c r="EL105" s="187"/>
      <c r="EM105" s="187"/>
      <c r="EN105" s="187"/>
      <c r="EO105" s="187"/>
      <c r="EP105" s="187"/>
      <c r="EQ105" s="187"/>
      <c r="ER105" s="187"/>
      <c r="ES105" s="187"/>
      <c r="ET105" s="187"/>
      <c r="EU105" s="187"/>
      <c r="EV105" s="187"/>
      <c r="EW105" s="187"/>
      <c r="EX105" s="187"/>
      <c r="EY105" s="187"/>
      <c r="EZ105" s="187"/>
      <c r="FA105" s="187"/>
      <c r="FB105" s="187"/>
      <c r="FC105" s="187"/>
    </row>
    <row r="106" spans="1:159" ht="15" x14ac:dyDescent="0.25">
      <c r="A106" s="187" t="s">
        <v>268</v>
      </c>
      <c r="B106" s="187" t="s">
        <v>269</v>
      </c>
      <c r="C106" s="187">
        <v>2283</v>
      </c>
      <c r="D106" s="187">
        <v>0</v>
      </c>
      <c r="E106" s="187">
        <v>159</v>
      </c>
      <c r="F106" s="187">
        <v>406</v>
      </c>
      <c r="G106" s="187">
        <v>370</v>
      </c>
      <c r="H106" s="187">
        <v>3218</v>
      </c>
      <c r="I106" s="187">
        <v>2848</v>
      </c>
      <c r="J106" s="187">
        <v>13</v>
      </c>
      <c r="K106" s="187">
        <v>130.46</v>
      </c>
      <c r="L106" s="187">
        <v>122.5</v>
      </c>
      <c r="M106" s="187">
        <v>12.23</v>
      </c>
      <c r="N106" s="187">
        <v>137.19999999999999</v>
      </c>
      <c r="O106" s="187">
        <v>1944</v>
      </c>
      <c r="P106" s="187">
        <v>118.73</v>
      </c>
      <c r="Q106" s="187">
        <v>103.41</v>
      </c>
      <c r="R106" s="187">
        <v>34.700000000000003</v>
      </c>
      <c r="S106" s="187">
        <v>151.97</v>
      </c>
      <c r="T106" s="187">
        <v>332</v>
      </c>
      <c r="U106" s="187">
        <v>212.26</v>
      </c>
      <c r="V106" s="187">
        <v>318</v>
      </c>
      <c r="W106" s="187">
        <v>277.47000000000003</v>
      </c>
      <c r="X106" s="187">
        <v>56</v>
      </c>
      <c r="Y106" s="187">
        <v>0</v>
      </c>
      <c r="Z106" s="187">
        <v>0</v>
      </c>
      <c r="AA106" s="187">
        <v>0</v>
      </c>
      <c r="AB106" s="187">
        <v>26</v>
      </c>
      <c r="AC106" s="187">
        <v>7</v>
      </c>
      <c r="AD106" s="187">
        <v>2280</v>
      </c>
      <c r="AE106" s="187">
        <v>12</v>
      </c>
      <c r="AF106" s="187">
        <v>14</v>
      </c>
      <c r="AG106" s="187">
        <v>26</v>
      </c>
      <c r="AH106" s="187"/>
      <c r="AI106" s="187"/>
      <c r="AJ106" s="187"/>
      <c r="AK106" s="187"/>
      <c r="AL106" s="187"/>
      <c r="AM106" s="187"/>
      <c r="AN106" s="187"/>
      <c r="AO106" s="187"/>
      <c r="AP106" s="187"/>
      <c r="AQ106" s="187"/>
      <c r="AR106" s="187"/>
      <c r="AS106" s="187"/>
      <c r="AT106" s="187"/>
      <c r="AU106" s="187"/>
      <c r="AV106" s="187"/>
      <c r="AW106" s="187"/>
      <c r="AX106" s="187"/>
      <c r="AY106" s="187"/>
      <c r="AZ106" s="187"/>
      <c r="BA106" s="187"/>
      <c r="BB106" s="187"/>
      <c r="BC106" s="187"/>
      <c r="BD106" s="187"/>
      <c r="BE106" s="187"/>
      <c r="BF106" s="187"/>
      <c r="BG106" s="187"/>
      <c r="BH106" s="187"/>
      <c r="BI106" s="187"/>
      <c r="BJ106" s="187"/>
      <c r="BK106" s="187"/>
      <c r="BL106" s="187"/>
      <c r="BM106" s="187"/>
      <c r="BN106" s="187"/>
      <c r="BO106" s="187"/>
      <c r="BP106" s="187"/>
      <c r="BQ106" s="187"/>
      <c r="BR106" s="187"/>
      <c r="BS106" s="187"/>
      <c r="BT106" s="187"/>
      <c r="BU106" s="187"/>
      <c r="BV106" s="187"/>
      <c r="BW106" s="187"/>
      <c r="BX106" s="187"/>
      <c r="BY106" s="187"/>
      <c r="BZ106" s="187"/>
      <c r="CA106" s="187"/>
      <c r="CB106" s="187"/>
      <c r="CC106" s="187"/>
      <c r="CD106" s="187"/>
      <c r="CE106" s="187"/>
      <c r="CF106" s="187"/>
      <c r="CG106" s="187"/>
      <c r="CH106" s="187"/>
      <c r="CI106" s="187"/>
      <c r="CJ106" s="187"/>
      <c r="CK106" s="187"/>
      <c r="CL106" s="187"/>
      <c r="CM106" s="187"/>
      <c r="CN106" s="187"/>
      <c r="CO106" s="187"/>
      <c r="CP106" s="187"/>
      <c r="CQ106" s="187"/>
      <c r="CR106" s="187"/>
      <c r="CS106" s="187"/>
      <c r="CT106" s="187"/>
      <c r="CU106" s="187"/>
      <c r="CV106" s="187"/>
      <c r="CW106" s="187"/>
      <c r="CX106" s="187"/>
      <c r="CY106" s="187"/>
      <c r="CZ106" s="187"/>
      <c r="DA106" s="187"/>
      <c r="DB106" s="187"/>
      <c r="DC106" s="187"/>
      <c r="DD106" s="187"/>
      <c r="DE106" s="187"/>
      <c r="DF106" s="187"/>
      <c r="DG106" s="187"/>
      <c r="DH106" s="187"/>
      <c r="DI106" s="187"/>
      <c r="DJ106" s="187"/>
      <c r="DK106" s="187"/>
      <c r="DL106" s="187"/>
      <c r="DM106" s="187"/>
      <c r="DN106" s="187"/>
      <c r="DO106" s="187"/>
      <c r="DP106" s="187"/>
      <c r="DQ106" s="187"/>
      <c r="DR106" s="187"/>
      <c r="DS106" s="187"/>
      <c r="DT106" s="187"/>
      <c r="DU106" s="187"/>
      <c r="DV106" s="187"/>
      <c r="DW106" s="187"/>
      <c r="DX106" s="187"/>
      <c r="DY106" s="187"/>
      <c r="DZ106" s="187"/>
      <c r="EA106" s="187"/>
      <c r="EB106" s="187"/>
      <c r="EC106" s="187"/>
      <c r="ED106" s="187"/>
      <c r="EE106" s="187"/>
      <c r="EF106" s="187"/>
      <c r="EG106" s="187"/>
      <c r="EH106" s="187"/>
      <c r="EI106" s="187"/>
      <c r="EJ106" s="187"/>
      <c r="EK106" s="187"/>
      <c r="EL106" s="187"/>
      <c r="EM106" s="187"/>
      <c r="EN106" s="187"/>
      <c r="EO106" s="187"/>
      <c r="EP106" s="187"/>
      <c r="EQ106" s="187"/>
      <c r="ER106" s="187"/>
      <c r="ES106" s="187"/>
      <c r="ET106" s="187"/>
      <c r="EU106" s="187"/>
      <c r="EV106" s="187"/>
      <c r="EW106" s="187"/>
      <c r="EX106" s="187"/>
      <c r="EY106" s="187"/>
      <c r="EZ106" s="187"/>
      <c r="FA106" s="187"/>
      <c r="FB106" s="187"/>
      <c r="FC106" s="187"/>
    </row>
    <row r="107" spans="1:159" ht="15" x14ac:dyDescent="0.25">
      <c r="A107" s="187" t="s">
        <v>270</v>
      </c>
      <c r="B107" s="187" t="s">
        <v>271</v>
      </c>
      <c r="C107" s="187">
        <v>4696</v>
      </c>
      <c r="D107" s="187">
        <v>0</v>
      </c>
      <c r="E107" s="187">
        <v>134</v>
      </c>
      <c r="F107" s="187">
        <v>1939</v>
      </c>
      <c r="G107" s="187">
        <v>208</v>
      </c>
      <c r="H107" s="187">
        <v>6977</v>
      </c>
      <c r="I107" s="187">
        <v>6769</v>
      </c>
      <c r="J107" s="187">
        <v>447</v>
      </c>
      <c r="K107" s="187">
        <v>94.92</v>
      </c>
      <c r="L107" s="187">
        <v>97.91</v>
      </c>
      <c r="M107" s="187">
        <v>4.01</v>
      </c>
      <c r="N107" s="187">
        <v>98.16</v>
      </c>
      <c r="O107" s="187">
        <v>4122</v>
      </c>
      <c r="P107" s="187">
        <v>89.15</v>
      </c>
      <c r="Q107" s="187">
        <v>91.65</v>
      </c>
      <c r="R107" s="187">
        <v>13.05</v>
      </c>
      <c r="S107" s="187">
        <v>101.89</v>
      </c>
      <c r="T107" s="187">
        <v>1999</v>
      </c>
      <c r="U107" s="187">
        <v>113.12</v>
      </c>
      <c r="V107" s="187">
        <v>520</v>
      </c>
      <c r="W107" s="187">
        <v>102.28</v>
      </c>
      <c r="X107" s="187">
        <v>37</v>
      </c>
      <c r="Y107" s="187">
        <v>0</v>
      </c>
      <c r="Z107" s="187">
        <v>17</v>
      </c>
      <c r="AA107" s="187">
        <v>13</v>
      </c>
      <c r="AB107" s="187">
        <v>1</v>
      </c>
      <c r="AC107" s="187">
        <v>2</v>
      </c>
      <c r="AD107" s="187">
        <v>4696</v>
      </c>
      <c r="AE107" s="187">
        <v>5</v>
      </c>
      <c r="AF107" s="187">
        <v>20</v>
      </c>
      <c r="AG107" s="187">
        <v>25</v>
      </c>
      <c r="AH107" s="187"/>
      <c r="AI107" s="187"/>
      <c r="AJ107" s="187"/>
      <c r="AK107" s="187"/>
      <c r="AL107" s="187"/>
      <c r="AM107" s="187"/>
      <c r="AN107" s="187"/>
      <c r="AO107" s="187"/>
      <c r="AP107" s="187"/>
      <c r="AQ107" s="187"/>
      <c r="AR107" s="187"/>
      <c r="AS107" s="187"/>
      <c r="AT107" s="187"/>
      <c r="AU107" s="187"/>
      <c r="AV107" s="187"/>
      <c r="AW107" s="187"/>
      <c r="AX107" s="187"/>
      <c r="AY107" s="187"/>
      <c r="AZ107" s="187"/>
      <c r="BA107" s="187"/>
      <c r="BB107" s="187"/>
      <c r="BC107" s="187"/>
      <c r="BD107" s="187"/>
      <c r="BE107" s="187"/>
      <c r="BF107" s="187"/>
      <c r="BG107" s="187"/>
      <c r="BH107" s="187"/>
      <c r="BI107" s="187"/>
      <c r="BJ107" s="187"/>
      <c r="BK107" s="187"/>
      <c r="BL107" s="187"/>
      <c r="BM107" s="187"/>
      <c r="BN107" s="187"/>
      <c r="BO107" s="187"/>
      <c r="BP107" s="187"/>
      <c r="BQ107" s="187"/>
      <c r="BR107" s="187"/>
      <c r="BS107" s="187"/>
      <c r="BT107" s="187"/>
      <c r="BU107" s="187"/>
      <c r="BV107" s="187"/>
      <c r="BW107" s="187"/>
      <c r="BX107" s="187"/>
      <c r="BY107" s="187"/>
      <c r="BZ107" s="187"/>
      <c r="CA107" s="187"/>
      <c r="CB107" s="187"/>
      <c r="CC107" s="187"/>
      <c r="CD107" s="187"/>
      <c r="CE107" s="187"/>
      <c r="CF107" s="187"/>
      <c r="CG107" s="187"/>
      <c r="CH107" s="187"/>
      <c r="CI107" s="187"/>
      <c r="CJ107" s="187"/>
      <c r="CK107" s="187"/>
      <c r="CL107" s="187"/>
      <c r="CM107" s="187"/>
      <c r="CN107" s="187"/>
      <c r="CO107" s="187"/>
      <c r="CP107" s="187"/>
      <c r="CQ107" s="187"/>
      <c r="CR107" s="187"/>
      <c r="CS107" s="187"/>
      <c r="CT107" s="187"/>
      <c r="CU107" s="187"/>
      <c r="CV107" s="187"/>
      <c r="CW107" s="187"/>
      <c r="CX107" s="187"/>
      <c r="CY107" s="187"/>
      <c r="CZ107" s="187"/>
      <c r="DA107" s="187"/>
      <c r="DB107" s="187"/>
      <c r="DC107" s="187"/>
      <c r="DD107" s="187"/>
      <c r="DE107" s="187"/>
      <c r="DF107" s="187"/>
      <c r="DG107" s="187"/>
      <c r="DH107" s="187"/>
      <c r="DI107" s="187"/>
      <c r="DJ107" s="187"/>
      <c r="DK107" s="187"/>
      <c r="DL107" s="187"/>
      <c r="DM107" s="187"/>
      <c r="DN107" s="187"/>
      <c r="DO107" s="187"/>
      <c r="DP107" s="187"/>
      <c r="DQ107" s="187"/>
      <c r="DR107" s="187"/>
      <c r="DS107" s="187"/>
      <c r="DT107" s="187"/>
      <c r="DU107" s="187"/>
      <c r="DV107" s="187"/>
      <c r="DW107" s="187"/>
      <c r="DX107" s="187"/>
      <c r="DY107" s="187"/>
      <c r="DZ107" s="187"/>
      <c r="EA107" s="187"/>
      <c r="EB107" s="187"/>
      <c r="EC107" s="187"/>
      <c r="ED107" s="187"/>
      <c r="EE107" s="187"/>
      <c r="EF107" s="187"/>
      <c r="EG107" s="187"/>
      <c r="EH107" s="187"/>
      <c r="EI107" s="187"/>
      <c r="EJ107" s="187"/>
      <c r="EK107" s="187"/>
      <c r="EL107" s="187"/>
      <c r="EM107" s="187"/>
      <c r="EN107" s="187"/>
      <c r="EO107" s="187"/>
      <c r="EP107" s="187"/>
      <c r="EQ107" s="187"/>
      <c r="ER107" s="187"/>
      <c r="ES107" s="187"/>
      <c r="ET107" s="187"/>
      <c r="EU107" s="187"/>
      <c r="EV107" s="187"/>
      <c r="EW107" s="187"/>
      <c r="EX107" s="187"/>
      <c r="EY107" s="187"/>
      <c r="EZ107" s="187"/>
      <c r="FA107" s="187"/>
      <c r="FB107" s="187"/>
      <c r="FC107" s="187"/>
    </row>
    <row r="108" spans="1:159" ht="15" x14ac:dyDescent="0.25">
      <c r="A108" s="187" t="s">
        <v>272</v>
      </c>
      <c r="B108" s="187" t="s">
        <v>273</v>
      </c>
      <c r="C108" s="187">
        <v>3840</v>
      </c>
      <c r="D108" s="187">
        <v>4</v>
      </c>
      <c r="E108" s="187">
        <v>600</v>
      </c>
      <c r="F108" s="187">
        <v>379</v>
      </c>
      <c r="G108" s="187">
        <v>552</v>
      </c>
      <c r="H108" s="187">
        <v>5375</v>
      </c>
      <c r="I108" s="187">
        <v>4823</v>
      </c>
      <c r="J108" s="187">
        <v>2</v>
      </c>
      <c r="K108" s="187">
        <v>94.93</v>
      </c>
      <c r="L108" s="187">
        <v>92.12</v>
      </c>
      <c r="M108" s="187">
        <v>7.39</v>
      </c>
      <c r="N108" s="187">
        <v>100.68</v>
      </c>
      <c r="O108" s="187">
        <v>3581</v>
      </c>
      <c r="P108" s="187">
        <v>94.78</v>
      </c>
      <c r="Q108" s="187">
        <v>73.239999999999995</v>
      </c>
      <c r="R108" s="187">
        <v>72.709999999999994</v>
      </c>
      <c r="S108" s="187">
        <v>164.83</v>
      </c>
      <c r="T108" s="187">
        <v>711</v>
      </c>
      <c r="U108" s="187">
        <v>136.31</v>
      </c>
      <c r="V108" s="187">
        <v>244</v>
      </c>
      <c r="W108" s="187">
        <v>148.11000000000001</v>
      </c>
      <c r="X108" s="187">
        <v>61</v>
      </c>
      <c r="Y108" s="187">
        <v>0</v>
      </c>
      <c r="Z108" s="187">
        <v>0</v>
      </c>
      <c r="AA108" s="187">
        <v>4</v>
      </c>
      <c r="AB108" s="187">
        <v>31</v>
      </c>
      <c r="AC108" s="187">
        <v>13</v>
      </c>
      <c r="AD108" s="187">
        <v>3824</v>
      </c>
      <c r="AE108" s="187">
        <v>46</v>
      </c>
      <c r="AF108" s="187">
        <v>66</v>
      </c>
      <c r="AG108" s="187">
        <v>112</v>
      </c>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c r="BC108" s="187"/>
      <c r="BD108" s="187"/>
      <c r="BE108" s="187"/>
      <c r="BF108" s="187"/>
      <c r="BG108" s="187"/>
      <c r="BH108" s="187"/>
      <c r="BI108" s="187"/>
      <c r="BJ108" s="187"/>
      <c r="BK108" s="187"/>
      <c r="BL108" s="187"/>
      <c r="BM108" s="187"/>
      <c r="BN108" s="187"/>
      <c r="BO108" s="187"/>
      <c r="BP108" s="187"/>
      <c r="BQ108" s="187"/>
      <c r="BR108" s="187"/>
      <c r="BS108" s="187"/>
      <c r="BT108" s="187"/>
      <c r="BU108" s="187"/>
      <c r="BV108" s="187"/>
      <c r="BW108" s="187"/>
      <c r="BX108" s="187"/>
      <c r="BY108" s="187"/>
      <c r="BZ108" s="187"/>
      <c r="CA108" s="187"/>
      <c r="CB108" s="187"/>
      <c r="CC108" s="187"/>
      <c r="CD108" s="187"/>
      <c r="CE108" s="187"/>
      <c r="CF108" s="187"/>
      <c r="CG108" s="187"/>
      <c r="CH108" s="187"/>
      <c r="CI108" s="187"/>
      <c r="CJ108" s="187"/>
      <c r="CK108" s="187"/>
      <c r="CL108" s="187"/>
      <c r="CM108" s="187"/>
      <c r="CN108" s="187"/>
      <c r="CO108" s="187"/>
      <c r="CP108" s="187"/>
      <c r="CQ108" s="187"/>
      <c r="CR108" s="187"/>
      <c r="CS108" s="187"/>
      <c r="CT108" s="187"/>
      <c r="CU108" s="187"/>
      <c r="CV108" s="187"/>
      <c r="CW108" s="187"/>
      <c r="CX108" s="187"/>
      <c r="CY108" s="187"/>
      <c r="CZ108" s="187"/>
      <c r="DA108" s="187"/>
      <c r="DB108" s="187"/>
      <c r="DC108" s="187"/>
      <c r="DD108" s="187"/>
      <c r="DE108" s="187"/>
      <c r="DF108" s="187"/>
      <c r="DG108" s="187"/>
      <c r="DH108" s="187"/>
      <c r="DI108" s="187"/>
      <c r="DJ108" s="187"/>
      <c r="DK108" s="187"/>
      <c r="DL108" s="187"/>
      <c r="DM108" s="187"/>
      <c r="DN108" s="187"/>
      <c r="DO108" s="187"/>
      <c r="DP108" s="187"/>
      <c r="DQ108" s="187"/>
      <c r="DR108" s="187"/>
      <c r="DS108" s="187"/>
      <c r="DT108" s="187"/>
      <c r="DU108" s="187"/>
      <c r="DV108" s="187"/>
      <c r="DW108" s="187"/>
      <c r="DX108" s="187"/>
      <c r="DY108" s="187"/>
      <c r="DZ108" s="187"/>
      <c r="EA108" s="187"/>
      <c r="EB108" s="187"/>
      <c r="EC108" s="187"/>
      <c r="ED108" s="187"/>
      <c r="EE108" s="187"/>
      <c r="EF108" s="187"/>
      <c r="EG108" s="187"/>
      <c r="EH108" s="187"/>
      <c r="EI108" s="187"/>
      <c r="EJ108" s="187"/>
      <c r="EK108" s="187"/>
      <c r="EL108" s="187"/>
      <c r="EM108" s="187"/>
      <c r="EN108" s="187"/>
      <c r="EO108" s="187"/>
      <c r="EP108" s="187"/>
      <c r="EQ108" s="187"/>
      <c r="ER108" s="187"/>
      <c r="ES108" s="187"/>
      <c r="ET108" s="187"/>
      <c r="EU108" s="187"/>
      <c r="EV108" s="187"/>
      <c r="EW108" s="187"/>
      <c r="EX108" s="187"/>
      <c r="EY108" s="187"/>
      <c r="EZ108" s="187"/>
      <c r="FA108" s="187"/>
      <c r="FB108" s="187"/>
      <c r="FC108" s="187"/>
    </row>
    <row r="109" spans="1:159" ht="15" x14ac:dyDescent="0.25">
      <c r="A109" s="187" t="s">
        <v>274</v>
      </c>
      <c r="B109" s="187" t="s">
        <v>275</v>
      </c>
      <c r="C109" s="187">
        <v>1556</v>
      </c>
      <c r="D109" s="187">
        <v>0</v>
      </c>
      <c r="E109" s="187">
        <v>183</v>
      </c>
      <c r="F109" s="187">
        <v>183</v>
      </c>
      <c r="G109" s="187">
        <v>263</v>
      </c>
      <c r="H109" s="187">
        <v>2185</v>
      </c>
      <c r="I109" s="187">
        <v>1922</v>
      </c>
      <c r="J109" s="187">
        <v>9</v>
      </c>
      <c r="K109" s="187">
        <v>113.67</v>
      </c>
      <c r="L109" s="187">
        <v>110.19</v>
      </c>
      <c r="M109" s="187">
        <v>8.86</v>
      </c>
      <c r="N109" s="187">
        <v>120.11</v>
      </c>
      <c r="O109" s="187">
        <v>1076</v>
      </c>
      <c r="P109" s="187">
        <v>121.91</v>
      </c>
      <c r="Q109" s="187">
        <v>91.18</v>
      </c>
      <c r="R109" s="187">
        <v>66.92</v>
      </c>
      <c r="S109" s="187">
        <v>188</v>
      </c>
      <c r="T109" s="187">
        <v>242</v>
      </c>
      <c r="U109" s="187">
        <v>159.4</v>
      </c>
      <c r="V109" s="187">
        <v>379</v>
      </c>
      <c r="W109" s="187">
        <v>0</v>
      </c>
      <c r="X109" s="187">
        <v>0</v>
      </c>
      <c r="Y109" s="187">
        <v>0</v>
      </c>
      <c r="Z109" s="187">
        <v>0</v>
      </c>
      <c r="AA109" s="187">
        <v>1</v>
      </c>
      <c r="AB109" s="187">
        <v>6</v>
      </c>
      <c r="AC109" s="187">
        <v>8</v>
      </c>
      <c r="AD109" s="187">
        <v>1543</v>
      </c>
      <c r="AE109" s="187">
        <v>12</v>
      </c>
      <c r="AF109" s="187">
        <v>5</v>
      </c>
      <c r="AG109" s="187">
        <v>17</v>
      </c>
      <c r="AH109" s="187"/>
      <c r="AI109" s="187"/>
      <c r="AJ109" s="187"/>
      <c r="AK109" s="187"/>
      <c r="AL109" s="187"/>
      <c r="AM109" s="187"/>
      <c r="AN109" s="187"/>
      <c r="AO109" s="187"/>
      <c r="AP109" s="187"/>
      <c r="AQ109" s="187"/>
      <c r="AR109" s="187"/>
      <c r="AS109" s="187"/>
      <c r="AT109" s="187"/>
      <c r="AU109" s="187"/>
      <c r="AV109" s="187"/>
      <c r="AW109" s="187"/>
      <c r="AX109" s="187"/>
      <c r="AY109" s="187"/>
      <c r="AZ109" s="187"/>
      <c r="BA109" s="187"/>
      <c r="BB109" s="187"/>
      <c r="BC109" s="187"/>
      <c r="BD109" s="187"/>
      <c r="BE109" s="187"/>
      <c r="BF109" s="187"/>
      <c r="BG109" s="187"/>
      <c r="BH109" s="187"/>
      <c r="BI109" s="187"/>
      <c r="BJ109" s="187"/>
      <c r="BK109" s="187"/>
      <c r="BL109" s="187"/>
      <c r="BM109" s="187"/>
      <c r="BN109" s="187"/>
      <c r="BO109" s="187"/>
      <c r="BP109" s="187"/>
      <c r="BQ109" s="187"/>
      <c r="BR109" s="187"/>
      <c r="BS109" s="187"/>
      <c r="BT109" s="187"/>
      <c r="BU109" s="187"/>
      <c r="BV109" s="187"/>
      <c r="BW109" s="187"/>
      <c r="BX109" s="187"/>
      <c r="BY109" s="187"/>
      <c r="BZ109" s="187"/>
      <c r="CA109" s="187"/>
      <c r="CB109" s="187"/>
      <c r="CC109" s="187"/>
      <c r="CD109" s="187"/>
      <c r="CE109" s="187"/>
      <c r="CF109" s="187"/>
      <c r="CG109" s="187"/>
      <c r="CH109" s="187"/>
      <c r="CI109" s="187"/>
      <c r="CJ109" s="187"/>
      <c r="CK109" s="187"/>
      <c r="CL109" s="187"/>
      <c r="CM109" s="187"/>
      <c r="CN109" s="187"/>
      <c r="CO109" s="187"/>
      <c r="CP109" s="187"/>
      <c r="CQ109" s="187"/>
      <c r="CR109" s="187"/>
      <c r="CS109" s="187"/>
      <c r="CT109" s="187"/>
      <c r="CU109" s="187"/>
      <c r="CV109" s="187"/>
      <c r="CW109" s="187"/>
      <c r="CX109" s="187"/>
      <c r="CY109" s="187"/>
      <c r="CZ109" s="187"/>
      <c r="DA109" s="187"/>
      <c r="DB109" s="187"/>
      <c r="DC109" s="187"/>
      <c r="DD109" s="187"/>
      <c r="DE109" s="187"/>
      <c r="DF109" s="187"/>
      <c r="DG109" s="187"/>
      <c r="DH109" s="187"/>
      <c r="DI109" s="187"/>
      <c r="DJ109" s="187"/>
      <c r="DK109" s="187"/>
      <c r="DL109" s="187"/>
      <c r="DM109" s="187"/>
      <c r="DN109" s="187"/>
      <c r="DO109" s="187"/>
      <c r="DP109" s="187"/>
      <c r="DQ109" s="187"/>
      <c r="DR109" s="187"/>
      <c r="DS109" s="187"/>
      <c r="DT109" s="187"/>
      <c r="DU109" s="187"/>
      <c r="DV109" s="187"/>
      <c r="DW109" s="187"/>
      <c r="DX109" s="187"/>
      <c r="DY109" s="187"/>
      <c r="DZ109" s="187"/>
      <c r="EA109" s="187"/>
      <c r="EB109" s="187"/>
      <c r="EC109" s="187"/>
      <c r="ED109" s="187"/>
      <c r="EE109" s="187"/>
      <c r="EF109" s="187"/>
      <c r="EG109" s="187"/>
      <c r="EH109" s="187"/>
      <c r="EI109" s="187"/>
      <c r="EJ109" s="187"/>
      <c r="EK109" s="187"/>
      <c r="EL109" s="187"/>
      <c r="EM109" s="187"/>
      <c r="EN109" s="187"/>
      <c r="EO109" s="187"/>
      <c r="EP109" s="187"/>
      <c r="EQ109" s="187"/>
      <c r="ER109" s="187"/>
      <c r="ES109" s="187"/>
      <c r="ET109" s="187"/>
      <c r="EU109" s="187"/>
      <c r="EV109" s="187"/>
      <c r="EW109" s="187"/>
      <c r="EX109" s="187"/>
      <c r="EY109" s="187"/>
      <c r="EZ109" s="187"/>
      <c r="FA109" s="187"/>
      <c r="FB109" s="187"/>
      <c r="FC109" s="187"/>
    </row>
    <row r="110" spans="1:159" ht="15" x14ac:dyDescent="0.25">
      <c r="A110" s="187" t="s">
        <v>276</v>
      </c>
      <c r="B110" s="187" t="s">
        <v>277</v>
      </c>
      <c r="C110" s="187">
        <v>4839</v>
      </c>
      <c r="D110" s="187">
        <v>0</v>
      </c>
      <c r="E110" s="187">
        <v>261</v>
      </c>
      <c r="F110" s="187">
        <v>755</v>
      </c>
      <c r="G110" s="187">
        <v>237</v>
      </c>
      <c r="H110" s="187">
        <v>6092</v>
      </c>
      <c r="I110" s="187">
        <v>5855</v>
      </c>
      <c r="J110" s="187">
        <v>14</v>
      </c>
      <c r="K110" s="187">
        <v>95.02</v>
      </c>
      <c r="L110" s="187">
        <v>92.06</v>
      </c>
      <c r="M110" s="187">
        <v>4.3499999999999996</v>
      </c>
      <c r="N110" s="187">
        <v>98.05</v>
      </c>
      <c r="O110" s="187">
        <v>4358</v>
      </c>
      <c r="P110" s="187">
        <v>104.25</v>
      </c>
      <c r="Q110" s="187">
        <v>86.36</v>
      </c>
      <c r="R110" s="187">
        <v>52.68</v>
      </c>
      <c r="S110" s="187">
        <v>153.84</v>
      </c>
      <c r="T110" s="187">
        <v>904</v>
      </c>
      <c r="U110" s="187">
        <v>121.09</v>
      </c>
      <c r="V110" s="187">
        <v>436</v>
      </c>
      <c r="W110" s="187">
        <v>270.72000000000003</v>
      </c>
      <c r="X110" s="187">
        <v>60</v>
      </c>
      <c r="Y110" s="187">
        <v>1</v>
      </c>
      <c r="Z110" s="187">
        <v>24</v>
      </c>
      <c r="AA110" s="187">
        <v>0</v>
      </c>
      <c r="AB110" s="187">
        <v>11</v>
      </c>
      <c r="AC110" s="187">
        <v>3</v>
      </c>
      <c r="AD110" s="187">
        <v>4839</v>
      </c>
      <c r="AE110" s="187">
        <v>13</v>
      </c>
      <c r="AF110" s="187">
        <v>83</v>
      </c>
      <c r="AG110" s="187">
        <v>96</v>
      </c>
      <c r="AH110" s="187"/>
      <c r="AI110" s="187"/>
      <c r="AJ110" s="187"/>
      <c r="AK110" s="187"/>
      <c r="AL110" s="187"/>
      <c r="AM110" s="187"/>
      <c r="AN110" s="187"/>
      <c r="AO110" s="187"/>
      <c r="AP110" s="187"/>
      <c r="AQ110" s="187"/>
      <c r="AR110" s="187"/>
      <c r="AS110" s="187"/>
      <c r="AT110" s="187"/>
      <c r="AU110" s="187"/>
      <c r="AV110" s="187"/>
      <c r="AW110" s="187"/>
      <c r="AX110" s="187"/>
      <c r="AY110" s="187"/>
      <c r="AZ110" s="187"/>
      <c r="BA110" s="187"/>
      <c r="BB110" s="187"/>
      <c r="BC110" s="187"/>
      <c r="BD110" s="187"/>
      <c r="BE110" s="187"/>
      <c r="BF110" s="187"/>
      <c r="BG110" s="187"/>
      <c r="BH110" s="187"/>
      <c r="BI110" s="187"/>
      <c r="BJ110" s="187"/>
      <c r="BK110" s="187"/>
      <c r="BL110" s="187"/>
      <c r="BM110" s="187"/>
      <c r="BN110" s="187"/>
      <c r="BO110" s="187"/>
      <c r="BP110" s="187"/>
      <c r="BQ110" s="187"/>
      <c r="BR110" s="187"/>
      <c r="BS110" s="187"/>
      <c r="BT110" s="187"/>
      <c r="BU110" s="187"/>
      <c r="BV110" s="187"/>
      <c r="BW110" s="187"/>
      <c r="BX110" s="187"/>
      <c r="BY110" s="187"/>
      <c r="BZ110" s="187"/>
      <c r="CA110" s="187"/>
      <c r="CB110" s="187"/>
      <c r="CC110" s="187"/>
      <c r="CD110" s="187"/>
      <c r="CE110" s="187"/>
      <c r="CF110" s="187"/>
      <c r="CG110" s="187"/>
      <c r="CH110" s="187"/>
      <c r="CI110" s="187"/>
      <c r="CJ110" s="187"/>
      <c r="CK110" s="187"/>
      <c r="CL110" s="187"/>
      <c r="CM110" s="187"/>
      <c r="CN110" s="187"/>
      <c r="CO110" s="187"/>
      <c r="CP110" s="187"/>
      <c r="CQ110" s="187"/>
      <c r="CR110" s="187"/>
      <c r="CS110" s="187"/>
      <c r="CT110" s="187"/>
      <c r="CU110" s="187"/>
      <c r="CV110" s="187"/>
      <c r="CW110" s="187"/>
      <c r="CX110" s="187"/>
      <c r="CY110" s="187"/>
      <c r="CZ110" s="187"/>
      <c r="DA110" s="187"/>
      <c r="DB110" s="187"/>
      <c r="DC110" s="187"/>
      <c r="DD110" s="187"/>
      <c r="DE110" s="187"/>
      <c r="DF110" s="187"/>
      <c r="DG110" s="187"/>
      <c r="DH110" s="187"/>
      <c r="DI110" s="187"/>
      <c r="DJ110" s="187"/>
      <c r="DK110" s="187"/>
      <c r="DL110" s="187"/>
      <c r="DM110" s="187"/>
      <c r="DN110" s="187"/>
      <c r="DO110" s="187"/>
      <c r="DP110" s="187"/>
      <c r="DQ110" s="187"/>
      <c r="DR110" s="187"/>
      <c r="DS110" s="187"/>
      <c r="DT110" s="187"/>
      <c r="DU110" s="187"/>
      <c r="DV110" s="187"/>
      <c r="DW110" s="187"/>
      <c r="DX110" s="187"/>
      <c r="DY110" s="187"/>
      <c r="DZ110" s="187"/>
      <c r="EA110" s="187"/>
      <c r="EB110" s="187"/>
      <c r="EC110" s="187"/>
      <c r="ED110" s="187"/>
      <c r="EE110" s="187"/>
      <c r="EF110" s="187"/>
      <c r="EG110" s="187"/>
      <c r="EH110" s="187"/>
      <c r="EI110" s="187"/>
      <c r="EJ110" s="187"/>
      <c r="EK110" s="187"/>
      <c r="EL110" s="187"/>
      <c r="EM110" s="187"/>
      <c r="EN110" s="187"/>
      <c r="EO110" s="187"/>
      <c r="EP110" s="187"/>
      <c r="EQ110" s="187"/>
      <c r="ER110" s="187"/>
      <c r="ES110" s="187"/>
      <c r="ET110" s="187"/>
      <c r="EU110" s="187"/>
      <c r="EV110" s="187"/>
      <c r="EW110" s="187"/>
      <c r="EX110" s="187"/>
      <c r="EY110" s="187"/>
      <c r="EZ110" s="187"/>
      <c r="FA110" s="187"/>
      <c r="FB110" s="187"/>
      <c r="FC110" s="187"/>
    </row>
    <row r="111" spans="1:159" ht="15" x14ac:dyDescent="0.25">
      <c r="A111" s="187" t="s">
        <v>278</v>
      </c>
      <c r="B111" s="187" t="s">
        <v>279</v>
      </c>
      <c r="C111" s="187">
        <v>1676</v>
      </c>
      <c r="D111" s="187">
        <v>0</v>
      </c>
      <c r="E111" s="187">
        <v>187</v>
      </c>
      <c r="F111" s="187">
        <v>265</v>
      </c>
      <c r="G111" s="187">
        <v>328</v>
      </c>
      <c r="H111" s="187">
        <v>2456</v>
      </c>
      <c r="I111" s="187">
        <v>2128</v>
      </c>
      <c r="J111" s="187">
        <v>30</v>
      </c>
      <c r="K111" s="187">
        <v>101.33</v>
      </c>
      <c r="L111" s="187">
        <v>99.15</v>
      </c>
      <c r="M111" s="187">
        <v>9.24</v>
      </c>
      <c r="N111" s="187">
        <v>108.41</v>
      </c>
      <c r="O111" s="187">
        <v>1235</v>
      </c>
      <c r="P111" s="187">
        <v>105.57</v>
      </c>
      <c r="Q111" s="187">
        <v>84.43</v>
      </c>
      <c r="R111" s="187">
        <v>57.1</v>
      </c>
      <c r="S111" s="187">
        <v>160.02000000000001</v>
      </c>
      <c r="T111" s="187">
        <v>367</v>
      </c>
      <c r="U111" s="187">
        <v>147.59</v>
      </c>
      <c r="V111" s="187">
        <v>244</v>
      </c>
      <c r="W111" s="187">
        <v>79.56</v>
      </c>
      <c r="X111" s="187">
        <v>7</v>
      </c>
      <c r="Y111" s="187">
        <v>18</v>
      </c>
      <c r="Z111" s="187">
        <v>0</v>
      </c>
      <c r="AA111" s="187">
        <v>0</v>
      </c>
      <c r="AB111" s="187">
        <v>30</v>
      </c>
      <c r="AC111" s="187">
        <v>6</v>
      </c>
      <c r="AD111" s="187">
        <v>1516</v>
      </c>
      <c r="AE111" s="187">
        <v>18</v>
      </c>
      <c r="AF111" s="187">
        <v>7</v>
      </c>
      <c r="AG111" s="187">
        <v>25</v>
      </c>
      <c r="AH111" s="187"/>
      <c r="AI111" s="187"/>
      <c r="AJ111" s="187"/>
      <c r="AK111" s="187"/>
      <c r="AL111" s="187"/>
      <c r="AM111" s="187"/>
      <c r="AN111" s="187"/>
      <c r="AO111" s="187"/>
      <c r="AP111" s="187"/>
      <c r="AQ111" s="187"/>
      <c r="AR111" s="187"/>
      <c r="AS111" s="187"/>
      <c r="AT111" s="187"/>
      <c r="AU111" s="187"/>
      <c r="AV111" s="187"/>
      <c r="AW111" s="187"/>
      <c r="AX111" s="187"/>
      <c r="AY111" s="187"/>
      <c r="AZ111" s="187"/>
      <c r="BA111" s="187"/>
      <c r="BB111" s="187"/>
      <c r="BC111" s="187"/>
      <c r="BD111" s="187"/>
      <c r="BE111" s="187"/>
      <c r="BF111" s="187"/>
      <c r="BG111" s="187"/>
      <c r="BH111" s="187"/>
      <c r="BI111" s="187"/>
      <c r="BJ111" s="187"/>
      <c r="BK111" s="187"/>
      <c r="BL111" s="187"/>
      <c r="BM111" s="187"/>
      <c r="BN111" s="187"/>
      <c r="BO111" s="187"/>
      <c r="BP111" s="187"/>
      <c r="BQ111" s="187"/>
      <c r="BR111" s="187"/>
      <c r="BS111" s="187"/>
      <c r="BT111" s="187"/>
      <c r="BU111" s="187"/>
      <c r="BV111" s="187"/>
      <c r="BW111" s="187"/>
      <c r="BX111" s="187"/>
      <c r="BY111" s="187"/>
      <c r="BZ111" s="187"/>
      <c r="CA111" s="187"/>
      <c r="CB111" s="187"/>
      <c r="CC111" s="187"/>
      <c r="CD111" s="187"/>
      <c r="CE111" s="187"/>
      <c r="CF111" s="187"/>
      <c r="CG111" s="187"/>
      <c r="CH111" s="187"/>
      <c r="CI111" s="187"/>
      <c r="CJ111" s="187"/>
      <c r="CK111" s="187"/>
      <c r="CL111" s="187"/>
      <c r="CM111" s="187"/>
      <c r="CN111" s="187"/>
      <c r="CO111" s="187"/>
      <c r="CP111" s="187"/>
      <c r="CQ111" s="187"/>
      <c r="CR111" s="187"/>
      <c r="CS111" s="187"/>
      <c r="CT111" s="187"/>
      <c r="CU111" s="187"/>
      <c r="CV111" s="187"/>
      <c r="CW111" s="187"/>
      <c r="CX111" s="187"/>
      <c r="CY111" s="187"/>
      <c r="CZ111" s="187"/>
      <c r="DA111" s="187"/>
      <c r="DB111" s="187"/>
      <c r="DC111" s="187"/>
      <c r="DD111" s="187"/>
      <c r="DE111" s="187"/>
      <c r="DF111" s="187"/>
      <c r="DG111" s="187"/>
      <c r="DH111" s="187"/>
      <c r="DI111" s="187"/>
      <c r="DJ111" s="187"/>
      <c r="DK111" s="187"/>
      <c r="DL111" s="187"/>
      <c r="DM111" s="187"/>
      <c r="DN111" s="187"/>
      <c r="DO111" s="187"/>
      <c r="DP111" s="187"/>
      <c r="DQ111" s="187"/>
      <c r="DR111" s="187"/>
      <c r="DS111" s="187"/>
      <c r="DT111" s="187"/>
      <c r="DU111" s="187"/>
      <c r="DV111" s="187"/>
      <c r="DW111" s="187"/>
      <c r="DX111" s="187"/>
      <c r="DY111" s="187"/>
      <c r="DZ111" s="187"/>
      <c r="EA111" s="187"/>
      <c r="EB111" s="187"/>
      <c r="EC111" s="187"/>
      <c r="ED111" s="187"/>
      <c r="EE111" s="187"/>
      <c r="EF111" s="187"/>
      <c r="EG111" s="187"/>
      <c r="EH111" s="187"/>
      <c r="EI111" s="187"/>
      <c r="EJ111" s="187"/>
      <c r="EK111" s="187"/>
      <c r="EL111" s="187"/>
      <c r="EM111" s="187"/>
      <c r="EN111" s="187"/>
      <c r="EO111" s="187"/>
      <c r="EP111" s="187"/>
      <c r="EQ111" s="187"/>
      <c r="ER111" s="187"/>
      <c r="ES111" s="187"/>
      <c r="ET111" s="187"/>
      <c r="EU111" s="187"/>
      <c r="EV111" s="187"/>
      <c r="EW111" s="187"/>
      <c r="EX111" s="187"/>
      <c r="EY111" s="187"/>
      <c r="EZ111" s="187"/>
      <c r="FA111" s="187"/>
      <c r="FB111" s="187"/>
      <c r="FC111" s="187"/>
    </row>
    <row r="112" spans="1:159" ht="15" x14ac:dyDescent="0.25">
      <c r="A112" s="187" t="s">
        <v>280</v>
      </c>
      <c r="B112" s="187" t="s">
        <v>281</v>
      </c>
      <c r="C112" s="187">
        <v>4453</v>
      </c>
      <c r="D112" s="187">
        <v>0</v>
      </c>
      <c r="E112" s="187">
        <v>105</v>
      </c>
      <c r="F112" s="187">
        <v>786</v>
      </c>
      <c r="G112" s="187">
        <v>361</v>
      </c>
      <c r="H112" s="187">
        <v>5705</v>
      </c>
      <c r="I112" s="187">
        <v>5344</v>
      </c>
      <c r="J112" s="187">
        <v>19</v>
      </c>
      <c r="K112" s="187">
        <v>100.25</v>
      </c>
      <c r="L112" s="187">
        <v>96.81</v>
      </c>
      <c r="M112" s="187">
        <v>2.2999999999999998</v>
      </c>
      <c r="N112" s="187">
        <v>102.26</v>
      </c>
      <c r="O112" s="187">
        <v>3290</v>
      </c>
      <c r="P112" s="187">
        <v>96.29</v>
      </c>
      <c r="Q112" s="187">
        <v>86.31</v>
      </c>
      <c r="R112" s="187">
        <v>24.95</v>
      </c>
      <c r="S112" s="187">
        <v>120.35</v>
      </c>
      <c r="T112" s="187">
        <v>751</v>
      </c>
      <c r="U112" s="187">
        <v>123.84</v>
      </c>
      <c r="V112" s="187">
        <v>724</v>
      </c>
      <c r="W112" s="187">
        <v>241.08</v>
      </c>
      <c r="X112" s="187">
        <v>79</v>
      </c>
      <c r="Y112" s="187">
        <v>35</v>
      </c>
      <c r="Z112" s="187">
        <v>9</v>
      </c>
      <c r="AA112" s="187">
        <v>2</v>
      </c>
      <c r="AB112" s="187">
        <v>48</v>
      </c>
      <c r="AC112" s="187">
        <v>17</v>
      </c>
      <c r="AD112" s="187">
        <v>3977</v>
      </c>
      <c r="AE112" s="187">
        <v>14</v>
      </c>
      <c r="AF112" s="187">
        <v>24</v>
      </c>
      <c r="AG112" s="187">
        <v>38</v>
      </c>
      <c r="AH112" s="187"/>
      <c r="AI112" s="187"/>
      <c r="AJ112" s="187"/>
      <c r="AK112" s="187"/>
      <c r="AL112" s="187"/>
      <c r="AM112" s="187"/>
      <c r="AN112" s="187"/>
      <c r="AO112" s="187"/>
      <c r="AP112" s="187"/>
      <c r="AQ112" s="187"/>
      <c r="AR112" s="187"/>
      <c r="AS112" s="187"/>
      <c r="AT112" s="187"/>
      <c r="AU112" s="187"/>
      <c r="AV112" s="187"/>
      <c r="AW112" s="187"/>
      <c r="AX112" s="187"/>
      <c r="AY112" s="187"/>
      <c r="AZ112" s="187"/>
      <c r="BA112" s="187"/>
      <c r="BB112" s="187"/>
      <c r="BC112" s="187"/>
      <c r="BD112" s="187"/>
      <c r="BE112" s="187"/>
      <c r="BF112" s="187"/>
      <c r="BG112" s="187"/>
      <c r="BH112" s="187"/>
      <c r="BI112" s="187"/>
      <c r="BJ112" s="187"/>
      <c r="BK112" s="187"/>
      <c r="BL112" s="187"/>
      <c r="BM112" s="187"/>
      <c r="BN112" s="187"/>
      <c r="BO112" s="187"/>
      <c r="BP112" s="187"/>
      <c r="BQ112" s="187"/>
      <c r="BR112" s="187"/>
      <c r="BS112" s="187"/>
      <c r="BT112" s="187"/>
      <c r="BU112" s="187"/>
      <c r="BV112" s="187"/>
      <c r="BW112" s="187"/>
      <c r="BX112" s="187"/>
      <c r="BY112" s="187"/>
      <c r="BZ112" s="187"/>
      <c r="CA112" s="187"/>
      <c r="CB112" s="187"/>
      <c r="CC112" s="187"/>
      <c r="CD112" s="187"/>
      <c r="CE112" s="187"/>
      <c r="CF112" s="187"/>
      <c r="CG112" s="187"/>
      <c r="CH112" s="187"/>
      <c r="CI112" s="187"/>
      <c r="CJ112" s="187"/>
      <c r="CK112" s="187"/>
      <c r="CL112" s="187"/>
      <c r="CM112" s="187"/>
      <c r="CN112" s="187"/>
      <c r="CO112" s="187"/>
      <c r="CP112" s="187"/>
      <c r="CQ112" s="187"/>
      <c r="CR112" s="187"/>
      <c r="CS112" s="187"/>
      <c r="CT112" s="187"/>
      <c r="CU112" s="187"/>
      <c r="CV112" s="187"/>
      <c r="CW112" s="187"/>
      <c r="CX112" s="187"/>
      <c r="CY112" s="187"/>
      <c r="CZ112" s="187"/>
      <c r="DA112" s="187"/>
      <c r="DB112" s="187"/>
      <c r="DC112" s="187"/>
      <c r="DD112" s="187"/>
      <c r="DE112" s="187"/>
      <c r="DF112" s="187"/>
      <c r="DG112" s="187"/>
      <c r="DH112" s="187"/>
      <c r="DI112" s="187"/>
      <c r="DJ112" s="187"/>
      <c r="DK112" s="187"/>
      <c r="DL112" s="187"/>
      <c r="DM112" s="187"/>
      <c r="DN112" s="187"/>
      <c r="DO112" s="187"/>
      <c r="DP112" s="187"/>
      <c r="DQ112" s="187"/>
      <c r="DR112" s="187"/>
      <c r="DS112" s="187"/>
      <c r="DT112" s="187"/>
      <c r="DU112" s="187"/>
      <c r="DV112" s="187"/>
      <c r="DW112" s="187"/>
      <c r="DX112" s="187"/>
      <c r="DY112" s="187"/>
      <c r="DZ112" s="187"/>
      <c r="EA112" s="187"/>
      <c r="EB112" s="187"/>
      <c r="EC112" s="187"/>
      <c r="ED112" s="187"/>
      <c r="EE112" s="187"/>
      <c r="EF112" s="187"/>
      <c r="EG112" s="187"/>
      <c r="EH112" s="187"/>
      <c r="EI112" s="187"/>
      <c r="EJ112" s="187"/>
      <c r="EK112" s="187"/>
      <c r="EL112" s="187"/>
      <c r="EM112" s="187"/>
      <c r="EN112" s="187"/>
      <c r="EO112" s="187"/>
      <c r="EP112" s="187"/>
      <c r="EQ112" s="187"/>
      <c r="ER112" s="187"/>
      <c r="ES112" s="187"/>
      <c r="ET112" s="187"/>
      <c r="EU112" s="187"/>
      <c r="EV112" s="187"/>
      <c r="EW112" s="187"/>
      <c r="EX112" s="187"/>
      <c r="EY112" s="187"/>
      <c r="EZ112" s="187"/>
      <c r="FA112" s="187"/>
      <c r="FB112" s="187"/>
      <c r="FC112" s="187"/>
    </row>
    <row r="113" spans="1:159" ht="15" x14ac:dyDescent="0.25">
      <c r="A113" s="187" t="s">
        <v>282</v>
      </c>
      <c r="B113" s="187" t="s">
        <v>283</v>
      </c>
      <c r="C113" s="187">
        <v>2623</v>
      </c>
      <c r="D113" s="187">
        <v>0</v>
      </c>
      <c r="E113" s="187">
        <v>128</v>
      </c>
      <c r="F113" s="187">
        <v>501</v>
      </c>
      <c r="G113" s="187">
        <v>312</v>
      </c>
      <c r="H113" s="187">
        <v>3564</v>
      </c>
      <c r="I113" s="187">
        <v>3252</v>
      </c>
      <c r="J113" s="187">
        <v>2</v>
      </c>
      <c r="K113" s="187">
        <v>93.19</v>
      </c>
      <c r="L113" s="187">
        <v>90.42</v>
      </c>
      <c r="M113" s="187">
        <v>3.76</v>
      </c>
      <c r="N113" s="187">
        <v>96.71</v>
      </c>
      <c r="O113" s="187">
        <v>1855</v>
      </c>
      <c r="P113" s="187">
        <v>93.06</v>
      </c>
      <c r="Q113" s="187">
        <v>78.81</v>
      </c>
      <c r="R113" s="187">
        <v>26.17</v>
      </c>
      <c r="S113" s="187">
        <v>118.69</v>
      </c>
      <c r="T113" s="187">
        <v>597</v>
      </c>
      <c r="U113" s="187">
        <v>119.15</v>
      </c>
      <c r="V113" s="187">
        <v>748</v>
      </c>
      <c r="W113" s="187">
        <v>0</v>
      </c>
      <c r="X113" s="187">
        <v>0</v>
      </c>
      <c r="Y113" s="187">
        <v>0</v>
      </c>
      <c r="Z113" s="187">
        <v>5</v>
      </c>
      <c r="AA113" s="187">
        <v>0</v>
      </c>
      <c r="AB113" s="187">
        <v>49</v>
      </c>
      <c r="AC113" s="187">
        <v>9</v>
      </c>
      <c r="AD113" s="187">
        <v>2602</v>
      </c>
      <c r="AE113" s="187">
        <v>19</v>
      </c>
      <c r="AF113" s="187">
        <v>3</v>
      </c>
      <c r="AG113" s="187">
        <v>22</v>
      </c>
      <c r="AH113" s="187"/>
      <c r="AI113" s="187"/>
      <c r="AJ113" s="187"/>
      <c r="AK113" s="187"/>
      <c r="AL113" s="187"/>
      <c r="AM113" s="187"/>
      <c r="AN113" s="187"/>
      <c r="AO113" s="187"/>
      <c r="AP113" s="187"/>
      <c r="AQ113" s="187"/>
      <c r="AR113" s="187"/>
      <c r="AS113" s="187"/>
      <c r="AT113" s="187"/>
      <c r="AU113" s="187"/>
      <c r="AV113" s="187"/>
      <c r="AW113" s="187"/>
      <c r="AX113" s="187"/>
      <c r="AY113" s="187"/>
      <c r="AZ113" s="187"/>
      <c r="BA113" s="187"/>
      <c r="BB113" s="187"/>
      <c r="BC113" s="187"/>
      <c r="BD113" s="187"/>
      <c r="BE113" s="187"/>
      <c r="BF113" s="187"/>
      <c r="BG113" s="187"/>
      <c r="BH113" s="187"/>
      <c r="BI113" s="187"/>
      <c r="BJ113" s="187"/>
      <c r="BK113" s="187"/>
      <c r="BL113" s="187"/>
      <c r="BM113" s="187"/>
      <c r="BN113" s="187"/>
      <c r="BO113" s="187"/>
      <c r="BP113" s="187"/>
      <c r="BQ113" s="187"/>
      <c r="BR113" s="187"/>
      <c r="BS113" s="187"/>
      <c r="BT113" s="187"/>
      <c r="BU113" s="187"/>
      <c r="BV113" s="187"/>
      <c r="BW113" s="187"/>
      <c r="BX113" s="187"/>
      <c r="BY113" s="187"/>
      <c r="BZ113" s="187"/>
      <c r="CA113" s="187"/>
      <c r="CB113" s="187"/>
      <c r="CC113" s="187"/>
      <c r="CD113" s="187"/>
      <c r="CE113" s="187"/>
      <c r="CF113" s="187"/>
      <c r="CG113" s="187"/>
      <c r="CH113" s="187"/>
      <c r="CI113" s="187"/>
      <c r="CJ113" s="187"/>
      <c r="CK113" s="187"/>
      <c r="CL113" s="187"/>
      <c r="CM113" s="187"/>
      <c r="CN113" s="187"/>
      <c r="CO113" s="187"/>
      <c r="CP113" s="187"/>
      <c r="CQ113" s="187"/>
      <c r="CR113" s="187"/>
      <c r="CS113" s="187"/>
      <c r="CT113" s="187"/>
      <c r="CU113" s="187"/>
      <c r="CV113" s="187"/>
      <c r="CW113" s="187"/>
      <c r="CX113" s="187"/>
      <c r="CY113" s="187"/>
      <c r="CZ113" s="187"/>
      <c r="DA113" s="187"/>
      <c r="DB113" s="187"/>
      <c r="DC113" s="187"/>
      <c r="DD113" s="187"/>
      <c r="DE113" s="187"/>
      <c r="DF113" s="187"/>
      <c r="DG113" s="187"/>
      <c r="DH113" s="187"/>
      <c r="DI113" s="187"/>
      <c r="DJ113" s="187"/>
      <c r="DK113" s="187"/>
      <c r="DL113" s="187"/>
      <c r="DM113" s="187"/>
      <c r="DN113" s="187"/>
      <c r="DO113" s="187"/>
      <c r="DP113" s="187"/>
      <c r="DQ113" s="187"/>
      <c r="DR113" s="187"/>
      <c r="DS113" s="187"/>
      <c r="DT113" s="187"/>
      <c r="DU113" s="187"/>
      <c r="DV113" s="187"/>
      <c r="DW113" s="187"/>
      <c r="DX113" s="187"/>
      <c r="DY113" s="187"/>
      <c r="DZ113" s="187"/>
      <c r="EA113" s="187"/>
      <c r="EB113" s="187"/>
      <c r="EC113" s="187"/>
      <c r="ED113" s="187"/>
      <c r="EE113" s="187"/>
      <c r="EF113" s="187"/>
      <c r="EG113" s="187"/>
      <c r="EH113" s="187"/>
      <c r="EI113" s="187"/>
      <c r="EJ113" s="187"/>
      <c r="EK113" s="187"/>
      <c r="EL113" s="187"/>
      <c r="EM113" s="187"/>
      <c r="EN113" s="187"/>
      <c r="EO113" s="187"/>
      <c r="EP113" s="187"/>
      <c r="EQ113" s="187"/>
      <c r="ER113" s="187"/>
      <c r="ES113" s="187"/>
      <c r="ET113" s="187"/>
      <c r="EU113" s="187"/>
      <c r="EV113" s="187"/>
      <c r="EW113" s="187"/>
      <c r="EX113" s="187"/>
      <c r="EY113" s="187"/>
      <c r="EZ113" s="187"/>
      <c r="FA113" s="187"/>
      <c r="FB113" s="187"/>
      <c r="FC113" s="187"/>
    </row>
    <row r="114" spans="1:159" ht="15" x14ac:dyDescent="0.25">
      <c r="A114" s="187" t="s">
        <v>284</v>
      </c>
      <c r="B114" s="187" t="s">
        <v>285</v>
      </c>
      <c r="C114" s="187">
        <v>4063</v>
      </c>
      <c r="D114" s="187">
        <v>0</v>
      </c>
      <c r="E114" s="187">
        <v>441</v>
      </c>
      <c r="F114" s="187">
        <v>1088</v>
      </c>
      <c r="G114" s="187">
        <v>306</v>
      </c>
      <c r="H114" s="187">
        <v>5898</v>
      </c>
      <c r="I114" s="187">
        <v>5592</v>
      </c>
      <c r="J114" s="187">
        <v>54</v>
      </c>
      <c r="K114" s="187">
        <v>84.31</v>
      </c>
      <c r="L114" s="187">
        <v>81.13</v>
      </c>
      <c r="M114" s="187">
        <v>7.92</v>
      </c>
      <c r="N114" s="187">
        <v>89.11</v>
      </c>
      <c r="O114" s="187">
        <v>2825</v>
      </c>
      <c r="P114" s="187">
        <v>101.71</v>
      </c>
      <c r="Q114" s="187">
        <v>83.11</v>
      </c>
      <c r="R114" s="187">
        <v>65.709999999999994</v>
      </c>
      <c r="S114" s="187">
        <v>165.98</v>
      </c>
      <c r="T114" s="187">
        <v>1324</v>
      </c>
      <c r="U114" s="187">
        <v>104.24</v>
      </c>
      <c r="V114" s="187">
        <v>1173</v>
      </c>
      <c r="W114" s="187">
        <v>239.23</v>
      </c>
      <c r="X114" s="187">
        <v>177</v>
      </c>
      <c r="Y114" s="187">
        <v>0</v>
      </c>
      <c r="Z114" s="187">
        <v>3</v>
      </c>
      <c r="AA114" s="187">
        <v>1</v>
      </c>
      <c r="AB114" s="187">
        <v>15</v>
      </c>
      <c r="AC114" s="187">
        <v>7</v>
      </c>
      <c r="AD114" s="187">
        <v>3721</v>
      </c>
      <c r="AE114" s="187">
        <v>50</v>
      </c>
      <c r="AF114" s="187">
        <v>39</v>
      </c>
      <c r="AG114" s="187">
        <v>89</v>
      </c>
      <c r="AH114" s="187"/>
      <c r="AI114" s="187"/>
      <c r="AJ114" s="187"/>
      <c r="AK114" s="187"/>
      <c r="AL114" s="187"/>
      <c r="AM114" s="187"/>
      <c r="AN114" s="187"/>
      <c r="AO114" s="187"/>
      <c r="AP114" s="187"/>
      <c r="AQ114" s="187"/>
      <c r="AR114" s="187"/>
      <c r="AS114" s="187"/>
      <c r="AT114" s="187"/>
      <c r="AU114" s="187"/>
      <c r="AV114" s="187"/>
      <c r="AW114" s="187"/>
      <c r="AX114" s="187"/>
      <c r="AY114" s="187"/>
      <c r="AZ114" s="187"/>
      <c r="BA114" s="187"/>
      <c r="BB114" s="187"/>
      <c r="BC114" s="187"/>
      <c r="BD114" s="187"/>
      <c r="BE114" s="187"/>
      <c r="BF114" s="187"/>
      <c r="BG114" s="187"/>
      <c r="BH114" s="187"/>
      <c r="BI114" s="187"/>
      <c r="BJ114" s="187"/>
      <c r="BK114" s="187"/>
      <c r="BL114" s="187"/>
      <c r="BM114" s="187"/>
      <c r="BN114" s="187"/>
      <c r="BO114" s="187"/>
      <c r="BP114" s="187"/>
      <c r="BQ114" s="187"/>
      <c r="BR114" s="187"/>
      <c r="BS114" s="187"/>
      <c r="BT114" s="187"/>
      <c r="BU114" s="187"/>
      <c r="BV114" s="187"/>
      <c r="BW114" s="187"/>
      <c r="BX114" s="187"/>
      <c r="BY114" s="187"/>
      <c r="BZ114" s="187"/>
      <c r="CA114" s="187"/>
      <c r="CB114" s="187"/>
      <c r="CC114" s="187"/>
      <c r="CD114" s="187"/>
      <c r="CE114" s="187"/>
      <c r="CF114" s="187"/>
      <c r="CG114" s="187"/>
      <c r="CH114" s="187"/>
      <c r="CI114" s="187"/>
      <c r="CJ114" s="187"/>
      <c r="CK114" s="187"/>
      <c r="CL114" s="187"/>
      <c r="CM114" s="187"/>
      <c r="CN114" s="187"/>
      <c r="CO114" s="187"/>
      <c r="CP114" s="187"/>
      <c r="CQ114" s="187"/>
      <c r="CR114" s="187"/>
      <c r="CS114" s="187"/>
      <c r="CT114" s="187"/>
      <c r="CU114" s="187"/>
      <c r="CV114" s="187"/>
      <c r="CW114" s="187"/>
      <c r="CX114" s="187"/>
      <c r="CY114" s="187"/>
      <c r="CZ114" s="187"/>
      <c r="DA114" s="187"/>
      <c r="DB114" s="187"/>
      <c r="DC114" s="187"/>
      <c r="DD114" s="187"/>
      <c r="DE114" s="187"/>
      <c r="DF114" s="187"/>
      <c r="DG114" s="187"/>
      <c r="DH114" s="187"/>
      <c r="DI114" s="187"/>
      <c r="DJ114" s="187"/>
      <c r="DK114" s="187"/>
      <c r="DL114" s="187"/>
      <c r="DM114" s="187"/>
      <c r="DN114" s="187"/>
      <c r="DO114" s="187"/>
      <c r="DP114" s="187"/>
      <c r="DQ114" s="187"/>
      <c r="DR114" s="187"/>
      <c r="DS114" s="187"/>
      <c r="DT114" s="187"/>
      <c r="DU114" s="187"/>
      <c r="DV114" s="187"/>
      <c r="DW114" s="187"/>
      <c r="DX114" s="187"/>
      <c r="DY114" s="187"/>
      <c r="DZ114" s="187"/>
      <c r="EA114" s="187"/>
      <c r="EB114" s="187"/>
      <c r="EC114" s="187"/>
      <c r="ED114" s="187"/>
      <c r="EE114" s="187"/>
      <c r="EF114" s="187"/>
      <c r="EG114" s="187"/>
      <c r="EH114" s="187"/>
      <c r="EI114" s="187"/>
      <c r="EJ114" s="187"/>
      <c r="EK114" s="187"/>
      <c r="EL114" s="187"/>
      <c r="EM114" s="187"/>
      <c r="EN114" s="187"/>
      <c r="EO114" s="187"/>
      <c r="EP114" s="187"/>
      <c r="EQ114" s="187"/>
      <c r="ER114" s="187"/>
      <c r="ES114" s="187"/>
      <c r="ET114" s="187"/>
      <c r="EU114" s="187"/>
      <c r="EV114" s="187"/>
      <c r="EW114" s="187"/>
      <c r="EX114" s="187"/>
      <c r="EY114" s="187"/>
      <c r="EZ114" s="187"/>
      <c r="FA114" s="187"/>
      <c r="FB114" s="187"/>
      <c r="FC114" s="187"/>
    </row>
    <row r="115" spans="1:159" ht="15" x14ac:dyDescent="0.25">
      <c r="A115" s="187" t="s">
        <v>286</v>
      </c>
      <c r="B115" s="187" t="s">
        <v>287</v>
      </c>
      <c r="C115" s="187">
        <v>3779</v>
      </c>
      <c r="D115" s="187">
        <v>0</v>
      </c>
      <c r="E115" s="187">
        <v>235</v>
      </c>
      <c r="F115" s="187">
        <v>1171</v>
      </c>
      <c r="G115" s="187">
        <v>226</v>
      </c>
      <c r="H115" s="187">
        <v>5411</v>
      </c>
      <c r="I115" s="187">
        <v>5185</v>
      </c>
      <c r="J115" s="187">
        <v>21</v>
      </c>
      <c r="K115" s="187">
        <v>88.26</v>
      </c>
      <c r="L115" s="187">
        <v>86.77</v>
      </c>
      <c r="M115" s="187">
        <v>5.61</v>
      </c>
      <c r="N115" s="187">
        <v>90.44</v>
      </c>
      <c r="O115" s="187">
        <v>3431</v>
      </c>
      <c r="P115" s="187">
        <v>94.77</v>
      </c>
      <c r="Q115" s="187">
        <v>77.89</v>
      </c>
      <c r="R115" s="187">
        <v>37.17</v>
      </c>
      <c r="S115" s="187">
        <v>131.88999999999999</v>
      </c>
      <c r="T115" s="187">
        <v>1350</v>
      </c>
      <c r="U115" s="187">
        <v>118.7</v>
      </c>
      <c r="V115" s="187">
        <v>325</v>
      </c>
      <c r="W115" s="187">
        <v>168.27</v>
      </c>
      <c r="X115" s="187">
        <v>53</v>
      </c>
      <c r="Y115" s="187">
        <v>0</v>
      </c>
      <c r="Z115" s="187">
        <v>11</v>
      </c>
      <c r="AA115" s="187">
        <v>5</v>
      </c>
      <c r="AB115" s="187">
        <v>32</v>
      </c>
      <c r="AC115" s="187">
        <v>9</v>
      </c>
      <c r="AD115" s="187">
        <v>3779</v>
      </c>
      <c r="AE115" s="187">
        <v>27</v>
      </c>
      <c r="AF115" s="187">
        <v>10</v>
      </c>
      <c r="AG115" s="187">
        <v>37</v>
      </c>
      <c r="AH115" s="187"/>
      <c r="AI115" s="187"/>
      <c r="AJ115" s="187"/>
      <c r="AK115" s="187"/>
      <c r="AL115" s="187"/>
      <c r="AM115" s="187"/>
      <c r="AN115" s="187"/>
      <c r="AO115" s="187"/>
      <c r="AP115" s="187"/>
      <c r="AQ115" s="187"/>
      <c r="AR115" s="187"/>
      <c r="AS115" s="187"/>
      <c r="AT115" s="187"/>
      <c r="AU115" s="187"/>
      <c r="AV115" s="187"/>
      <c r="AW115" s="187"/>
      <c r="AX115" s="187"/>
      <c r="AY115" s="187"/>
      <c r="AZ115" s="187"/>
      <c r="BA115" s="187"/>
      <c r="BB115" s="187"/>
      <c r="BC115" s="187"/>
      <c r="BD115" s="187"/>
      <c r="BE115" s="187"/>
      <c r="BF115" s="187"/>
      <c r="BG115" s="187"/>
      <c r="BH115" s="187"/>
      <c r="BI115" s="187"/>
      <c r="BJ115" s="187"/>
      <c r="BK115" s="187"/>
      <c r="BL115" s="187"/>
      <c r="BM115" s="187"/>
      <c r="BN115" s="187"/>
      <c r="BO115" s="187"/>
      <c r="BP115" s="187"/>
      <c r="BQ115" s="187"/>
      <c r="BR115" s="187"/>
      <c r="BS115" s="187"/>
      <c r="BT115" s="187"/>
      <c r="BU115" s="187"/>
      <c r="BV115" s="187"/>
      <c r="BW115" s="187"/>
      <c r="BX115" s="187"/>
      <c r="BY115" s="187"/>
      <c r="BZ115" s="187"/>
      <c r="CA115" s="187"/>
      <c r="CB115" s="187"/>
      <c r="CC115" s="187"/>
      <c r="CD115" s="187"/>
      <c r="CE115" s="187"/>
      <c r="CF115" s="187"/>
      <c r="CG115" s="187"/>
      <c r="CH115" s="187"/>
      <c r="CI115" s="187"/>
      <c r="CJ115" s="187"/>
      <c r="CK115" s="187"/>
      <c r="CL115" s="187"/>
      <c r="CM115" s="187"/>
      <c r="CN115" s="187"/>
      <c r="CO115" s="187"/>
      <c r="CP115" s="187"/>
      <c r="CQ115" s="187"/>
      <c r="CR115" s="187"/>
      <c r="CS115" s="187"/>
      <c r="CT115" s="187"/>
      <c r="CU115" s="187"/>
      <c r="CV115" s="187"/>
      <c r="CW115" s="187"/>
      <c r="CX115" s="187"/>
      <c r="CY115" s="187"/>
      <c r="CZ115" s="187"/>
      <c r="DA115" s="187"/>
      <c r="DB115" s="187"/>
      <c r="DC115" s="187"/>
      <c r="DD115" s="187"/>
      <c r="DE115" s="187"/>
      <c r="DF115" s="187"/>
      <c r="DG115" s="187"/>
      <c r="DH115" s="187"/>
      <c r="DI115" s="187"/>
      <c r="DJ115" s="187"/>
      <c r="DK115" s="187"/>
      <c r="DL115" s="187"/>
      <c r="DM115" s="187"/>
      <c r="DN115" s="187"/>
      <c r="DO115" s="187"/>
      <c r="DP115" s="187"/>
      <c r="DQ115" s="187"/>
      <c r="DR115" s="187"/>
      <c r="DS115" s="187"/>
      <c r="DT115" s="187"/>
      <c r="DU115" s="187"/>
      <c r="DV115" s="187"/>
      <c r="DW115" s="187"/>
      <c r="DX115" s="187"/>
      <c r="DY115" s="187"/>
      <c r="DZ115" s="187"/>
      <c r="EA115" s="187"/>
      <c r="EB115" s="187"/>
      <c r="EC115" s="187"/>
      <c r="ED115" s="187"/>
      <c r="EE115" s="187"/>
      <c r="EF115" s="187"/>
      <c r="EG115" s="187"/>
      <c r="EH115" s="187"/>
      <c r="EI115" s="187"/>
      <c r="EJ115" s="187"/>
      <c r="EK115" s="187"/>
      <c r="EL115" s="187"/>
      <c r="EM115" s="187"/>
      <c r="EN115" s="187"/>
      <c r="EO115" s="187"/>
      <c r="EP115" s="187"/>
      <c r="EQ115" s="187"/>
      <c r="ER115" s="187"/>
      <c r="ES115" s="187"/>
      <c r="ET115" s="187"/>
      <c r="EU115" s="187"/>
      <c r="EV115" s="187"/>
      <c r="EW115" s="187"/>
      <c r="EX115" s="187"/>
      <c r="EY115" s="187"/>
      <c r="EZ115" s="187"/>
      <c r="FA115" s="187"/>
      <c r="FB115" s="187"/>
      <c r="FC115" s="187"/>
    </row>
    <row r="116" spans="1:159" ht="15" x14ac:dyDescent="0.25">
      <c r="A116" s="187" t="s">
        <v>288</v>
      </c>
      <c r="B116" s="187" t="s">
        <v>289</v>
      </c>
      <c r="C116" s="187">
        <v>7135</v>
      </c>
      <c r="D116" s="187">
        <v>0</v>
      </c>
      <c r="E116" s="187">
        <v>649</v>
      </c>
      <c r="F116" s="187">
        <v>790</v>
      </c>
      <c r="G116" s="187">
        <v>734</v>
      </c>
      <c r="H116" s="187">
        <v>9308</v>
      </c>
      <c r="I116" s="187">
        <v>8574</v>
      </c>
      <c r="J116" s="187">
        <v>34</v>
      </c>
      <c r="K116" s="187">
        <v>91.67</v>
      </c>
      <c r="L116" s="187">
        <v>90.08</v>
      </c>
      <c r="M116" s="187">
        <v>9.18</v>
      </c>
      <c r="N116" s="187">
        <v>95.93</v>
      </c>
      <c r="O116" s="187">
        <v>6261</v>
      </c>
      <c r="P116" s="187">
        <v>92.13</v>
      </c>
      <c r="Q116" s="187">
        <v>86.19</v>
      </c>
      <c r="R116" s="187">
        <v>57.58</v>
      </c>
      <c r="S116" s="187">
        <v>148.6</v>
      </c>
      <c r="T116" s="187">
        <v>987</v>
      </c>
      <c r="U116" s="187">
        <v>129.19999999999999</v>
      </c>
      <c r="V116" s="187">
        <v>778</v>
      </c>
      <c r="W116" s="187">
        <v>188.68</v>
      </c>
      <c r="X116" s="187">
        <v>26</v>
      </c>
      <c r="Y116" s="187">
        <v>0</v>
      </c>
      <c r="Z116" s="187">
        <v>19</v>
      </c>
      <c r="AA116" s="187">
        <v>23</v>
      </c>
      <c r="AB116" s="187">
        <v>76</v>
      </c>
      <c r="AC116" s="187">
        <v>18</v>
      </c>
      <c r="AD116" s="187">
        <v>7076</v>
      </c>
      <c r="AE116" s="187">
        <v>69</v>
      </c>
      <c r="AF116" s="187">
        <v>22</v>
      </c>
      <c r="AG116" s="187">
        <v>91</v>
      </c>
      <c r="AH116" s="187"/>
      <c r="AI116" s="187"/>
      <c r="AJ116" s="187"/>
      <c r="AK116" s="187"/>
      <c r="AL116" s="187"/>
      <c r="AM116" s="187"/>
      <c r="AN116" s="187"/>
      <c r="AO116" s="187"/>
      <c r="AP116" s="187"/>
      <c r="AQ116" s="187"/>
      <c r="AR116" s="187"/>
      <c r="AS116" s="187"/>
      <c r="AT116" s="187"/>
      <c r="AU116" s="187"/>
      <c r="AV116" s="187"/>
      <c r="AW116" s="187"/>
      <c r="AX116" s="187"/>
      <c r="AY116" s="187"/>
      <c r="AZ116" s="187"/>
      <c r="BA116" s="187"/>
      <c r="BB116" s="187"/>
      <c r="BC116" s="187"/>
      <c r="BD116" s="187"/>
      <c r="BE116" s="187"/>
      <c r="BF116" s="187"/>
      <c r="BG116" s="187"/>
      <c r="BH116" s="187"/>
      <c r="BI116" s="187"/>
      <c r="BJ116" s="187"/>
      <c r="BK116" s="187"/>
      <c r="BL116" s="187"/>
      <c r="BM116" s="187"/>
      <c r="BN116" s="187"/>
      <c r="BO116" s="187"/>
      <c r="BP116" s="187"/>
      <c r="BQ116" s="187"/>
      <c r="BR116" s="187"/>
      <c r="BS116" s="187"/>
      <c r="BT116" s="187"/>
      <c r="BU116" s="187"/>
      <c r="BV116" s="187"/>
      <c r="BW116" s="187"/>
      <c r="BX116" s="187"/>
      <c r="BY116" s="187"/>
      <c r="BZ116" s="187"/>
      <c r="CA116" s="187"/>
      <c r="CB116" s="187"/>
      <c r="CC116" s="187"/>
      <c r="CD116" s="187"/>
      <c r="CE116" s="187"/>
      <c r="CF116" s="187"/>
      <c r="CG116" s="187"/>
      <c r="CH116" s="187"/>
      <c r="CI116" s="187"/>
      <c r="CJ116" s="187"/>
      <c r="CK116" s="187"/>
      <c r="CL116" s="187"/>
      <c r="CM116" s="187"/>
      <c r="CN116" s="187"/>
      <c r="CO116" s="187"/>
      <c r="CP116" s="187"/>
      <c r="CQ116" s="187"/>
      <c r="CR116" s="187"/>
      <c r="CS116" s="187"/>
      <c r="CT116" s="187"/>
      <c r="CU116" s="187"/>
      <c r="CV116" s="187"/>
      <c r="CW116" s="187"/>
      <c r="CX116" s="187"/>
      <c r="CY116" s="187"/>
      <c r="CZ116" s="187"/>
      <c r="DA116" s="187"/>
      <c r="DB116" s="187"/>
      <c r="DC116" s="187"/>
      <c r="DD116" s="187"/>
      <c r="DE116" s="187"/>
      <c r="DF116" s="187"/>
      <c r="DG116" s="187"/>
      <c r="DH116" s="187"/>
      <c r="DI116" s="187"/>
      <c r="DJ116" s="187"/>
      <c r="DK116" s="187"/>
      <c r="DL116" s="187"/>
      <c r="DM116" s="187"/>
      <c r="DN116" s="187"/>
      <c r="DO116" s="187"/>
      <c r="DP116" s="187"/>
      <c r="DQ116" s="187"/>
      <c r="DR116" s="187"/>
      <c r="DS116" s="187"/>
      <c r="DT116" s="187"/>
      <c r="DU116" s="187"/>
      <c r="DV116" s="187"/>
      <c r="DW116" s="187"/>
      <c r="DX116" s="187"/>
      <c r="DY116" s="187"/>
      <c r="DZ116" s="187"/>
      <c r="EA116" s="187"/>
      <c r="EB116" s="187"/>
      <c r="EC116" s="187"/>
      <c r="ED116" s="187"/>
      <c r="EE116" s="187"/>
      <c r="EF116" s="187"/>
      <c r="EG116" s="187"/>
      <c r="EH116" s="187"/>
      <c r="EI116" s="187"/>
      <c r="EJ116" s="187"/>
      <c r="EK116" s="187"/>
      <c r="EL116" s="187"/>
      <c r="EM116" s="187"/>
      <c r="EN116" s="187"/>
      <c r="EO116" s="187"/>
      <c r="EP116" s="187"/>
      <c r="EQ116" s="187"/>
      <c r="ER116" s="187"/>
      <c r="ES116" s="187"/>
      <c r="ET116" s="187"/>
      <c r="EU116" s="187"/>
      <c r="EV116" s="187"/>
      <c r="EW116" s="187"/>
      <c r="EX116" s="187"/>
      <c r="EY116" s="187"/>
      <c r="EZ116" s="187"/>
      <c r="FA116" s="187"/>
      <c r="FB116" s="187"/>
      <c r="FC116" s="187"/>
    </row>
    <row r="117" spans="1:159" ht="15" x14ac:dyDescent="0.25">
      <c r="A117" s="187" t="s">
        <v>290</v>
      </c>
      <c r="B117" s="187" t="s">
        <v>291</v>
      </c>
      <c r="C117" s="187">
        <v>2344</v>
      </c>
      <c r="D117" s="187">
        <v>0</v>
      </c>
      <c r="E117" s="187">
        <v>80</v>
      </c>
      <c r="F117" s="187">
        <v>589</v>
      </c>
      <c r="G117" s="187">
        <v>486</v>
      </c>
      <c r="H117" s="187">
        <v>3499</v>
      </c>
      <c r="I117" s="187">
        <v>3013</v>
      </c>
      <c r="J117" s="187">
        <v>16</v>
      </c>
      <c r="K117" s="187">
        <v>105.15</v>
      </c>
      <c r="L117" s="187">
        <v>100.7</v>
      </c>
      <c r="M117" s="187">
        <v>10.28</v>
      </c>
      <c r="N117" s="187">
        <v>113.99</v>
      </c>
      <c r="O117" s="187">
        <v>1915</v>
      </c>
      <c r="P117" s="187">
        <v>100.55</v>
      </c>
      <c r="Q117" s="187">
        <v>91.14</v>
      </c>
      <c r="R117" s="187">
        <v>45.56</v>
      </c>
      <c r="S117" s="187">
        <v>144.93</v>
      </c>
      <c r="T117" s="187">
        <v>384</v>
      </c>
      <c r="U117" s="187">
        <v>138.49</v>
      </c>
      <c r="V117" s="187">
        <v>297</v>
      </c>
      <c r="W117" s="187">
        <v>145.16999999999999</v>
      </c>
      <c r="X117" s="187">
        <v>31</v>
      </c>
      <c r="Y117" s="187">
        <v>0</v>
      </c>
      <c r="Z117" s="187">
        <v>1</v>
      </c>
      <c r="AA117" s="187">
        <v>0</v>
      </c>
      <c r="AB117" s="187">
        <v>2</v>
      </c>
      <c r="AC117" s="187">
        <v>8</v>
      </c>
      <c r="AD117" s="187">
        <v>2344</v>
      </c>
      <c r="AE117" s="187">
        <v>6</v>
      </c>
      <c r="AF117" s="187">
        <v>3</v>
      </c>
      <c r="AG117" s="187">
        <v>9</v>
      </c>
      <c r="AH117" s="187"/>
      <c r="AI117" s="187"/>
      <c r="AJ117" s="187"/>
      <c r="AK117" s="187"/>
      <c r="AL117" s="187"/>
      <c r="AM117" s="187"/>
      <c r="AN117" s="187"/>
      <c r="AO117" s="187"/>
      <c r="AP117" s="187"/>
      <c r="AQ117" s="187"/>
      <c r="AR117" s="187"/>
      <c r="AS117" s="187"/>
      <c r="AT117" s="187"/>
      <c r="AU117" s="187"/>
      <c r="AV117" s="187"/>
      <c r="AW117" s="187"/>
      <c r="AX117" s="187"/>
      <c r="AY117" s="187"/>
      <c r="AZ117" s="187"/>
      <c r="BA117" s="187"/>
      <c r="BB117" s="187"/>
      <c r="BC117" s="187"/>
      <c r="BD117" s="187"/>
      <c r="BE117" s="187"/>
      <c r="BF117" s="187"/>
      <c r="BG117" s="187"/>
      <c r="BH117" s="187"/>
      <c r="BI117" s="187"/>
      <c r="BJ117" s="187"/>
      <c r="BK117" s="187"/>
      <c r="BL117" s="187"/>
      <c r="BM117" s="187"/>
      <c r="BN117" s="187"/>
      <c r="BO117" s="187"/>
      <c r="BP117" s="187"/>
      <c r="BQ117" s="187"/>
      <c r="BR117" s="187"/>
      <c r="BS117" s="187"/>
      <c r="BT117" s="187"/>
      <c r="BU117" s="187"/>
      <c r="BV117" s="187"/>
      <c r="BW117" s="187"/>
      <c r="BX117" s="187"/>
      <c r="BY117" s="187"/>
      <c r="BZ117" s="187"/>
      <c r="CA117" s="187"/>
      <c r="CB117" s="187"/>
      <c r="CC117" s="187"/>
      <c r="CD117" s="187"/>
      <c r="CE117" s="187"/>
      <c r="CF117" s="187"/>
      <c r="CG117" s="187"/>
      <c r="CH117" s="187"/>
      <c r="CI117" s="187"/>
      <c r="CJ117" s="187"/>
      <c r="CK117" s="187"/>
      <c r="CL117" s="187"/>
      <c r="CM117" s="187"/>
      <c r="CN117" s="187"/>
      <c r="CO117" s="187"/>
      <c r="CP117" s="187"/>
      <c r="CQ117" s="187"/>
      <c r="CR117" s="187"/>
      <c r="CS117" s="187"/>
      <c r="CT117" s="187"/>
      <c r="CU117" s="187"/>
      <c r="CV117" s="187"/>
      <c r="CW117" s="187"/>
      <c r="CX117" s="187"/>
      <c r="CY117" s="187"/>
      <c r="CZ117" s="187"/>
      <c r="DA117" s="187"/>
      <c r="DB117" s="187"/>
      <c r="DC117" s="187"/>
      <c r="DD117" s="187"/>
      <c r="DE117" s="187"/>
      <c r="DF117" s="187"/>
      <c r="DG117" s="187"/>
      <c r="DH117" s="187"/>
      <c r="DI117" s="187"/>
      <c r="DJ117" s="187"/>
      <c r="DK117" s="187"/>
      <c r="DL117" s="187"/>
      <c r="DM117" s="187"/>
      <c r="DN117" s="187"/>
      <c r="DO117" s="187"/>
      <c r="DP117" s="187"/>
      <c r="DQ117" s="187"/>
      <c r="DR117" s="187"/>
      <c r="DS117" s="187"/>
      <c r="DT117" s="187"/>
      <c r="DU117" s="187"/>
      <c r="DV117" s="187"/>
      <c r="DW117" s="187"/>
      <c r="DX117" s="187"/>
      <c r="DY117" s="187"/>
      <c r="DZ117" s="187"/>
      <c r="EA117" s="187"/>
      <c r="EB117" s="187"/>
      <c r="EC117" s="187"/>
      <c r="ED117" s="187"/>
      <c r="EE117" s="187"/>
      <c r="EF117" s="187"/>
      <c r="EG117" s="187"/>
      <c r="EH117" s="187"/>
      <c r="EI117" s="187"/>
      <c r="EJ117" s="187"/>
      <c r="EK117" s="187"/>
      <c r="EL117" s="187"/>
      <c r="EM117" s="187"/>
      <c r="EN117" s="187"/>
      <c r="EO117" s="187"/>
      <c r="EP117" s="187"/>
      <c r="EQ117" s="187"/>
      <c r="ER117" s="187"/>
      <c r="ES117" s="187"/>
      <c r="ET117" s="187"/>
      <c r="EU117" s="187"/>
      <c r="EV117" s="187"/>
      <c r="EW117" s="187"/>
      <c r="EX117" s="187"/>
      <c r="EY117" s="187"/>
      <c r="EZ117" s="187"/>
      <c r="FA117" s="187"/>
      <c r="FB117" s="187"/>
      <c r="FC117" s="187"/>
    </row>
    <row r="118" spans="1:159" ht="15" x14ac:dyDescent="0.25">
      <c r="A118" s="187" t="s">
        <v>292</v>
      </c>
      <c r="B118" s="187" t="s">
        <v>293</v>
      </c>
      <c r="C118" s="187">
        <v>1668</v>
      </c>
      <c r="D118" s="187">
        <v>0</v>
      </c>
      <c r="E118" s="187">
        <v>83</v>
      </c>
      <c r="F118" s="187">
        <v>118</v>
      </c>
      <c r="G118" s="187">
        <v>675</v>
      </c>
      <c r="H118" s="187">
        <v>2544</v>
      </c>
      <c r="I118" s="187">
        <v>1869</v>
      </c>
      <c r="J118" s="187">
        <v>12</v>
      </c>
      <c r="K118" s="187">
        <v>112.9</v>
      </c>
      <c r="L118" s="187">
        <v>113.11</v>
      </c>
      <c r="M118" s="187">
        <v>7.32</v>
      </c>
      <c r="N118" s="187">
        <v>118.76</v>
      </c>
      <c r="O118" s="187">
        <v>743</v>
      </c>
      <c r="P118" s="187">
        <v>109.23</v>
      </c>
      <c r="Q118" s="187">
        <v>95.09</v>
      </c>
      <c r="R118" s="187">
        <v>91.77</v>
      </c>
      <c r="S118" s="187">
        <v>191.22</v>
      </c>
      <c r="T118" s="187">
        <v>75</v>
      </c>
      <c r="U118" s="187">
        <v>161.66999999999999</v>
      </c>
      <c r="V118" s="187">
        <v>450</v>
      </c>
      <c r="W118" s="187">
        <v>244.59</v>
      </c>
      <c r="X118" s="187">
        <v>57</v>
      </c>
      <c r="Y118" s="187">
        <v>0</v>
      </c>
      <c r="Z118" s="187">
        <v>0</v>
      </c>
      <c r="AA118" s="187">
        <v>0</v>
      </c>
      <c r="AB118" s="187">
        <v>87</v>
      </c>
      <c r="AC118" s="187">
        <v>16</v>
      </c>
      <c r="AD118" s="187">
        <v>1198</v>
      </c>
      <c r="AE118" s="187">
        <v>10</v>
      </c>
      <c r="AF118" s="187">
        <v>21</v>
      </c>
      <c r="AG118" s="187">
        <v>31</v>
      </c>
      <c r="AH118" s="187"/>
      <c r="AI118" s="187"/>
      <c r="AJ118" s="187"/>
      <c r="AK118" s="187"/>
      <c r="AL118" s="187"/>
      <c r="AM118" s="187"/>
      <c r="AN118" s="187"/>
      <c r="AO118" s="187"/>
      <c r="AP118" s="187"/>
      <c r="AQ118" s="187"/>
      <c r="AR118" s="187"/>
      <c r="AS118" s="187"/>
      <c r="AT118" s="187"/>
      <c r="AU118" s="187"/>
      <c r="AV118" s="187"/>
      <c r="AW118" s="187"/>
      <c r="AX118" s="187"/>
      <c r="AY118" s="187"/>
      <c r="AZ118" s="187"/>
      <c r="BA118" s="187"/>
      <c r="BB118" s="187"/>
      <c r="BC118" s="187"/>
      <c r="BD118" s="187"/>
      <c r="BE118" s="187"/>
      <c r="BF118" s="187"/>
      <c r="BG118" s="187"/>
      <c r="BH118" s="187"/>
      <c r="BI118" s="187"/>
      <c r="BJ118" s="187"/>
      <c r="BK118" s="187"/>
      <c r="BL118" s="187"/>
      <c r="BM118" s="187"/>
      <c r="BN118" s="187"/>
      <c r="BO118" s="187"/>
      <c r="BP118" s="187"/>
      <c r="BQ118" s="187"/>
      <c r="BR118" s="187"/>
      <c r="BS118" s="187"/>
      <c r="BT118" s="187"/>
      <c r="BU118" s="187"/>
      <c r="BV118" s="187"/>
      <c r="BW118" s="187"/>
      <c r="BX118" s="187"/>
      <c r="BY118" s="187"/>
      <c r="BZ118" s="187"/>
      <c r="CA118" s="187"/>
      <c r="CB118" s="187"/>
      <c r="CC118" s="187"/>
      <c r="CD118" s="187"/>
      <c r="CE118" s="187"/>
      <c r="CF118" s="187"/>
      <c r="CG118" s="187"/>
      <c r="CH118" s="187"/>
      <c r="CI118" s="187"/>
      <c r="CJ118" s="187"/>
      <c r="CK118" s="187"/>
      <c r="CL118" s="187"/>
      <c r="CM118" s="187"/>
      <c r="CN118" s="187"/>
      <c r="CO118" s="187"/>
      <c r="CP118" s="187"/>
      <c r="CQ118" s="187"/>
      <c r="CR118" s="187"/>
      <c r="CS118" s="187"/>
      <c r="CT118" s="187"/>
      <c r="CU118" s="187"/>
      <c r="CV118" s="187"/>
      <c r="CW118" s="187"/>
      <c r="CX118" s="187"/>
      <c r="CY118" s="187"/>
      <c r="CZ118" s="187"/>
      <c r="DA118" s="187"/>
      <c r="DB118" s="187"/>
      <c r="DC118" s="187"/>
      <c r="DD118" s="187"/>
      <c r="DE118" s="187"/>
      <c r="DF118" s="187"/>
      <c r="DG118" s="187"/>
      <c r="DH118" s="187"/>
      <c r="DI118" s="187"/>
      <c r="DJ118" s="187"/>
      <c r="DK118" s="187"/>
      <c r="DL118" s="187"/>
      <c r="DM118" s="187"/>
      <c r="DN118" s="187"/>
      <c r="DO118" s="187"/>
      <c r="DP118" s="187"/>
      <c r="DQ118" s="187"/>
      <c r="DR118" s="187"/>
      <c r="DS118" s="187"/>
      <c r="DT118" s="187"/>
      <c r="DU118" s="187"/>
      <c r="DV118" s="187"/>
      <c r="DW118" s="187"/>
      <c r="DX118" s="187"/>
      <c r="DY118" s="187"/>
      <c r="DZ118" s="187"/>
      <c r="EA118" s="187"/>
      <c r="EB118" s="187"/>
      <c r="EC118" s="187"/>
      <c r="ED118" s="187"/>
      <c r="EE118" s="187"/>
      <c r="EF118" s="187"/>
      <c r="EG118" s="187"/>
      <c r="EH118" s="187"/>
      <c r="EI118" s="187"/>
      <c r="EJ118" s="187"/>
      <c r="EK118" s="187"/>
      <c r="EL118" s="187"/>
      <c r="EM118" s="187"/>
      <c r="EN118" s="187"/>
      <c r="EO118" s="187"/>
      <c r="EP118" s="187"/>
      <c r="EQ118" s="187"/>
      <c r="ER118" s="187"/>
      <c r="ES118" s="187"/>
      <c r="ET118" s="187"/>
      <c r="EU118" s="187"/>
      <c r="EV118" s="187"/>
      <c r="EW118" s="187"/>
      <c r="EX118" s="187"/>
      <c r="EY118" s="187"/>
      <c r="EZ118" s="187"/>
      <c r="FA118" s="187"/>
      <c r="FB118" s="187"/>
      <c r="FC118" s="187"/>
    </row>
    <row r="119" spans="1:159" ht="15" x14ac:dyDescent="0.25">
      <c r="A119" s="187" t="s">
        <v>294</v>
      </c>
      <c r="B119" s="187" t="s">
        <v>295</v>
      </c>
      <c r="C119" s="187">
        <v>1498</v>
      </c>
      <c r="D119" s="187">
        <v>0</v>
      </c>
      <c r="E119" s="187">
        <v>254</v>
      </c>
      <c r="F119" s="187">
        <v>150</v>
      </c>
      <c r="G119" s="187">
        <v>102</v>
      </c>
      <c r="H119" s="187">
        <v>2004</v>
      </c>
      <c r="I119" s="187">
        <v>1902</v>
      </c>
      <c r="J119" s="187">
        <v>24</v>
      </c>
      <c r="K119" s="187">
        <v>92.79</v>
      </c>
      <c r="L119" s="187">
        <v>90.77</v>
      </c>
      <c r="M119" s="187">
        <v>5.8</v>
      </c>
      <c r="N119" s="187">
        <v>96.67</v>
      </c>
      <c r="O119" s="187">
        <v>1161</v>
      </c>
      <c r="P119" s="187">
        <v>106.56</v>
      </c>
      <c r="Q119" s="187">
        <v>82.95</v>
      </c>
      <c r="R119" s="187">
        <v>76.05</v>
      </c>
      <c r="S119" s="187">
        <v>182.05</v>
      </c>
      <c r="T119" s="187">
        <v>270</v>
      </c>
      <c r="U119" s="187">
        <v>111.55</v>
      </c>
      <c r="V119" s="187">
        <v>302</v>
      </c>
      <c r="W119" s="187">
        <v>0</v>
      </c>
      <c r="X119" s="187">
        <v>0</v>
      </c>
      <c r="Y119" s="187">
        <v>0</v>
      </c>
      <c r="Z119" s="187">
        <v>2</v>
      </c>
      <c r="AA119" s="187">
        <v>12</v>
      </c>
      <c r="AB119" s="187">
        <v>12</v>
      </c>
      <c r="AC119" s="187">
        <v>3</v>
      </c>
      <c r="AD119" s="187">
        <v>1498</v>
      </c>
      <c r="AE119" s="187">
        <v>3</v>
      </c>
      <c r="AF119" s="187">
        <v>17</v>
      </c>
      <c r="AG119" s="187">
        <v>20</v>
      </c>
      <c r="AH119" s="187"/>
      <c r="AI119" s="187"/>
      <c r="AJ119" s="187"/>
      <c r="AK119" s="187"/>
      <c r="AL119" s="187"/>
      <c r="AM119" s="187"/>
      <c r="AN119" s="187"/>
      <c r="AO119" s="187"/>
      <c r="AP119" s="187"/>
      <c r="AQ119" s="187"/>
      <c r="AR119" s="187"/>
      <c r="AS119" s="187"/>
      <c r="AT119" s="187"/>
      <c r="AU119" s="187"/>
      <c r="AV119" s="187"/>
      <c r="AW119" s="187"/>
      <c r="AX119" s="187"/>
      <c r="AY119" s="187"/>
      <c r="AZ119" s="187"/>
      <c r="BA119" s="187"/>
      <c r="BB119" s="187"/>
      <c r="BC119" s="187"/>
      <c r="BD119" s="187"/>
      <c r="BE119" s="187"/>
      <c r="BF119" s="187"/>
      <c r="BG119" s="187"/>
      <c r="BH119" s="187"/>
      <c r="BI119" s="187"/>
      <c r="BJ119" s="187"/>
      <c r="BK119" s="187"/>
      <c r="BL119" s="187"/>
      <c r="BM119" s="187"/>
      <c r="BN119" s="187"/>
      <c r="BO119" s="187"/>
      <c r="BP119" s="187"/>
      <c r="BQ119" s="187"/>
      <c r="BR119" s="187"/>
      <c r="BS119" s="187"/>
      <c r="BT119" s="187"/>
      <c r="BU119" s="187"/>
      <c r="BV119" s="187"/>
      <c r="BW119" s="187"/>
      <c r="BX119" s="187"/>
      <c r="BY119" s="187"/>
      <c r="BZ119" s="187"/>
      <c r="CA119" s="187"/>
      <c r="CB119" s="187"/>
      <c r="CC119" s="187"/>
      <c r="CD119" s="187"/>
      <c r="CE119" s="187"/>
      <c r="CF119" s="187"/>
      <c r="CG119" s="187"/>
      <c r="CH119" s="187"/>
      <c r="CI119" s="187"/>
      <c r="CJ119" s="187"/>
      <c r="CK119" s="187"/>
      <c r="CL119" s="187"/>
      <c r="CM119" s="187"/>
      <c r="CN119" s="187"/>
      <c r="CO119" s="187"/>
      <c r="CP119" s="187"/>
      <c r="CQ119" s="187"/>
      <c r="CR119" s="187"/>
      <c r="CS119" s="187"/>
      <c r="CT119" s="187"/>
      <c r="CU119" s="187"/>
      <c r="CV119" s="187"/>
      <c r="CW119" s="187"/>
      <c r="CX119" s="187"/>
      <c r="CY119" s="187"/>
      <c r="CZ119" s="187"/>
      <c r="DA119" s="187"/>
      <c r="DB119" s="187"/>
      <c r="DC119" s="187"/>
      <c r="DD119" s="187"/>
      <c r="DE119" s="187"/>
      <c r="DF119" s="187"/>
      <c r="DG119" s="187"/>
      <c r="DH119" s="187"/>
      <c r="DI119" s="187"/>
      <c r="DJ119" s="187"/>
      <c r="DK119" s="187"/>
      <c r="DL119" s="187"/>
      <c r="DM119" s="187"/>
      <c r="DN119" s="187"/>
      <c r="DO119" s="187"/>
      <c r="DP119" s="187"/>
      <c r="DQ119" s="187"/>
      <c r="DR119" s="187"/>
      <c r="DS119" s="187"/>
      <c r="DT119" s="187"/>
      <c r="DU119" s="187"/>
      <c r="DV119" s="187"/>
      <c r="DW119" s="187"/>
      <c r="DX119" s="187"/>
      <c r="DY119" s="187"/>
      <c r="DZ119" s="187"/>
      <c r="EA119" s="187"/>
      <c r="EB119" s="187"/>
      <c r="EC119" s="187"/>
      <c r="ED119" s="187"/>
      <c r="EE119" s="187"/>
      <c r="EF119" s="187"/>
      <c r="EG119" s="187"/>
      <c r="EH119" s="187"/>
      <c r="EI119" s="187"/>
      <c r="EJ119" s="187"/>
      <c r="EK119" s="187"/>
      <c r="EL119" s="187"/>
      <c r="EM119" s="187"/>
      <c r="EN119" s="187"/>
      <c r="EO119" s="187"/>
      <c r="EP119" s="187"/>
      <c r="EQ119" s="187"/>
      <c r="ER119" s="187"/>
      <c r="ES119" s="187"/>
      <c r="ET119" s="187"/>
      <c r="EU119" s="187"/>
      <c r="EV119" s="187"/>
      <c r="EW119" s="187"/>
      <c r="EX119" s="187"/>
      <c r="EY119" s="187"/>
      <c r="EZ119" s="187"/>
      <c r="FA119" s="187"/>
      <c r="FB119" s="187"/>
      <c r="FC119" s="187"/>
    </row>
    <row r="120" spans="1:159" ht="15" x14ac:dyDescent="0.25">
      <c r="A120" s="187" t="s">
        <v>296</v>
      </c>
      <c r="B120" s="187" t="s">
        <v>297</v>
      </c>
      <c r="C120" s="187">
        <v>13506</v>
      </c>
      <c r="D120" s="187">
        <v>300</v>
      </c>
      <c r="E120" s="187">
        <v>508</v>
      </c>
      <c r="F120" s="187">
        <v>980</v>
      </c>
      <c r="G120" s="187">
        <v>2829</v>
      </c>
      <c r="H120" s="187">
        <v>18123</v>
      </c>
      <c r="I120" s="187">
        <v>15294</v>
      </c>
      <c r="J120" s="187">
        <v>62</v>
      </c>
      <c r="K120" s="187">
        <v>127.49</v>
      </c>
      <c r="L120" s="187">
        <v>126.83</v>
      </c>
      <c r="M120" s="187">
        <v>15.92</v>
      </c>
      <c r="N120" s="187">
        <v>140.04</v>
      </c>
      <c r="O120" s="187">
        <v>10007</v>
      </c>
      <c r="P120" s="187">
        <v>122.36</v>
      </c>
      <c r="Q120" s="187">
        <v>111.13</v>
      </c>
      <c r="R120" s="187">
        <v>62.35</v>
      </c>
      <c r="S120" s="187">
        <v>180.61</v>
      </c>
      <c r="T120" s="187">
        <v>1215</v>
      </c>
      <c r="U120" s="187">
        <v>190.18</v>
      </c>
      <c r="V120" s="187">
        <v>1588</v>
      </c>
      <c r="W120" s="187">
        <v>0</v>
      </c>
      <c r="X120" s="187">
        <v>0</v>
      </c>
      <c r="Y120" s="187">
        <v>9</v>
      </c>
      <c r="Z120" s="187">
        <v>4</v>
      </c>
      <c r="AA120" s="187">
        <v>35</v>
      </c>
      <c r="AB120" s="187">
        <v>100</v>
      </c>
      <c r="AC120" s="187">
        <v>93</v>
      </c>
      <c r="AD120" s="187">
        <v>11991</v>
      </c>
      <c r="AE120" s="187">
        <v>109</v>
      </c>
      <c r="AF120" s="187">
        <v>137</v>
      </c>
      <c r="AG120" s="187">
        <v>246</v>
      </c>
      <c r="AH120" s="187"/>
      <c r="AI120" s="187"/>
      <c r="AJ120" s="187"/>
      <c r="AK120" s="187"/>
      <c r="AL120" s="187"/>
      <c r="AM120" s="187"/>
      <c r="AN120" s="187"/>
      <c r="AO120" s="187"/>
      <c r="AP120" s="187"/>
      <c r="AQ120" s="187"/>
      <c r="AR120" s="187"/>
      <c r="AS120" s="187"/>
      <c r="AT120" s="187"/>
      <c r="AU120" s="187"/>
      <c r="AV120" s="187"/>
      <c r="AW120" s="187"/>
      <c r="AX120" s="187"/>
      <c r="AY120" s="187"/>
      <c r="AZ120" s="187"/>
      <c r="BA120" s="187"/>
      <c r="BB120" s="187"/>
      <c r="BC120" s="187"/>
      <c r="BD120" s="187"/>
      <c r="BE120" s="187"/>
      <c r="BF120" s="187"/>
      <c r="BG120" s="187"/>
      <c r="BH120" s="187"/>
      <c r="BI120" s="187"/>
      <c r="BJ120" s="187"/>
      <c r="BK120" s="187"/>
      <c r="BL120" s="187"/>
      <c r="BM120" s="187"/>
      <c r="BN120" s="187"/>
      <c r="BO120" s="187"/>
      <c r="BP120" s="187"/>
      <c r="BQ120" s="187"/>
      <c r="BR120" s="187"/>
      <c r="BS120" s="187"/>
      <c r="BT120" s="187"/>
      <c r="BU120" s="187"/>
      <c r="BV120" s="187"/>
      <c r="BW120" s="187"/>
      <c r="BX120" s="187"/>
      <c r="BY120" s="187"/>
      <c r="BZ120" s="187"/>
      <c r="CA120" s="187"/>
      <c r="CB120" s="187"/>
      <c r="CC120" s="187"/>
      <c r="CD120" s="187"/>
      <c r="CE120" s="187"/>
      <c r="CF120" s="187"/>
      <c r="CG120" s="187"/>
      <c r="CH120" s="187"/>
      <c r="CI120" s="187"/>
      <c r="CJ120" s="187"/>
      <c r="CK120" s="187"/>
      <c r="CL120" s="187"/>
      <c r="CM120" s="187"/>
      <c r="CN120" s="187"/>
      <c r="CO120" s="187"/>
      <c r="CP120" s="187"/>
      <c r="CQ120" s="187"/>
      <c r="CR120" s="187"/>
      <c r="CS120" s="187"/>
      <c r="CT120" s="187"/>
      <c r="CU120" s="187"/>
      <c r="CV120" s="187"/>
      <c r="CW120" s="187"/>
      <c r="CX120" s="187"/>
      <c r="CY120" s="187"/>
      <c r="CZ120" s="187"/>
      <c r="DA120" s="187"/>
      <c r="DB120" s="187"/>
      <c r="DC120" s="187"/>
      <c r="DD120" s="187"/>
      <c r="DE120" s="187"/>
      <c r="DF120" s="187"/>
      <c r="DG120" s="187"/>
      <c r="DH120" s="187"/>
      <c r="DI120" s="187"/>
      <c r="DJ120" s="187"/>
      <c r="DK120" s="187"/>
      <c r="DL120" s="187"/>
      <c r="DM120" s="187"/>
      <c r="DN120" s="187"/>
      <c r="DO120" s="187"/>
      <c r="DP120" s="187"/>
      <c r="DQ120" s="187"/>
      <c r="DR120" s="187"/>
      <c r="DS120" s="187"/>
      <c r="DT120" s="187"/>
      <c r="DU120" s="187"/>
      <c r="DV120" s="187"/>
      <c r="DW120" s="187"/>
      <c r="DX120" s="187"/>
      <c r="DY120" s="187"/>
      <c r="DZ120" s="187"/>
      <c r="EA120" s="187"/>
      <c r="EB120" s="187"/>
      <c r="EC120" s="187"/>
      <c r="ED120" s="187"/>
      <c r="EE120" s="187"/>
      <c r="EF120" s="187"/>
      <c r="EG120" s="187"/>
      <c r="EH120" s="187"/>
      <c r="EI120" s="187"/>
      <c r="EJ120" s="187"/>
      <c r="EK120" s="187"/>
      <c r="EL120" s="187"/>
      <c r="EM120" s="187"/>
      <c r="EN120" s="187"/>
      <c r="EO120" s="187"/>
      <c r="EP120" s="187"/>
      <c r="EQ120" s="187"/>
      <c r="ER120" s="187"/>
      <c r="ES120" s="187"/>
      <c r="ET120" s="187"/>
      <c r="EU120" s="187"/>
      <c r="EV120" s="187"/>
      <c r="EW120" s="187"/>
      <c r="EX120" s="187"/>
      <c r="EY120" s="187"/>
      <c r="EZ120" s="187"/>
      <c r="FA120" s="187"/>
      <c r="FB120" s="187"/>
      <c r="FC120" s="187"/>
    </row>
    <row r="121" spans="1:159" ht="15" x14ac:dyDescent="0.25">
      <c r="A121" s="187" t="s">
        <v>298</v>
      </c>
      <c r="B121" s="187" t="s">
        <v>299</v>
      </c>
      <c r="C121" s="187">
        <v>1997</v>
      </c>
      <c r="D121" s="187">
        <v>0</v>
      </c>
      <c r="E121" s="187">
        <v>267</v>
      </c>
      <c r="F121" s="187">
        <v>192</v>
      </c>
      <c r="G121" s="187">
        <v>581</v>
      </c>
      <c r="H121" s="187">
        <v>3037</v>
      </c>
      <c r="I121" s="187">
        <v>2456</v>
      </c>
      <c r="J121" s="187">
        <v>19</v>
      </c>
      <c r="K121" s="187">
        <v>132.77000000000001</v>
      </c>
      <c r="L121" s="187">
        <v>129.56</v>
      </c>
      <c r="M121" s="187">
        <v>9.0299999999999994</v>
      </c>
      <c r="N121" s="187">
        <v>140.08000000000001</v>
      </c>
      <c r="O121" s="187">
        <v>1384</v>
      </c>
      <c r="P121" s="187">
        <v>102.98</v>
      </c>
      <c r="Q121" s="187">
        <v>89.23</v>
      </c>
      <c r="R121" s="187">
        <v>104.38</v>
      </c>
      <c r="S121" s="187">
        <v>203.12</v>
      </c>
      <c r="T121" s="187">
        <v>197</v>
      </c>
      <c r="U121" s="187">
        <v>188.21</v>
      </c>
      <c r="V121" s="187">
        <v>454</v>
      </c>
      <c r="W121" s="187">
        <v>290.02999999999997</v>
      </c>
      <c r="X121" s="187">
        <v>42</v>
      </c>
      <c r="Y121" s="187">
        <v>39</v>
      </c>
      <c r="Z121" s="187">
        <v>1</v>
      </c>
      <c r="AA121" s="187">
        <v>23</v>
      </c>
      <c r="AB121" s="187">
        <v>97</v>
      </c>
      <c r="AC121" s="187">
        <v>12</v>
      </c>
      <c r="AD121" s="187">
        <v>1832</v>
      </c>
      <c r="AE121" s="187">
        <v>7</v>
      </c>
      <c r="AF121" s="187">
        <v>27</v>
      </c>
      <c r="AG121" s="187">
        <v>34</v>
      </c>
      <c r="AH121" s="187"/>
      <c r="AI121" s="187"/>
      <c r="AJ121" s="187"/>
      <c r="AK121" s="187"/>
      <c r="AL121" s="187"/>
      <c r="AM121" s="187"/>
      <c r="AN121" s="187"/>
      <c r="AO121" s="187"/>
      <c r="AP121" s="187"/>
      <c r="AQ121" s="187"/>
      <c r="AR121" s="187"/>
      <c r="AS121" s="187"/>
      <c r="AT121" s="187"/>
      <c r="AU121" s="187"/>
      <c r="AV121" s="187"/>
      <c r="AW121" s="187"/>
      <c r="AX121" s="187"/>
      <c r="AY121" s="187"/>
      <c r="AZ121" s="187"/>
      <c r="BA121" s="187"/>
      <c r="BB121" s="187"/>
      <c r="BC121" s="187"/>
      <c r="BD121" s="187"/>
      <c r="BE121" s="187"/>
      <c r="BF121" s="187"/>
      <c r="BG121" s="187"/>
      <c r="BH121" s="187"/>
      <c r="BI121" s="187"/>
      <c r="BJ121" s="187"/>
      <c r="BK121" s="187"/>
      <c r="BL121" s="187"/>
      <c r="BM121" s="187"/>
      <c r="BN121" s="187"/>
      <c r="BO121" s="187"/>
      <c r="BP121" s="187"/>
      <c r="BQ121" s="187"/>
      <c r="BR121" s="187"/>
      <c r="BS121" s="187"/>
      <c r="BT121" s="187"/>
      <c r="BU121" s="187"/>
      <c r="BV121" s="187"/>
      <c r="BW121" s="187"/>
      <c r="BX121" s="187"/>
      <c r="BY121" s="187"/>
      <c r="BZ121" s="187"/>
      <c r="CA121" s="187"/>
      <c r="CB121" s="187"/>
      <c r="CC121" s="187"/>
      <c r="CD121" s="187"/>
      <c r="CE121" s="187"/>
      <c r="CF121" s="187"/>
      <c r="CG121" s="187"/>
      <c r="CH121" s="187"/>
      <c r="CI121" s="187"/>
      <c r="CJ121" s="187"/>
      <c r="CK121" s="187"/>
      <c r="CL121" s="187"/>
      <c r="CM121" s="187"/>
      <c r="CN121" s="187"/>
      <c r="CO121" s="187"/>
      <c r="CP121" s="187"/>
      <c r="CQ121" s="187"/>
      <c r="CR121" s="187"/>
      <c r="CS121" s="187"/>
      <c r="CT121" s="187"/>
      <c r="CU121" s="187"/>
      <c r="CV121" s="187"/>
      <c r="CW121" s="187"/>
      <c r="CX121" s="187"/>
      <c r="CY121" s="187"/>
      <c r="CZ121" s="187"/>
      <c r="DA121" s="187"/>
      <c r="DB121" s="187"/>
      <c r="DC121" s="187"/>
      <c r="DD121" s="187"/>
      <c r="DE121" s="187"/>
      <c r="DF121" s="187"/>
      <c r="DG121" s="187"/>
      <c r="DH121" s="187"/>
      <c r="DI121" s="187"/>
      <c r="DJ121" s="187"/>
      <c r="DK121" s="187"/>
      <c r="DL121" s="187"/>
      <c r="DM121" s="187"/>
      <c r="DN121" s="187"/>
      <c r="DO121" s="187"/>
      <c r="DP121" s="187"/>
      <c r="DQ121" s="187"/>
      <c r="DR121" s="187"/>
      <c r="DS121" s="187"/>
      <c r="DT121" s="187"/>
      <c r="DU121" s="187"/>
      <c r="DV121" s="187"/>
      <c r="DW121" s="187"/>
      <c r="DX121" s="187"/>
      <c r="DY121" s="187"/>
      <c r="DZ121" s="187"/>
      <c r="EA121" s="187"/>
      <c r="EB121" s="187"/>
      <c r="EC121" s="187"/>
      <c r="ED121" s="187"/>
      <c r="EE121" s="187"/>
      <c r="EF121" s="187"/>
      <c r="EG121" s="187"/>
      <c r="EH121" s="187"/>
      <c r="EI121" s="187"/>
      <c r="EJ121" s="187"/>
      <c r="EK121" s="187"/>
      <c r="EL121" s="187"/>
      <c r="EM121" s="187"/>
      <c r="EN121" s="187"/>
      <c r="EO121" s="187"/>
      <c r="EP121" s="187"/>
      <c r="EQ121" s="187"/>
      <c r="ER121" s="187"/>
      <c r="ES121" s="187"/>
      <c r="ET121" s="187"/>
      <c r="EU121" s="187"/>
      <c r="EV121" s="187"/>
      <c r="EW121" s="187"/>
      <c r="EX121" s="187"/>
      <c r="EY121" s="187"/>
      <c r="EZ121" s="187"/>
      <c r="FA121" s="187"/>
      <c r="FB121" s="187"/>
      <c r="FC121" s="187"/>
    </row>
    <row r="122" spans="1:159" ht="15" x14ac:dyDescent="0.25">
      <c r="A122" s="187" t="s">
        <v>300</v>
      </c>
      <c r="B122" s="187" t="s">
        <v>301</v>
      </c>
      <c r="C122" s="187">
        <v>20166</v>
      </c>
      <c r="D122" s="187">
        <v>591</v>
      </c>
      <c r="E122" s="187">
        <v>1523</v>
      </c>
      <c r="F122" s="187">
        <v>1782</v>
      </c>
      <c r="G122" s="187">
        <v>2472</v>
      </c>
      <c r="H122" s="187">
        <v>26534</v>
      </c>
      <c r="I122" s="187">
        <v>24062</v>
      </c>
      <c r="J122" s="187">
        <v>121</v>
      </c>
      <c r="K122" s="187">
        <v>128.57</v>
      </c>
      <c r="L122" s="187">
        <v>134.52000000000001</v>
      </c>
      <c r="M122" s="187">
        <v>13.45</v>
      </c>
      <c r="N122" s="187">
        <v>138.9</v>
      </c>
      <c r="O122" s="187">
        <v>17292</v>
      </c>
      <c r="P122" s="187">
        <v>119.58</v>
      </c>
      <c r="Q122" s="187">
        <v>113.69</v>
      </c>
      <c r="R122" s="187">
        <v>63.43</v>
      </c>
      <c r="S122" s="187">
        <v>179.23</v>
      </c>
      <c r="T122" s="187">
        <v>2956</v>
      </c>
      <c r="U122" s="187">
        <v>230.63</v>
      </c>
      <c r="V122" s="187">
        <v>1073</v>
      </c>
      <c r="W122" s="187">
        <v>276.63</v>
      </c>
      <c r="X122" s="187">
        <v>53</v>
      </c>
      <c r="Y122" s="187">
        <v>5</v>
      </c>
      <c r="Z122" s="187">
        <v>3</v>
      </c>
      <c r="AA122" s="187">
        <v>26</v>
      </c>
      <c r="AB122" s="187">
        <v>47</v>
      </c>
      <c r="AC122" s="187">
        <v>57</v>
      </c>
      <c r="AD122" s="187">
        <v>18929</v>
      </c>
      <c r="AE122" s="187">
        <v>115</v>
      </c>
      <c r="AF122" s="187">
        <v>121</v>
      </c>
      <c r="AG122" s="187">
        <v>236</v>
      </c>
      <c r="AH122" s="187"/>
      <c r="AI122" s="187"/>
      <c r="AJ122" s="187"/>
      <c r="AK122" s="187"/>
      <c r="AL122" s="187"/>
      <c r="AM122" s="187"/>
      <c r="AN122" s="187"/>
      <c r="AO122" s="187"/>
      <c r="AP122" s="187"/>
      <c r="AQ122" s="187"/>
      <c r="AR122" s="187"/>
      <c r="AS122" s="187"/>
      <c r="AT122" s="187"/>
      <c r="AU122" s="187"/>
      <c r="AV122" s="187"/>
      <c r="AW122" s="187"/>
      <c r="AX122" s="187"/>
      <c r="AY122" s="187"/>
      <c r="AZ122" s="187"/>
      <c r="BA122" s="187"/>
      <c r="BB122" s="187"/>
      <c r="BC122" s="187"/>
      <c r="BD122" s="187"/>
      <c r="BE122" s="187"/>
      <c r="BF122" s="187"/>
      <c r="BG122" s="187"/>
      <c r="BH122" s="187"/>
      <c r="BI122" s="187"/>
      <c r="BJ122" s="187"/>
      <c r="BK122" s="187"/>
      <c r="BL122" s="187"/>
      <c r="BM122" s="187"/>
      <c r="BN122" s="187"/>
      <c r="BO122" s="187"/>
      <c r="BP122" s="187"/>
      <c r="BQ122" s="187"/>
      <c r="BR122" s="187"/>
      <c r="BS122" s="187"/>
      <c r="BT122" s="187"/>
      <c r="BU122" s="187"/>
      <c r="BV122" s="187"/>
      <c r="BW122" s="187"/>
      <c r="BX122" s="187"/>
      <c r="BY122" s="187"/>
      <c r="BZ122" s="187"/>
      <c r="CA122" s="187"/>
      <c r="CB122" s="187"/>
      <c r="CC122" s="187"/>
      <c r="CD122" s="187"/>
      <c r="CE122" s="187"/>
      <c r="CF122" s="187"/>
      <c r="CG122" s="187"/>
      <c r="CH122" s="187"/>
      <c r="CI122" s="187"/>
      <c r="CJ122" s="187"/>
      <c r="CK122" s="187"/>
      <c r="CL122" s="187"/>
      <c r="CM122" s="187"/>
      <c r="CN122" s="187"/>
      <c r="CO122" s="187"/>
      <c r="CP122" s="187"/>
      <c r="CQ122" s="187"/>
      <c r="CR122" s="187"/>
      <c r="CS122" s="187"/>
      <c r="CT122" s="187"/>
      <c r="CU122" s="187"/>
      <c r="CV122" s="187"/>
      <c r="CW122" s="187"/>
      <c r="CX122" s="187"/>
      <c r="CY122" s="187"/>
      <c r="CZ122" s="187"/>
      <c r="DA122" s="187"/>
      <c r="DB122" s="187"/>
      <c r="DC122" s="187"/>
      <c r="DD122" s="187"/>
      <c r="DE122" s="187"/>
      <c r="DF122" s="187"/>
      <c r="DG122" s="187"/>
      <c r="DH122" s="187"/>
      <c r="DI122" s="187"/>
      <c r="DJ122" s="187"/>
      <c r="DK122" s="187"/>
      <c r="DL122" s="187"/>
      <c r="DM122" s="187"/>
      <c r="DN122" s="187"/>
      <c r="DO122" s="187"/>
      <c r="DP122" s="187"/>
      <c r="DQ122" s="187"/>
      <c r="DR122" s="187"/>
      <c r="DS122" s="187"/>
      <c r="DT122" s="187"/>
      <c r="DU122" s="187"/>
      <c r="DV122" s="187"/>
      <c r="DW122" s="187"/>
      <c r="DX122" s="187"/>
      <c r="DY122" s="187"/>
      <c r="DZ122" s="187"/>
      <c r="EA122" s="187"/>
      <c r="EB122" s="187"/>
      <c r="EC122" s="187"/>
      <c r="ED122" s="187"/>
      <c r="EE122" s="187"/>
      <c r="EF122" s="187"/>
      <c r="EG122" s="187"/>
      <c r="EH122" s="187"/>
      <c r="EI122" s="187"/>
      <c r="EJ122" s="187"/>
      <c r="EK122" s="187"/>
      <c r="EL122" s="187"/>
      <c r="EM122" s="187"/>
      <c r="EN122" s="187"/>
      <c r="EO122" s="187"/>
      <c r="EP122" s="187"/>
      <c r="EQ122" s="187"/>
      <c r="ER122" s="187"/>
      <c r="ES122" s="187"/>
      <c r="ET122" s="187"/>
      <c r="EU122" s="187"/>
      <c r="EV122" s="187"/>
      <c r="EW122" s="187"/>
      <c r="EX122" s="187"/>
      <c r="EY122" s="187"/>
      <c r="EZ122" s="187"/>
      <c r="FA122" s="187"/>
      <c r="FB122" s="187"/>
      <c r="FC122" s="187"/>
    </row>
    <row r="123" spans="1:159" ht="15" x14ac:dyDescent="0.25">
      <c r="A123" s="187" t="s">
        <v>302</v>
      </c>
      <c r="B123" s="187" t="s">
        <v>303</v>
      </c>
      <c r="C123" s="187">
        <v>13366</v>
      </c>
      <c r="D123" s="187">
        <v>0</v>
      </c>
      <c r="E123" s="187">
        <v>521</v>
      </c>
      <c r="F123" s="187">
        <v>468</v>
      </c>
      <c r="G123" s="187">
        <v>433</v>
      </c>
      <c r="H123" s="187">
        <v>14788</v>
      </c>
      <c r="I123" s="187">
        <v>14355</v>
      </c>
      <c r="J123" s="187">
        <v>27</v>
      </c>
      <c r="K123" s="187">
        <v>88.78</v>
      </c>
      <c r="L123" s="187">
        <v>87.68</v>
      </c>
      <c r="M123" s="187">
        <v>5.28</v>
      </c>
      <c r="N123" s="187">
        <v>93.88</v>
      </c>
      <c r="O123" s="187">
        <v>11212</v>
      </c>
      <c r="P123" s="187">
        <v>94.3</v>
      </c>
      <c r="Q123" s="187">
        <v>78.790000000000006</v>
      </c>
      <c r="R123" s="187">
        <v>36.799999999999997</v>
      </c>
      <c r="S123" s="187">
        <v>130.21</v>
      </c>
      <c r="T123" s="187">
        <v>782</v>
      </c>
      <c r="U123" s="187">
        <v>107.95</v>
      </c>
      <c r="V123" s="187">
        <v>2130</v>
      </c>
      <c r="W123" s="187">
        <v>182.43</v>
      </c>
      <c r="X123" s="187">
        <v>134</v>
      </c>
      <c r="Y123" s="187">
        <v>0</v>
      </c>
      <c r="Z123" s="187">
        <v>30</v>
      </c>
      <c r="AA123" s="187">
        <v>1</v>
      </c>
      <c r="AB123" s="187">
        <v>25</v>
      </c>
      <c r="AC123" s="187">
        <v>14</v>
      </c>
      <c r="AD123" s="187">
        <v>13366</v>
      </c>
      <c r="AE123" s="187">
        <v>75</v>
      </c>
      <c r="AF123" s="187">
        <v>64</v>
      </c>
      <c r="AG123" s="187">
        <v>139</v>
      </c>
      <c r="AH123" s="187"/>
      <c r="AI123" s="187"/>
      <c r="AJ123" s="187"/>
      <c r="AK123" s="187"/>
      <c r="AL123" s="187"/>
      <c r="AM123" s="187"/>
      <c r="AN123" s="187"/>
      <c r="AO123" s="187"/>
      <c r="AP123" s="187"/>
      <c r="AQ123" s="187"/>
      <c r="AR123" s="187"/>
      <c r="AS123" s="187"/>
      <c r="AT123" s="187"/>
      <c r="AU123" s="187"/>
      <c r="AV123" s="187"/>
      <c r="AW123" s="187"/>
      <c r="AX123" s="187"/>
      <c r="AY123" s="187"/>
      <c r="AZ123" s="187"/>
      <c r="BA123" s="187"/>
      <c r="BB123" s="187"/>
      <c r="BC123" s="187"/>
      <c r="BD123" s="187"/>
      <c r="BE123" s="187"/>
      <c r="BF123" s="187"/>
      <c r="BG123" s="187"/>
      <c r="BH123" s="187"/>
      <c r="BI123" s="187"/>
      <c r="BJ123" s="187"/>
      <c r="BK123" s="187"/>
      <c r="BL123" s="187"/>
      <c r="BM123" s="187"/>
      <c r="BN123" s="187"/>
      <c r="BO123" s="187"/>
      <c r="BP123" s="187"/>
      <c r="BQ123" s="187"/>
      <c r="BR123" s="187"/>
      <c r="BS123" s="187"/>
      <c r="BT123" s="187"/>
      <c r="BU123" s="187"/>
      <c r="BV123" s="187"/>
      <c r="BW123" s="187"/>
      <c r="BX123" s="187"/>
      <c r="BY123" s="187"/>
      <c r="BZ123" s="187"/>
      <c r="CA123" s="187"/>
      <c r="CB123" s="187"/>
      <c r="CC123" s="187"/>
      <c r="CD123" s="187"/>
      <c r="CE123" s="187"/>
      <c r="CF123" s="187"/>
      <c r="CG123" s="187"/>
      <c r="CH123" s="187"/>
      <c r="CI123" s="187"/>
      <c r="CJ123" s="187"/>
      <c r="CK123" s="187"/>
      <c r="CL123" s="187"/>
      <c r="CM123" s="187"/>
      <c r="CN123" s="187"/>
      <c r="CO123" s="187"/>
      <c r="CP123" s="187"/>
      <c r="CQ123" s="187"/>
      <c r="CR123" s="187"/>
      <c r="CS123" s="187"/>
      <c r="CT123" s="187"/>
      <c r="CU123" s="187"/>
      <c r="CV123" s="187"/>
      <c r="CW123" s="187"/>
      <c r="CX123" s="187"/>
      <c r="CY123" s="187"/>
      <c r="CZ123" s="187"/>
      <c r="DA123" s="187"/>
      <c r="DB123" s="187"/>
      <c r="DC123" s="187"/>
      <c r="DD123" s="187"/>
      <c r="DE123" s="187"/>
      <c r="DF123" s="187"/>
      <c r="DG123" s="187"/>
      <c r="DH123" s="187"/>
      <c r="DI123" s="187"/>
      <c r="DJ123" s="187"/>
      <c r="DK123" s="187"/>
      <c r="DL123" s="187"/>
      <c r="DM123" s="187"/>
      <c r="DN123" s="187"/>
      <c r="DO123" s="187"/>
      <c r="DP123" s="187"/>
      <c r="DQ123" s="187"/>
      <c r="DR123" s="187"/>
      <c r="DS123" s="187"/>
      <c r="DT123" s="187"/>
      <c r="DU123" s="187"/>
      <c r="DV123" s="187"/>
      <c r="DW123" s="187"/>
      <c r="DX123" s="187"/>
      <c r="DY123" s="187"/>
      <c r="DZ123" s="187"/>
      <c r="EA123" s="187"/>
      <c r="EB123" s="187"/>
      <c r="EC123" s="187"/>
      <c r="ED123" s="187"/>
      <c r="EE123" s="187"/>
      <c r="EF123" s="187"/>
      <c r="EG123" s="187"/>
      <c r="EH123" s="187"/>
      <c r="EI123" s="187"/>
      <c r="EJ123" s="187"/>
      <c r="EK123" s="187"/>
      <c r="EL123" s="187"/>
      <c r="EM123" s="187"/>
      <c r="EN123" s="187"/>
      <c r="EO123" s="187"/>
      <c r="EP123" s="187"/>
      <c r="EQ123" s="187"/>
      <c r="ER123" s="187"/>
      <c r="ES123" s="187"/>
      <c r="ET123" s="187"/>
      <c r="EU123" s="187"/>
      <c r="EV123" s="187"/>
      <c r="EW123" s="187"/>
      <c r="EX123" s="187"/>
      <c r="EY123" s="187"/>
      <c r="EZ123" s="187"/>
      <c r="FA123" s="187"/>
      <c r="FB123" s="187"/>
      <c r="FC123" s="187"/>
    </row>
    <row r="124" spans="1:159" ht="15" x14ac:dyDescent="0.25">
      <c r="A124" s="187" t="s">
        <v>304</v>
      </c>
      <c r="B124" s="187" t="s">
        <v>305</v>
      </c>
      <c r="C124" s="187">
        <v>5392</v>
      </c>
      <c r="D124" s="187">
        <v>4</v>
      </c>
      <c r="E124" s="187">
        <v>389</v>
      </c>
      <c r="F124" s="187">
        <v>169</v>
      </c>
      <c r="G124" s="187">
        <v>398</v>
      </c>
      <c r="H124" s="187">
        <v>6352</v>
      </c>
      <c r="I124" s="187">
        <v>5954</v>
      </c>
      <c r="J124" s="187">
        <v>94</v>
      </c>
      <c r="K124" s="187">
        <v>97.73</v>
      </c>
      <c r="L124" s="187">
        <v>94.35</v>
      </c>
      <c r="M124" s="187">
        <v>2.12</v>
      </c>
      <c r="N124" s="187">
        <v>99.61</v>
      </c>
      <c r="O124" s="187">
        <v>4792</v>
      </c>
      <c r="P124" s="187">
        <v>120.06</v>
      </c>
      <c r="Q124" s="187">
        <v>90.86</v>
      </c>
      <c r="R124" s="187">
        <v>80.09</v>
      </c>
      <c r="S124" s="187">
        <v>200.16</v>
      </c>
      <c r="T124" s="187">
        <v>423</v>
      </c>
      <c r="U124" s="187">
        <v>123.93</v>
      </c>
      <c r="V124" s="187">
        <v>500</v>
      </c>
      <c r="W124" s="187">
        <v>196.99</v>
      </c>
      <c r="X124" s="187">
        <v>107</v>
      </c>
      <c r="Y124" s="187">
        <v>0</v>
      </c>
      <c r="Z124" s="187">
        <v>5</v>
      </c>
      <c r="AA124" s="187">
        <v>0</v>
      </c>
      <c r="AB124" s="187">
        <v>30</v>
      </c>
      <c r="AC124" s="187">
        <v>17</v>
      </c>
      <c r="AD124" s="187">
        <v>5380</v>
      </c>
      <c r="AE124" s="187">
        <v>31</v>
      </c>
      <c r="AF124" s="187">
        <v>94</v>
      </c>
      <c r="AG124" s="187">
        <v>125</v>
      </c>
      <c r="AH124" s="187"/>
      <c r="AI124" s="187"/>
      <c r="AJ124" s="187"/>
      <c r="AK124" s="187"/>
      <c r="AL124" s="187"/>
      <c r="AM124" s="187"/>
      <c r="AN124" s="187"/>
      <c r="AO124" s="187"/>
      <c r="AP124" s="187"/>
      <c r="AQ124" s="187"/>
      <c r="AR124" s="187"/>
      <c r="AS124" s="187"/>
      <c r="AT124" s="187"/>
      <c r="AU124" s="187"/>
      <c r="AV124" s="187"/>
      <c r="AW124" s="187"/>
      <c r="AX124" s="187"/>
      <c r="AY124" s="187"/>
      <c r="AZ124" s="187"/>
      <c r="BA124" s="187"/>
      <c r="BB124" s="187"/>
      <c r="BC124" s="187"/>
      <c r="BD124" s="187"/>
      <c r="BE124" s="187"/>
      <c r="BF124" s="187"/>
      <c r="BG124" s="187"/>
      <c r="BH124" s="187"/>
      <c r="BI124" s="187"/>
      <c r="BJ124" s="187"/>
      <c r="BK124" s="187"/>
      <c r="BL124" s="187"/>
      <c r="BM124" s="187"/>
      <c r="BN124" s="187"/>
      <c r="BO124" s="187"/>
      <c r="BP124" s="187"/>
      <c r="BQ124" s="187"/>
      <c r="BR124" s="187"/>
      <c r="BS124" s="187"/>
      <c r="BT124" s="187"/>
      <c r="BU124" s="187"/>
      <c r="BV124" s="187"/>
      <c r="BW124" s="187"/>
      <c r="BX124" s="187"/>
      <c r="BY124" s="187"/>
      <c r="BZ124" s="187"/>
      <c r="CA124" s="187"/>
      <c r="CB124" s="187"/>
      <c r="CC124" s="187"/>
      <c r="CD124" s="187"/>
      <c r="CE124" s="187"/>
      <c r="CF124" s="187"/>
      <c r="CG124" s="187"/>
      <c r="CH124" s="187"/>
      <c r="CI124" s="187"/>
      <c r="CJ124" s="187"/>
      <c r="CK124" s="187"/>
      <c r="CL124" s="187"/>
      <c r="CM124" s="187"/>
      <c r="CN124" s="187"/>
      <c r="CO124" s="187"/>
      <c r="CP124" s="187"/>
      <c r="CQ124" s="187"/>
      <c r="CR124" s="187"/>
      <c r="CS124" s="187"/>
      <c r="CT124" s="187"/>
      <c r="CU124" s="187"/>
      <c r="CV124" s="187"/>
      <c r="CW124" s="187"/>
      <c r="CX124" s="187"/>
      <c r="CY124" s="187"/>
      <c r="CZ124" s="187"/>
      <c r="DA124" s="187"/>
      <c r="DB124" s="187"/>
      <c r="DC124" s="187"/>
      <c r="DD124" s="187"/>
      <c r="DE124" s="187"/>
      <c r="DF124" s="187"/>
      <c r="DG124" s="187"/>
      <c r="DH124" s="187"/>
      <c r="DI124" s="187"/>
      <c r="DJ124" s="187"/>
      <c r="DK124" s="187"/>
      <c r="DL124" s="187"/>
      <c r="DM124" s="187"/>
      <c r="DN124" s="187"/>
      <c r="DO124" s="187"/>
      <c r="DP124" s="187"/>
      <c r="DQ124" s="187"/>
      <c r="DR124" s="187"/>
      <c r="DS124" s="187"/>
      <c r="DT124" s="187"/>
      <c r="DU124" s="187"/>
      <c r="DV124" s="187"/>
      <c r="DW124" s="187"/>
      <c r="DX124" s="187"/>
      <c r="DY124" s="187"/>
      <c r="DZ124" s="187"/>
      <c r="EA124" s="187"/>
      <c r="EB124" s="187"/>
      <c r="EC124" s="187"/>
      <c r="ED124" s="187"/>
      <c r="EE124" s="187"/>
      <c r="EF124" s="187"/>
      <c r="EG124" s="187"/>
      <c r="EH124" s="187"/>
      <c r="EI124" s="187"/>
      <c r="EJ124" s="187"/>
      <c r="EK124" s="187"/>
      <c r="EL124" s="187"/>
      <c r="EM124" s="187"/>
      <c r="EN124" s="187"/>
      <c r="EO124" s="187"/>
      <c r="EP124" s="187"/>
      <c r="EQ124" s="187"/>
      <c r="ER124" s="187"/>
      <c r="ES124" s="187"/>
      <c r="ET124" s="187"/>
      <c r="EU124" s="187"/>
      <c r="EV124" s="187"/>
      <c r="EW124" s="187"/>
      <c r="EX124" s="187"/>
      <c r="EY124" s="187"/>
      <c r="EZ124" s="187"/>
      <c r="FA124" s="187"/>
      <c r="FB124" s="187"/>
      <c r="FC124" s="187"/>
    </row>
    <row r="125" spans="1:159" ht="15" x14ac:dyDescent="0.25">
      <c r="A125" s="187" t="s">
        <v>306</v>
      </c>
      <c r="B125" s="187" t="s">
        <v>307</v>
      </c>
      <c r="C125" s="187">
        <v>12097</v>
      </c>
      <c r="D125" s="187">
        <v>122</v>
      </c>
      <c r="E125" s="187">
        <v>1153</v>
      </c>
      <c r="F125" s="187">
        <v>519</v>
      </c>
      <c r="G125" s="187">
        <v>1105</v>
      </c>
      <c r="H125" s="187">
        <v>14996</v>
      </c>
      <c r="I125" s="187">
        <v>13891</v>
      </c>
      <c r="J125" s="187">
        <v>227</v>
      </c>
      <c r="K125" s="187">
        <v>138.38999999999999</v>
      </c>
      <c r="L125" s="187">
        <v>151.68</v>
      </c>
      <c r="M125" s="187">
        <v>12.82</v>
      </c>
      <c r="N125" s="187">
        <v>145.69999999999999</v>
      </c>
      <c r="O125" s="187">
        <v>9461</v>
      </c>
      <c r="P125" s="187">
        <v>131.75</v>
      </c>
      <c r="Q125" s="187">
        <v>124.92</v>
      </c>
      <c r="R125" s="187">
        <v>61.32</v>
      </c>
      <c r="S125" s="187">
        <v>188.94</v>
      </c>
      <c r="T125" s="187">
        <v>1189</v>
      </c>
      <c r="U125" s="187">
        <v>227.59</v>
      </c>
      <c r="V125" s="187">
        <v>1414</v>
      </c>
      <c r="W125" s="187">
        <v>245.5</v>
      </c>
      <c r="X125" s="187">
        <v>134</v>
      </c>
      <c r="Y125" s="187">
        <v>88</v>
      </c>
      <c r="Z125" s="187">
        <v>0</v>
      </c>
      <c r="AA125" s="187">
        <v>27</v>
      </c>
      <c r="AB125" s="187">
        <v>59</v>
      </c>
      <c r="AC125" s="187">
        <v>31</v>
      </c>
      <c r="AD125" s="187">
        <v>11661</v>
      </c>
      <c r="AE125" s="187">
        <v>82</v>
      </c>
      <c r="AF125" s="187">
        <v>100</v>
      </c>
      <c r="AG125" s="187">
        <v>182</v>
      </c>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c r="BC125" s="187"/>
      <c r="BD125" s="187"/>
      <c r="BE125" s="187"/>
      <c r="BF125" s="187"/>
      <c r="BG125" s="187"/>
      <c r="BH125" s="187"/>
      <c r="BI125" s="187"/>
      <c r="BJ125" s="187"/>
      <c r="BK125" s="187"/>
      <c r="BL125" s="187"/>
      <c r="BM125" s="187"/>
      <c r="BN125" s="187"/>
      <c r="BO125" s="187"/>
      <c r="BP125" s="187"/>
      <c r="BQ125" s="187"/>
      <c r="BR125" s="187"/>
      <c r="BS125" s="187"/>
      <c r="BT125" s="187"/>
      <c r="BU125" s="187"/>
      <c r="BV125" s="187"/>
      <c r="BW125" s="187"/>
      <c r="BX125" s="187"/>
      <c r="BY125" s="187"/>
      <c r="BZ125" s="187"/>
      <c r="CA125" s="187"/>
      <c r="CB125" s="187"/>
      <c r="CC125" s="187"/>
      <c r="CD125" s="187"/>
      <c r="CE125" s="187"/>
      <c r="CF125" s="187"/>
      <c r="CG125" s="187"/>
      <c r="CH125" s="187"/>
      <c r="CI125" s="187"/>
      <c r="CJ125" s="187"/>
      <c r="CK125" s="187"/>
      <c r="CL125" s="187"/>
      <c r="CM125" s="187"/>
      <c r="CN125" s="187"/>
      <c r="CO125" s="187"/>
      <c r="CP125" s="187"/>
      <c r="CQ125" s="187"/>
      <c r="CR125" s="187"/>
      <c r="CS125" s="187"/>
      <c r="CT125" s="187"/>
      <c r="CU125" s="187"/>
      <c r="CV125" s="187"/>
      <c r="CW125" s="187"/>
      <c r="CX125" s="187"/>
      <c r="CY125" s="187"/>
      <c r="CZ125" s="187"/>
      <c r="DA125" s="187"/>
      <c r="DB125" s="187"/>
      <c r="DC125" s="187"/>
      <c r="DD125" s="187"/>
      <c r="DE125" s="187"/>
      <c r="DF125" s="187"/>
      <c r="DG125" s="187"/>
      <c r="DH125" s="187"/>
      <c r="DI125" s="187"/>
      <c r="DJ125" s="187"/>
      <c r="DK125" s="187"/>
      <c r="DL125" s="187"/>
      <c r="DM125" s="187"/>
      <c r="DN125" s="187"/>
      <c r="DO125" s="187"/>
      <c r="DP125" s="187"/>
      <c r="DQ125" s="187"/>
      <c r="DR125" s="187"/>
      <c r="DS125" s="187"/>
      <c r="DT125" s="187"/>
      <c r="DU125" s="187"/>
      <c r="DV125" s="187"/>
      <c r="DW125" s="187"/>
      <c r="DX125" s="187"/>
      <c r="DY125" s="187"/>
      <c r="DZ125" s="187"/>
      <c r="EA125" s="187"/>
      <c r="EB125" s="187"/>
      <c r="EC125" s="187"/>
      <c r="ED125" s="187"/>
      <c r="EE125" s="187"/>
      <c r="EF125" s="187"/>
      <c r="EG125" s="187"/>
      <c r="EH125" s="187"/>
      <c r="EI125" s="187"/>
      <c r="EJ125" s="187"/>
      <c r="EK125" s="187"/>
      <c r="EL125" s="187"/>
      <c r="EM125" s="187"/>
      <c r="EN125" s="187"/>
      <c r="EO125" s="187"/>
      <c r="EP125" s="187"/>
      <c r="EQ125" s="187"/>
      <c r="ER125" s="187"/>
      <c r="ES125" s="187"/>
      <c r="ET125" s="187"/>
      <c r="EU125" s="187"/>
      <c r="EV125" s="187"/>
      <c r="EW125" s="187"/>
      <c r="EX125" s="187"/>
      <c r="EY125" s="187"/>
      <c r="EZ125" s="187"/>
      <c r="FA125" s="187"/>
      <c r="FB125" s="187"/>
      <c r="FC125" s="187"/>
    </row>
    <row r="126" spans="1:159" ht="15" x14ac:dyDescent="0.25">
      <c r="A126" s="187" t="s">
        <v>308</v>
      </c>
      <c r="B126" s="187" t="s">
        <v>309</v>
      </c>
      <c r="C126" s="187">
        <v>3399</v>
      </c>
      <c r="D126" s="187">
        <v>0</v>
      </c>
      <c r="E126" s="187">
        <v>109</v>
      </c>
      <c r="F126" s="187">
        <v>292</v>
      </c>
      <c r="G126" s="187">
        <v>973</v>
      </c>
      <c r="H126" s="187">
        <v>4773</v>
      </c>
      <c r="I126" s="187">
        <v>3800</v>
      </c>
      <c r="J126" s="187">
        <v>6</v>
      </c>
      <c r="K126" s="187">
        <v>96.15</v>
      </c>
      <c r="L126" s="187">
        <v>96.32</v>
      </c>
      <c r="M126" s="187">
        <v>4.4800000000000004</v>
      </c>
      <c r="N126" s="187">
        <v>99.07</v>
      </c>
      <c r="O126" s="187">
        <v>2433</v>
      </c>
      <c r="P126" s="187">
        <v>85.17</v>
      </c>
      <c r="Q126" s="187">
        <v>80.52</v>
      </c>
      <c r="R126" s="187">
        <v>48.42</v>
      </c>
      <c r="S126" s="187">
        <v>130.96</v>
      </c>
      <c r="T126" s="187">
        <v>368</v>
      </c>
      <c r="U126" s="187">
        <v>125.98</v>
      </c>
      <c r="V126" s="187">
        <v>862</v>
      </c>
      <c r="W126" s="187">
        <v>131.21</v>
      </c>
      <c r="X126" s="187">
        <v>17</v>
      </c>
      <c r="Y126" s="187">
        <v>0</v>
      </c>
      <c r="Z126" s="187">
        <v>6</v>
      </c>
      <c r="AA126" s="187">
        <v>0</v>
      </c>
      <c r="AB126" s="187">
        <v>83</v>
      </c>
      <c r="AC126" s="187">
        <v>17</v>
      </c>
      <c r="AD126" s="187">
        <v>3399</v>
      </c>
      <c r="AE126" s="187">
        <v>29</v>
      </c>
      <c r="AF126" s="187">
        <v>32</v>
      </c>
      <c r="AG126" s="187">
        <v>61</v>
      </c>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7"/>
      <c r="BC126" s="187"/>
      <c r="BD126" s="187"/>
      <c r="BE126" s="187"/>
      <c r="BF126" s="187"/>
      <c r="BG126" s="187"/>
      <c r="BH126" s="187"/>
      <c r="BI126" s="187"/>
      <c r="BJ126" s="187"/>
      <c r="BK126" s="187"/>
      <c r="BL126" s="187"/>
      <c r="BM126" s="187"/>
      <c r="BN126" s="187"/>
      <c r="BO126" s="187"/>
      <c r="BP126" s="187"/>
      <c r="BQ126" s="187"/>
      <c r="BR126" s="187"/>
      <c r="BS126" s="187"/>
      <c r="BT126" s="187"/>
      <c r="BU126" s="187"/>
      <c r="BV126" s="187"/>
      <c r="BW126" s="187"/>
      <c r="BX126" s="187"/>
      <c r="BY126" s="187"/>
      <c r="BZ126" s="187"/>
      <c r="CA126" s="187"/>
      <c r="CB126" s="187"/>
      <c r="CC126" s="187"/>
      <c r="CD126" s="187"/>
      <c r="CE126" s="187"/>
      <c r="CF126" s="187"/>
      <c r="CG126" s="187"/>
      <c r="CH126" s="187"/>
      <c r="CI126" s="187"/>
      <c r="CJ126" s="187"/>
      <c r="CK126" s="187"/>
      <c r="CL126" s="187"/>
      <c r="CM126" s="187"/>
      <c r="CN126" s="187"/>
      <c r="CO126" s="187"/>
      <c r="CP126" s="187"/>
      <c r="CQ126" s="187"/>
      <c r="CR126" s="187"/>
      <c r="CS126" s="187"/>
      <c r="CT126" s="187"/>
      <c r="CU126" s="187"/>
      <c r="CV126" s="187"/>
      <c r="CW126" s="187"/>
      <c r="CX126" s="187"/>
      <c r="CY126" s="187"/>
      <c r="CZ126" s="187"/>
      <c r="DA126" s="187"/>
      <c r="DB126" s="187"/>
      <c r="DC126" s="187"/>
      <c r="DD126" s="187"/>
      <c r="DE126" s="187"/>
      <c r="DF126" s="187"/>
      <c r="DG126" s="187"/>
      <c r="DH126" s="187"/>
      <c r="DI126" s="187"/>
      <c r="DJ126" s="187"/>
      <c r="DK126" s="187"/>
      <c r="DL126" s="187"/>
      <c r="DM126" s="187"/>
      <c r="DN126" s="187"/>
      <c r="DO126" s="187"/>
      <c r="DP126" s="187"/>
      <c r="DQ126" s="187"/>
      <c r="DR126" s="187"/>
      <c r="DS126" s="187"/>
      <c r="DT126" s="187"/>
      <c r="DU126" s="187"/>
      <c r="DV126" s="187"/>
      <c r="DW126" s="187"/>
      <c r="DX126" s="187"/>
      <c r="DY126" s="187"/>
      <c r="DZ126" s="187"/>
      <c r="EA126" s="187"/>
      <c r="EB126" s="187"/>
      <c r="EC126" s="187"/>
      <c r="ED126" s="187"/>
      <c r="EE126" s="187"/>
      <c r="EF126" s="187"/>
      <c r="EG126" s="187"/>
      <c r="EH126" s="187"/>
      <c r="EI126" s="187"/>
      <c r="EJ126" s="187"/>
      <c r="EK126" s="187"/>
      <c r="EL126" s="187"/>
      <c r="EM126" s="187"/>
      <c r="EN126" s="187"/>
      <c r="EO126" s="187"/>
      <c r="EP126" s="187"/>
      <c r="EQ126" s="187"/>
      <c r="ER126" s="187"/>
      <c r="ES126" s="187"/>
      <c r="ET126" s="187"/>
      <c r="EU126" s="187"/>
      <c r="EV126" s="187"/>
      <c r="EW126" s="187"/>
      <c r="EX126" s="187"/>
      <c r="EY126" s="187"/>
      <c r="EZ126" s="187"/>
      <c r="FA126" s="187"/>
      <c r="FB126" s="187"/>
      <c r="FC126" s="187"/>
    </row>
    <row r="127" spans="1:159" ht="15" x14ac:dyDescent="0.25">
      <c r="A127" s="187" t="s">
        <v>310</v>
      </c>
      <c r="B127" s="187" t="s">
        <v>311</v>
      </c>
      <c r="C127" s="187">
        <v>10178</v>
      </c>
      <c r="D127" s="187">
        <v>110</v>
      </c>
      <c r="E127" s="187">
        <v>874</v>
      </c>
      <c r="F127" s="187">
        <v>956</v>
      </c>
      <c r="G127" s="187">
        <v>1785</v>
      </c>
      <c r="H127" s="187">
        <v>13903</v>
      </c>
      <c r="I127" s="187">
        <v>12118</v>
      </c>
      <c r="J127" s="187">
        <v>155</v>
      </c>
      <c r="K127" s="187">
        <v>127.99</v>
      </c>
      <c r="L127" s="187">
        <v>127.93</v>
      </c>
      <c r="M127" s="187">
        <v>12.29</v>
      </c>
      <c r="N127" s="187">
        <v>136.13</v>
      </c>
      <c r="O127" s="187">
        <v>8120</v>
      </c>
      <c r="P127" s="187">
        <v>119.98</v>
      </c>
      <c r="Q127" s="187">
        <v>108.72</v>
      </c>
      <c r="R127" s="187">
        <v>71.94</v>
      </c>
      <c r="S127" s="187">
        <v>188.19</v>
      </c>
      <c r="T127" s="187">
        <v>1177</v>
      </c>
      <c r="U127" s="187">
        <v>207.64</v>
      </c>
      <c r="V127" s="187">
        <v>767</v>
      </c>
      <c r="W127" s="187">
        <v>277.25</v>
      </c>
      <c r="X127" s="187">
        <v>135</v>
      </c>
      <c r="Y127" s="187">
        <v>0</v>
      </c>
      <c r="Z127" s="187">
        <v>13</v>
      </c>
      <c r="AA127" s="187">
        <v>13</v>
      </c>
      <c r="AB127" s="187">
        <v>167</v>
      </c>
      <c r="AC127" s="187">
        <v>42</v>
      </c>
      <c r="AD127" s="187">
        <v>9190</v>
      </c>
      <c r="AE127" s="187">
        <v>211</v>
      </c>
      <c r="AF127" s="187">
        <v>53</v>
      </c>
      <c r="AG127" s="187">
        <v>264</v>
      </c>
      <c r="AH127" s="187"/>
      <c r="AI127" s="187"/>
      <c r="AJ127" s="187"/>
      <c r="AK127" s="187"/>
      <c r="AL127" s="187"/>
      <c r="AM127" s="187"/>
      <c r="AN127" s="187"/>
      <c r="AO127" s="187"/>
      <c r="AP127" s="187"/>
      <c r="AQ127" s="187"/>
      <c r="AR127" s="187"/>
      <c r="AS127" s="187"/>
      <c r="AT127" s="187"/>
      <c r="AU127" s="187"/>
      <c r="AV127" s="187"/>
      <c r="AW127" s="187"/>
      <c r="AX127" s="187"/>
      <c r="AY127" s="187"/>
      <c r="AZ127" s="187"/>
      <c r="BA127" s="187"/>
      <c r="BB127" s="187"/>
      <c r="BC127" s="187"/>
      <c r="BD127" s="187"/>
      <c r="BE127" s="187"/>
      <c r="BF127" s="187"/>
      <c r="BG127" s="187"/>
      <c r="BH127" s="187"/>
      <c r="BI127" s="187"/>
      <c r="BJ127" s="187"/>
      <c r="BK127" s="187"/>
      <c r="BL127" s="187"/>
      <c r="BM127" s="187"/>
      <c r="BN127" s="187"/>
      <c r="BO127" s="187"/>
      <c r="BP127" s="187"/>
      <c r="BQ127" s="187"/>
      <c r="BR127" s="187"/>
      <c r="BS127" s="187"/>
      <c r="BT127" s="187"/>
      <c r="BU127" s="187"/>
      <c r="BV127" s="187"/>
      <c r="BW127" s="187"/>
      <c r="BX127" s="187"/>
      <c r="BY127" s="187"/>
      <c r="BZ127" s="187"/>
      <c r="CA127" s="187"/>
      <c r="CB127" s="187"/>
      <c r="CC127" s="187"/>
      <c r="CD127" s="187"/>
      <c r="CE127" s="187"/>
      <c r="CF127" s="187"/>
      <c r="CG127" s="187"/>
      <c r="CH127" s="187"/>
      <c r="CI127" s="187"/>
      <c r="CJ127" s="187"/>
      <c r="CK127" s="187"/>
      <c r="CL127" s="187"/>
      <c r="CM127" s="187"/>
      <c r="CN127" s="187"/>
      <c r="CO127" s="187"/>
      <c r="CP127" s="187"/>
      <c r="CQ127" s="187"/>
      <c r="CR127" s="187"/>
      <c r="CS127" s="187"/>
      <c r="CT127" s="187"/>
      <c r="CU127" s="187"/>
      <c r="CV127" s="187"/>
      <c r="CW127" s="187"/>
      <c r="CX127" s="187"/>
      <c r="CY127" s="187"/>
      <c r="CZ127" s="187"/>
      <c r="DA127" s="187"/>
      <c r="DB127" s="187"/>
      <c r="DC127" s="187"/>
      <c r="DD127" s="187"/>
      <c r="DE127" s="187"/>
      <c r="DF127" s="187"/>
      <c r="DG127" s="187"/>
      <c r="DH127" s="187"/>
      <c r="DI127" s="187"/>
      <c r="DJ127" s="187"/>
      <c r="DK127" s="187"/>
      <c r="DL127" s="187"/>
      <c r="DM127" s="187"/>
      <c r="DN127" s="187"/>
      <c r="DO127" s="187"/>
      <c r="DP127" s="187"/>
      <c r="DQ127" s="187"/>
      <c r="DR127" s="187"/>
      <c r="DS127" s="187"/>
      <c r="DT127" s="187"/>
      <c r="DU127" s="187"/>
      <c r="DV127" s="187"/>
      <c r="DW127" s="187"/>
      <c r="DX127" s="187"/>
      <c r="DY127" s="187"/>
      <c r="DZ127" s="187"/>
      <c r="EA127" s="187"/>
      <c r="EB127" s="187"/>
      <c r="EC127" s="187"/>
      <c r="ED127" s="187"/>
      <c r="EE127" s="187"/>
      <c r="EF127" s="187"/>
      <c r="EG127" s="187"/>
      <c r="EH127" s="187"/>
      <c r="EI127" s="187"/>
      <c r="EJ127" s="187"/>
      <c r="EK127" s="187"/>
      <c r="EL127" s="187"/>
      <c r="EM127" s="187"/>
      <c r="EN127" s="187"/>
      <c r="EO127" s="187"/>
      <c r="EP127" s="187"/>
      <c r="EQ127" s="187"/>
      <c r="ER127" s="187"/>
      <c r="ES127" s="187"/>
      <c r="ET127" s="187"/>
      <c r="EU127" s="187"/>
      <c r="EV127" s="187"/>
      <c r="EW127" s="187"/>
      <c r="EX127" s="187"/>
      <c r="EY127" s="187"/>
      <c r="EZ127" s="187"/>
      <c r="FA127" s="187"/>
      <c r="FB127" s="187"/>
      <c r="FC127" s="187"/>
    </row>
    <row r="128" spans="1:159" ht="15" x14ac:dyDescent="0.25">
      <c r="A128" s="187" t="s">
        <v>312</v>
      </c>
      <c r="B128" s="187" t="s">
        <v>313</v>
      </c>
      <c r="C128" s="187">
        <v>1640</v>
      </c>
      <c r="D128" s="187">
        <v>280</v>
      </c>
      <c r="E128" s="187">
        <v>108</v>
      </c>
      <c r="F128" s="187">
        <v>262</v>
      </c>
      <c r="G128" s="187">
        <v>577</v>
      </c>
      <c r="H128" s="187">
        <v>2867</v>
      </c>
      <c r="I128" s="187">
        <v>2290</v>
      </c>
      <c r="J128" s="187">
        <v>5</v>
      </c>
      <c r="K128" s="187">
        <v>109.72</v>
      </c>
      <c r="L128" s="187">
        <v>107.55</v>
      </c>
      <c r="M128" s="187">
        <v>9.5</v>
      </c>
      <c r="N128" s="187">
        <v>118.56</v>
      </c>
      <c r="O128" s="187">
        <v>1130</v>
      </c>
      <c r="P128" s="187">
        <v>101.71</v>
      </c>
      <c r="Q128" s="187">
        <v>90.42</v>
      </c>
      <c r="R128" s="187">
        <v>48.32</v>
      </c>
      <c r="S128" s="187">
        <v>145.79</v>
      </c>
      <c r="T128" s="187">
        <v>353</v>
      </c>
      <c r="U128" s="187">
        <v>178.03</v>
      </c>
      <c r="V128" s="187">
        <v>493</v>
      </c>
      <c r="W128" s="187">
        <v>0</v>
      </c>
      <c r="X128" s="187">
        <v>0</v>
      </c>
      <c r="Y128" s="187">
        <v>143</v>
      </c>
      <c r="Z128" s="187">
        <v>1</v>
      </c>
      <c r="AA128" s="187">
        <v>1</v>
      </c>
      <c r="AB128" s="187">
        <v>50</v>
      </c>
      <c r="AC128" s="187">
        <v>12</v>
      </c>
      <c r="AD128" s="187">
        <v>1599</v>
      </c>
      <c r="AE128" s="187">
        <v>21</v>
      </c>
      <c r="AF128" s="187">
        <v>42</v>
      </c>
      <c r="AG128" s="187">
        <v>63</v>
      </c>
      <c r="AH128" s="187"/>
      <c r="AI128" s="187"/>
      <c r="AJ128" s="187"/>
      <c r="AK128" s="187"/>
      <c r="AL128" s="187"/>
      <c r="AM128" s="187"/>
      <c r="AN128" s="187"/>
      <c r="AO128" s="187"/>
      <c r="AP128" s="187"/>
      <c r="AQ128" s="187"/>
      <c r="AR128" s="187"/>
      <c r="AS128" s="187"/>
      <c r="AT128" s="187"/>
      <c r="AU128" s="187"/>
      <c r="AV128" s="187"/>
      <c r="AW128" s="187"/>
      <c r="AX128" s="187"/>
      <c r="AY128" s="187"/>
      <c r="AZ128" s="187"/>
      <c r="BA128" s="187"/>
      <c r="BB128" s="187"/>
      <c r="BC128" s="187"/>
      <c r="BD128" s="187"/>
      <c r="BE128" s="187"/>
      <c r="BF128" s="187"/>
      <c r="BG128" s="187"/>
      <c r="BH128" s="187"/>
      <c r="BI128" s="187"/>
      <c r="BJ128" s="187"/>
      <c r="BK128" s="187"/>
      <c r="BL128" s="187"/>
      <c r="BM128" s="187"/>
      <c r="BN128" s="187"/>
      <c r="BO128" s="187"/>
      <c r="BP128" s="187"/>
      <c r="BQ128" s="187"/>
      <c r="BR128" s="187"/>
      <c r="BS128" s="187"/>
      <c r="BT128" s="187"/>
      <c r="BU128" s="187"/>
      <c r="BV128" s="187"/>
      <c r="BW128" s="187"/>
      <c r="BX128" s="187"/>
      <c r="BY128" s="187"/>
      <c r="BZ128" s="187"/>
      <c r="CA128" s="187"/>
      <c r="CB128" s="187"/>
      <c r="CC128" s="187"/>
      <c r="CD128" s="187"/>
      <c r="CE128" s="187"/>
      <c r="CF128" s="187"/>
      <c r="CG128" s="187"/>
      <c r="CH128" s="187"/>
      <c r="CI128" s="187"/>
      <c r="CJ128" s="187"/>
      <c r="CK128" s="187"/>
      <c r="CL128" s="187"/>
      <c r="CM128" s="187"/>
      <c r="CN128" s="187"/>
      <c r="CO128" s="187"/>
      <c r="CP128" s="187"/>
      <c r="CQ128" s="187"/>
      <c r="CR128" s="187"/>
      <c r="CS128" s="187"/>
      <c r="CT128" s="187"/>
      <c r="CU128" s="187"/>
      <c r="CV128" s="187"/>
      <c r="CW128" s="187"/>
      <c r="CX128" s="187"/>
      <c r="CY128" s="187"/>
      <c r="CZ128" s="187"/>
      <c r="DA128" s="187"/>
      <c r="DB128" s="187"/>
      <c r="DC128" s="187"/>
      <c r="DD128" s="187"/>
      <c r="DE128" s="187"/>
      <c r="DF128" s="187"/>
      <c r="DG128" s="187"/>
      <c r="DH128" s="187"/>
      <c r="DI128" s="187"/>
      <c r="DJ128" s="187"/>
      <c r="DK128" s="187"/>
      <c r="DL128" s="187"/>
      <c r="DM128" s="187"/>
      <c r="DN128" s="187"/>
      <c r="DO128" s="187"/>
      <c r="DP128" s="187"/>
      <c r="DQ128" s="187"/>
      <c r="DR128" s="187"/>
      <c r="DS128" s="187"/>
      <c r="DT128" s="187"/>
      <c r="DU128" s="187"/>
      <c r="DV128" s="187"/>
      <c r="DW128" s="187"/>
      <c r="DX128" s="187"/>
      <c r="DY128" s="187"/>
      <c r="DZ128" s="187"/>
      <c r="EA128" s="187"/>
      <c r="EB128" s="187"/>
      <c r="EC128" s="187"/>
      <c r="ED128" s="187"/>
      <c r="EE128" s="187"/>
      <c r="EF128" s="187"/>
      <c r="EG128" s="187"/>
      <c r="EH128" s="187"/>
      <c r="EI128" s="187"/>
      <c r="EJ128" s="187"/>
      <c r="EK128" s="187"/>
      <c r="EL128" s="187"/>
      <c r="EM128" s="187"/>
      <c r="EN128" s="187"/>
      <c r="EO128" s="187"/>
      <c r="EP128" s="187"/>
      <c r="EQ128" s="187"/>
      <c r="ER128" s="187"/>
      <c r="ES128" s="187"/>
      <c r="ET128" s="187"/>
      <c r="EU128" s="187"/>
      <c r="EV128" s="187"/>
      <c r="EW128" s="187"/>
      <c r="EX128" s="187"/>
      <c r="EY128" s="187"/>
      <c r="EZ128" s="187"/>
      <c r="FA128" s="187"/>
      <c r="FB128" s="187"/>
      <c r="FC128" s="187"/>
    </row>
    <row r="129" spans="1:159" ht="15" x14ac:dyDescent="0.25">
      <c r="A129" s="187" t="s">
        <v>314</v>
      </c>
      <c r="B129" s="187" t="s">
        <v>315</v>
      </c>
      <c r="C129" s="187">
        <v>3165</v>
      </c>
      <c r="D129" s="187">
        <v>0</v>
      </c>
      <c r="E129" s="187">
        <v>243</v>
      </c>
      <c r="F129" s="187">
        <v>382</v>
      </c>
      <c r="G129" s="187">
        <v>758</v>
      </c>
      <c r="H129" s="187">
        <v>4548</v>
      </c>
      <c r="I129" s="187">
        <v>3790</v>
      </c>
      <c r="J129" s="187">
        <v>13</v>
      </c>
      <c r="K129" s="187">
        <v>101.43</v>
      </c>
      <c r="L129" s="187">
        <v>98.11</v>
      </c>
      <c r="M129" s="187">
        <v>6.96</v>
      </c>
      <c r="N129" s="187">
        <v>106.01</v>
      </c>
      <c r="O129" s="187">
        <v>1721</v>
      </c>
      <c r="P129" s="187">
        <v>113.75</v>
      </c>
      <c r="Q129" s="187">
        <v>88.66</v>
      </c>
      <c r="R129" s="187">
        <v>60.91</v>
      </c>
      <c r="S129" s="187">
        <v>174.66</v>
      </c>
      <c r="T129" s="187">
        <v>485</v>
      </c>
      <c r="U129" s="187">
        <v>136.80000000000001</v>
      </c>
      <c r="V129" s="187">
        <v>1283</v>
      </c>
      <c r="W129" s="187">
        <v>203.37</v>
      </c>
      <c r="X129" s="187">
        <v>11</v>
      </c>
      <c r="Y129" s="187">
        <v>0</v>
      </c>
      <c r="Z129" s="187">
        <v>0</v>
      </c>
      <c r="AA129" s="187">
        <v>6</v>
      </c>
      <c r="AB129" s="187">
        <v>128</v>
      </c>
      <c r="AC129" s="187">
        <v>15</v>
      </c>
      <c r="AD129" s="187">
        <v>2897</v>
      </c>
      <c r="AE129" s="187">
        <v>26</v>
      </c>
      <c r="AF129" s="187">
        <v>19</v>
      </c>
      <c r="AG129" s="187">
        <v>45</v>
      </c>
      <c r="AH129" s="187"/>
      <c r="AI129" s="187"/>
      <c r="AJ129" s="187"/>
      <c r="AK129" s="187"/>
      <c r="AL129" s="187"/>
      <c r="AM129" s="187"/>
      <c r="AN129" s="187"/>
      <c r="AO129" s="187"/>
      <c r="AP129" s="187"/>
      <c r="AQ129" s="187"/>
      <c r="AR129" s="187"/>
      <c r="AS129" s="187"/>
      <c r="AT129" s="187"/>
      <c r="AU129" s="187"/>
      <c r="AV129" s="187"/>
      <c r="AW129" s="187"/>
      <c r="AX129" s="187"/>
      <c r="AY129" s="187"/>
      <c r="AZ129" s="187"/>
      <c r="BA129" s="187"/>
      <c r="BB129" s="187"/>
      <c r="BC129" s="187"/>
      <c r="BD129" s="187"/>
      <c r="BE129" s="187"/>
      <c r="BF129" s="187"/>
      <c r="BG129" s="187"/>
      <c r="BH129" s="187"/>
      <c r="BI129" s="187"/>
      <c r="BJ129" s="187"/>
      <c r="BK129" s="187"/>
      <c r="BL129" s="187"/>
      <c r="BM129" s="187"/>
      <c r="BN129" s="187"/>
      <c r="BO129" s="187"/>
      <c r="BP129" s="187"/>
      <c r="BQ129" s="187"/>
      <c r="BR129" s="187"/>
      <c r="BS129" s="187"/>
      <c r="BT129" s="187"/>
      <c r="BU129" s="187"/>
      <c r="BV129" s="187"/>
      <c r="BW129" s="187"/>
      <c r="BX129" s="187"/>
      <c r="BY129" s="187"/>
      <c r="BZ129" s="187"/>
      <c r="CA129" s="187"/>
      <c r="CB129" s="187"/>
      <c r="CC129" s="187"/>
      <c r="CD129" s="187"/>
      <c r="CE129" s="187"/>
      <c r="CF129" s="187"/>
      <c r="CG129" s="187"/>
      <c r="CH129" s="187"/>
      <c r="CI129" s="187"/>
      <c r="CJ129" s="187"/>
      <c r="CK129" s="187"/>
      <c r="CL129" s="187"/>
      <c r="CM129" s="187"/>
      <c r="CN129" s="187"/>
      <c r="CO129" s="187"/>
      <c r="CP129" s="187"/>
      <c r="CQ129" s="187"/>
      <c r="CR129" s="187"/>
      <c r="CS129" s="187"/>
      <c r="CT129" s="187"/>
      <c r="CU129" s="187"/>
      <c r="CV129" s="187"/>
      <c r="CW129" s="187"/>
      <c r="CX129" s="187"/>
      <c r="CY129" s="187"/>
      <c r="CZ129" s="187"/>
      <c r="DA129" s="187"/>
      <c r="DB129" s="187"/>
      <c r="DC129" s="187"/>
      <c r="DD129" s="187"/>
      <c r="DE129" s="187"/>
      <c r="DF129" s="187"/>
      <c r="DG129" s="187"/>
      <c r="DH129" s="187"/>
      <c r="DI129" s="187"/>
      <c r="DJ129" s="187"/>
      <c r="DK129" s="187"/>
      <c r="DL129" s="187"/>
      <c r="DM129" s="187"/>
      <c r="DN129" s="187"/>
      <c r="DO129" s="187"/>
      <c r="DP129" s="187"/>
      <c r="DQ129" s="187"/>
      <c r="DR129" s="187"/>
      <c r="DS129" s="187"/>
      <c r="DT129" s="187"/>
      <c r="DU129" s="187"/>
      <c r="DV129" s="187"/>
      <c r="DW129" s="187"/>
      <c r="DX129" s="187"/>
      <c r="DY129" s="187"/>
      <c r="DZ129" s="187"/>
      <c r="EA129" s="187"/>
      <c r="EB129" s="187"/>
      <c r="EC129" s="187"/>
      <c r="ED129" s="187"/>
      <c r="EE129" s="187"/>
      <c r="EF129" s="187"/>
      <c r="EG129" s="187"/>
      <c r="EH129" s="187"/>
      <c r="EI129" s="187"/>
      <c r="EJ129" s="187"/>
      <c r="EK129" s="187"/>
      <c r="EL129" s="187"/>
      <c r="EM129" s="187"/>
      <c r="EN129" s="187"/>
      <c r="EO129" s="187"/>
      <c r="EP129" s="187"/>
      <c r="EQ129" s="187"/>
      <c r="ER129" s="187"/>
      <c r="ES129" s="187"/>
      <c r="ET129" s="187"/>
      <c r="EU129" s="187"/>
      <c r="EV129" s="187"/>
      <c r="EW129" s="187"/>
      <c r="EX129" s="187"/>
      <c r="EY129" s="187"/>
      <c r="EZ129" s="187"/>
      <c r="FA129" s="187"/>
      <c r="FB129" s="187"/>
      <c r="FC129" s="187"/>
    </row>
    <row r="130" spans="1:159" ht="15" x14ac:dyDescent="0.25">
      <c r="A130" s="187" t="s">
        <v>316</v>
      </c>
      <c r="B130" s="187" t="s">
        <v>317</v>
      </c>
      <c r="C130" s="187">
        <v>3729</v>
      </c>
      <c r="D130" s="187">
        <v>12</v>
      </c>
      <c r="E130" s="187">
        <v>261</v>
      </c>
      <c r="F130" s="187">
        <v>845</v>
      </c>
      <c r="G130" s="187">
        <v>1044</v>
      </c>
      <c r="H130" s="187">
        <v>5891</v>
      </c>
      <c r="I130" s="187">
        <v>4847</v>
      </c>
      <c r="J130" s="187">
        <v>56</v>
      </c>
      <c r="K130" s="187">
        <v>141.08000000000001</v>
      </c>
      <c r="L130" s="187">
        <v>134.22999999999999</v>
      </c>
      <c r="M130" s="187">
        <v>11.31</v>
      </c>
      <c r="N130" s="187">
        <v>148.96</v>
      </c>
      <c r="O130" s="187">
        <v>2748</v>
      </c>
      <c r="P130" s="187">
        <v>111.93</v>
      </c>
      <c r="Q130" s="187">
        <v>97.42</v>
      </c>
      <c r="R130" s="187">
        <v>42.4</v>
      </c>
      <c r="S130" s="187">
        <v>153.85</v>
      </c>
      <c r="T130" s="187">
        <v>441</v>
      </c>
      <c r="U130" s="187">
        <v>199.24</v>
      </c>
      <c r="V130" s="187">
        <v>735</v>
      </c>
      <c r="W130" s="187">
        <v>239.07</v>
      </c>
      <c r="X130" s="187">
        <v>86</v>
      </c>
      <c r="Y130" s="187">
        <v>0</v>
      </c>
      <c r="Z130" s="187">
        <v>4</v>
      </c>
      <c r="AA130" s="187">
        <v>0</v>
      </c>
      <c r="AB130" s="187">
        <v>73</v>
      </c>
      <c r="AC130" s="187">
        <v>31</v>
      </c>
      <c r="AD130" s="187">
        <v>3658</v>
      </c>
      <c r="AE130" s="187">
        <v>47</v>
      </c>
      <c r="AF130" s="187">
        <v>20</v>
      </c>
      <c r="AG130" s="187">
        <v>67</v>
      </c>
      <c r="AH130" s="187"/>
      <c r="AI130" s="187"/>
      <c r="AJ130" s="187"/>
      <c r="AK130" s="187"/>
      <c r="AL130" s="187"/>
      <c r="AM130" s="187"/>
      <c r="AN130" s="187"/>
      <c r="AO130" s="187"/>
      <c r="AP130" s="187"/>
      <c r="AQ130" s="187"/>
      <c r="AR130" s="187"/>
      <c r="AS130" s="187"/>
      <c r="AT130" s="187"/>
      <c r="AU130" s="187"/>
      <c r="AV130" s="187"/>
      <c r="AW130" s="187"/>
      <c r="AX130" s="187"/>
      <c r="AY130" s="187"/>
      <c r="AZ130" s="187"/>
      <c r="BA130" s="187"/>
      <c r="BB130" s="187"/>
      <c r="BC130" s="187"/>
      <c r="BD130" s="187"/>
      <c r="BE130" s="187"/>
      <c r="BF130" s="187"/>
      <c r="BG130" s="187"/>
      <c r="BH130" s="187"/>
      <c r="BI130" s="187"/>
      <c r="BJ130" s="187"/>
      <c r="BK130" s="187"/>
      <c r="BL130" s="187"/>
      <c r="BM130" s="187"/>
      <c r="BN130" s="187"/>
      <c r="BO130" s="187"/>
      <c r="BP130" s="187"/>
      <c r="BQ130" s="187"/>
      <c r="BR130" s="187"/>
      <c r="BS130" s="187"/>
      <c r="BT130" s="187"/>
      <c r="BU130" s="187"/>
      <c r="BV130" s="187"/>
      <c r="BW130" s="187"/>
      <c r="BX130" s="187"/>
      <c r="BY130" s="187"/>
      <c r="BZ130" s="187"/>
      <c r="CA130" s="187"/>
      <c r="CB130" s="187"/>
      <c r="CC130" s="187"/>
      <c r="CD130" s="187"/>
      <c r="CE130" s="187"/>
      <c r="CF130" s="187"/>
      <c r="CG130" s="187"/>
      <c r="CH130" s="187"/>
      <c r="CI130" s="187"/>
      <c r="CJ130" s="187"/>
      <c r="CK130" s="187"/>
      <c r="CL130" s="187"/>
      <c r="CM130" s="187"/>
      <c r="CN130" s="187"/>
      <c r="CO130" s="187"/>
      <c r="CP130" s="187"/>
      <c r="CQ130" s="187"/>
      <c r="CR130" s="187"/>
      <c r="CS130" s="187"/>
      <c r="CT130" s="187"/>
      <c r="CU130" s="187"/>
      <c r="CV130" s="187"/>
      <c r="CW130" s="187"/>
      <c r="CX130" s="187"/>
      <c r="CY130" s="187"/>
      <c r="CZ130" s="187"/>
      <c r="DA130" s="187"/>
      <c r="DB130" s="187"/>
      <c r="DC130" s="187"/>
      <c r="DD130" s="187"/>
      <c r="DE130" s="187"/>
      <c r="DF130" s="187"/>
      <c r="DG130" s="187"/>
      <c r="DH130" s="187"/>
      <c r="DI130" s="187"/>
      <c r="DJ130" s="187"/>
      <c r="DK130" s="187"/>
      <c r="DL130" s="187"/>
      <c r="DM130" s="187"/>
      <c r="DN130" s="187"/>
      <c r="DO130" s="187"/>
      <c r="DP130" s="187"/>
      <c r="DQ130" s="187"/>
      <c r="DR130" s="187"/>
      <c r="DS130" s="187"/>
      <c r="DT130" s="187"/>
      <c r="DU130" s="187"/>
      <c r="DV130" s="187"/>
      <c r="DW130" s="187"/>
      <c r="DX130" s="187"/>
      <c r="DY130" s="187"/>
      <c r="DZ130" s="187"/>
      <c r="EA130" s="187"/>
      <c r="EB130" s="187"/>
      <c r="EC130" s="187"/>
      <c r="ED130" s="187"/>
      <c r="EE130" s="187"/>
      <c r="EF130" s="187"/>
      <c r="EG130" s="187"/>
      <c r="EH130" s="187"/>
      <c r="EI130" s="187"/>
      <c r="EJ130" s="187"/>
      <c r="EK130" s="187"/>
      <c r="EL130" s="187"/>
      <c r="EM130" s="187"/>
      <c r="EN130" s="187"/>
      <c r="EO130" s="187"/>
      <c r="EP130" s="187"/>
      <c r="EQ130" s="187"/>
      <c r="ER130" s="187"/>
      <c r="ES130" s="187"/>
      <c r="ET130" s="187"/>
      <c r="EU130" s="187"/>
      <c r="EV130" s="187"/>
      <c r="EW130" s="187"/>
      <c r="EX130" s="187"/>
      <c r="EY130" s="187"/>
      <c r="EZ130" s="187"/>
      <c r="FA130" s="187"/>
      <c r="FB130" s="187"/>
      <c r="FC130" s="187"/>
    </row>
    <row r="131" spans="1:159" ht="15" x14ac:dyDescent="0.25">
      <c r="A131" s="187" t="s">
        <v>318</v>
      </c>
      <c r="B131" s="187" t="s">
        <v>319</v>
      </c>
      <c r="C131" s="187">
        <v>3317</v>
      </c>
      <c r="D131" s="187">
        <v>0</v>
      </c>
      <c r="E131" s="187">
        <v>51</v>
      </c>
      <c r="F131" s="187">
        <v>322</v>
      </c>
      <c r="G131" s="187">
        <v>786</v>
      </c>
      <c r="H131" s="187">
        <v>4476</v>
      </c>
      <c r="I131" s="187">
        <v>3690</v>
      </c>
      <c r="J131" s="187">
        <v>37</v>
      </c>
      <c r="K131" s="187">
        <v>124.41</v>
      </c>
      <c r="L131" s="187">
        <v>120.43</v>
      </c>
      <c r="M131" s="187">
        <v>7.1</v>
      </c>
      <c r="N131" s="187">
        <v>127.33</v>
      </c>
      <c r="O131" s="187">
        <v>2389</v>
      </c>
      <c r="P131" s="187">
        <v>109.8</v>
      </c>
      <c r="Q131" s="187">
        <v>103.72</v>
      </c>
      <c r="R131" s="187">
        <v>46.06</v>
      </c>
      <c r="S131" s="187">
        <v>155.26</v>
      </c>
      <c r="T131" s="187">
        <v>314</v>
      </c>
      <c r="U131" s="187">
        <v>188.58</v>
      </c>
      <c r="V131" s="187">
        <v>894</v>
      </c>
      <c r="W131" s="187">
        <v>0</v>
      </c>
      <c r="X131" s="187">
        <v>0</v>
      </c>
      <c r="Y131" s="187">
        <v>0</v>
      </c>
      <c r="Z131" s="187">
        <v>0</v>
      </c>
      <c r="AA131" s="187">
        <v>0</v>
      </c>
      <c r="AB131" s="187">
        <v>76</v>
      </c>
      <c r="AC131" s="187">
        <v>24</v>
      </c>
      <c r="AD131" s="187">
        <v>3317</v>
      </c>
      <c r="AE131" s="187">
        <v>17</v>
      </c>
      <c r="AF131" s="187">
        <v>26</v>
      </c>
      <c r="AG131" s="187">
        <v>43</v>
      </c>
      <c r="AH131" s="187"/>
      <c r="AI131" s="187"/>
      <c r="AJ131" s="187"/>
      <c r="AK131" s="187"/>
      <c r="AL131" s="187"/>
      <c r="AM131" s="187"/>
      <c r="AN131" s="187"/>
      <c r="AO131" s="187"/>
      <c r="AP131" s="187"/>
      <c r="AQ131" s="187"/>
      <c r="AR131" s="187"/>
      <c r="AS131" s="187"/>
      <c r="AT131" s="187"/>
      <c r="AU131" s="187"/>
      <c r="AV131" s="187"/>
      <c r="AW131" s="187"/>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7"/>
      <c r="BT131" s="187"/>
      <c r="BU131" s="187"/>
      <c r="BV131" s="187"/>
      <c r="BW131" s="187"/>
      <c r="BX131" s="187"/>
      <c r="BY131" s="187"/>
      <c r="BZ131" s="187"/>
      <c r="CA131" s="187"/>
      <c r="CB131" s="187"/>
      <c r="CC131" s="187"/>
      <c r="CD131" s="187"/>
      <c r="CE131" s="187"/>
      <c r="CF131" s="187"/>
      <c r="CG131" s="187"/>
      <c r="CH131" s="187"/>
      <c r="CI131" s="187"/>
      <c r="CJ131" s="187"/>
      <c r="CK131" s="187"/>
      <c r="CL131" s="187"/>
      <c r="CM131" s="187"/>
      <c r="CN131" s="187"/>
      <c r="CO131" s="187"/>
      <c r="CP131" s="187"/>
      <c r="CQ131" s="187"/>
      <c r="CR131" s="187"/>
      <c r="CS131" s="187"/>
      <c r="CT131" s="187"/>
      <c r="CU131" s="187"/>
      <c r="CV131" s="187"/>
      <c r="CW131" s="187"/>
      <c r="CX131" s="187"/>
      <c r="CY131" s="187"/>
      <c r="CZ131" s="187"/>
      <c r="DA131" s="187"/>
      <c r="DB131" s="187"/>
      <c r="DC131" s="187"/>
      <c r="DD131" s="187"/>
      <c r="DE131" s="187"/>
      <c r="DF131" s="187"/>
      <c r="DG131" s="187"/>
      <c r="DH131" s="187"/>
      <c r="DI131" s="187"/>
      <c r="DJ131" s="187"/>
      <c r="DK131" s="187"/>
      <c r="DL131" s="187"/>
      <c r="DM131" s="187"/>
      <c r="DN131" s="187"/>
      <c r="DO131" s="187"/>
      <c r="DP131" s="187"/>
      <c r="DQ131" s="187"/>
      <c r="DR131" s="187"/>
      <c r="DS131" s="187"/>
      <c r="DT131" s="187"/>
      <c r="DU131" s="187"/>
      <c r="DV131" s="187"/>
      <c r="DW131" s="187"/>
      <c r="DX131" s="187"/>
      <c r="DY131" s="187"/>
      <c r="DZ131" s="187"/>
      <c r="EA131" s="187"/>
      <c r="EB131" s="187"/>
      <c r="EC131" s="187"/>
      <c r="ED131" s="187"/>
      <c r="EE131" s="187"/>
      <c r="EF131" s="187"/>
      <c r="EG131" s="187"/>
      <c r="EH131" s="187"/>
      <c r="EI131" s="187"/>
      <c r="EJ131" s="187"/>
      <c r="EK131" s="187"/>
      <c r="EL131" s="187"/>
      <c r="EM131" s="187"/>
      <c r="EN131" s="187"/>
      <c r="EO131" s="187"/>
      <c r="EP131" s="187"/>
      <c r="EQ131" s="187"/>
      <c r="ER131" s="187"/>
      <c r="ES131" s="187"/>
      <c r="ET131" s="187"/>
      <c r="EU131" s="187"/>
      <c r="EV131" s="187"/>
      <c r="EW131" s="187"/>
      <c r="EX131" s="187"/>
      <c r="EY131" s="187"/>
      <c r="EZ131" s="187"/>
      <c r="FA131" s="187"/>
      <c r="FB131" s="187"/>
      <c r="FC131" s="187"/>
    </row>
    <row r="132" spans="1:159" ht="15" x14ac:dyDescent="0.25">
      <c r="A132" s="187" t="s">
        <v>320</v>
      </c>
      <c r="B132" s="187" t="s">
        <v>321</v>
      </c>
      <c r="C132" s="187">
        <v>7663</v>
      </c>
      <c r="D132" s="187">
        <v>0</v>
      </c>
      <c r="E132" s="187">
        <v>218</v>
      </c>
      <c r="F132" s="187">
        <v>1987</v>
      </c>
      <c r="G132" s="187">
        <v>283</v>
      </c>
      <c r="H132" s="187">
        <v>10151</v>
      </c>
      <c r="I132" s="187">
        <v>9868</v>
      </c>
      <c r="J132" s="187">
        <v>25</v>
      </c>
      <c r="K132" s="187">
        <v>87.62</v>
      </c>
      <c r="L132" s="187">
        <v>85.91</v>
      </c>
      <c r="M132" s="187">
        <v>5.54</v>
      </c>
      <c r="N132" s="187">
        <v>89.97</v>
      </c>
      <c r="O132" s="187">
        <v>6437</v>
      </c>
      <c r="P132" s="187">
        <v>87.84</v>
      </c>
      <c r="Q132" s="187">
        <v>83.29</v>
      </c>
      <c r="R132" s="187">
        <v>47.28</v>
      </c>
      <c r="S132" s="187">
        <v>116.15</v>
      </c>
      <c r="T132" s="187">
        <v>2101</v>
      </c>
      <c r="U132" s="187">
        <v>102.29</v>
      </c>
      <c r="V132" s="187">
        <v>1135</v>
      </c>
      <c r="W132" s="187">
        <v>113.05</v>
      </c>
      <c r="X132" s="187">
        <v>67</v>
      </c>
      <c r="Y132" s="187">
        <v>0</v>
      </c>
      <c r="Z132" s="187">
        <v>19</v>
      </c>
      <c r="AA132" s="187">
        <v>0</v>
      </c>
      <c r="AB132" s="187">
        <v>32</v>
      </c>
      <c r="AC132" s="187">
        <v>3</v>
      </c>
      <c r="AD132" s="187">
        <v>7632</v>
      </c>
      <c r="AE132" s="187">
        <v>39</v>
      </c>
      <c r="AF132" s="187">
        <v>56</v>
      </c>
      <c r="AG132" s="187">
        <v>95</v>
      </c>
      <c r="AH132" s="187"/>
      <c r="AI132" s="187"/>
      <c r="AJ132" s="187"/>
      <c r="AK132" s="187"/>
      <c r="AL132" s="187"/>
      <c r="AM132" s="187"/>
      <c r="AN132" s="187"/>
      <c r="AO132" s="187"/>
      <c r="AP132" s="187"/>
      <c r="AQ132" s="187"/>
      <c r="AR132" s="187"/>
      <c r="AS132" s="187"/>
      <c r="AT132" s="187"/>
      <c r="AU132" s="187"/>
      <c r="AV132" s="187"/>
      <c r="AW132" s="187"/>
      <c r="AX132" s="187"/>
      <c r="AY132" s="187"/>
      <c r="AZ132" s="187"/>
      <c r="BA132" s="187"/>
      <c r="BB132" s="187"/>
      <c r="BC132" s="187"/>
      <c r="BD132" s="187"/>
      <c r="BE132" s="187"/>
      <c r="BF132" s="187"/>
      <c r="BG132" s="187"/>
      <c r="BH132" s="187"/>
      <c r="BI132" s="187"/>
      <c r="BJ132" s="187"/>
      <c r="BK132" s="187"/>
      <c r="BL132" s="187"/>
      <c r="BM132" s="187"/>
      <c r="BN132" s="187"/>
      <c r="BO132" s="187"/>
      <c r="BP132" s="187"/>
      <c r="BQ132" s="187"/>
      <c r="BR132" s="187"/>
      <c r="BS132" s="187"/>
      <c r="BT132" s="187"/>
      <c r="BU132" s="187"/>
      <c r="BV132" s="187"/>
      <c r="BW132" s="187"/>
      <c r="BX132" s="187"/>
      <c r="BY132" s="187"/>
      <c r="BZ132" s="187"/>
      <c r="CA132" s="187"/>
      <c r="CB132" s="187"/>
      <c r="CC132" s="187"/>
      <c r="CD132" s="187"/>
      <c r="CE132" s="187"/>
      <c r="CF132" s="187"/>
      <c r="CG132" s="187"/>
      <c r="CH132" s="187"/>
      <c r="CI132" s="187"/>
      <c r="CJ132" s="187"/>
      <c r="CK132" s="187"/>
      <c r="CL132" s="187"/>
      <c r="CM132" s="187"/>
      <c r="CN132" s="187"/>
      <c r="CO132" s="187"/>
      <c r="CP132" s="187"/>
      <c r="CQ132" s="187"/>
      <c r="CR132" s="187"/>
      <c r="CS132" s="187"/>
      <c r="CT132" s="187"/>
      <c r="CU132" s="187"/>
      <c r="CV132" s="187"/>
      <c r="CW132" s="187"/>
      <c r="CX132" s="187"/>
      <c r="CY132" s="187"/>
      <c r="CZ132" s="187"/>
      <c r="DA132" s="187"/>
      <c r="DB132" s="187"/>
      <c r="DC132" s="187"/>
      <c r="DD132" s="187"/>
      <c r="DE132" s="187"/>
      <c r="DF132" s="187"/>
      <c r="DG132" s="187"/>
      <c r="DH132" s="187"/>
      <c r="DI132" s="187"/>
      <c r="DJ132" s="187"/>
      <c r="DK132" s="187"/>
      <c r="DL132" s="187"/>
      <c r="DM132" s="187"/>
      <c r="DN132" s="187"/>
      <c r="DO132" s="187"/>
      <c r="DP132" s="187"/>
      <c r="DQ132" s="187"/>
      <c r="DR132" s="187"/>
      <c r="DS132" s="187"/>
      <c r="DT132" s="187"/>
      <c r="DU132" s="187"/>
      <c r="DV132" s="187"/>
      <c r="DW132" s="187"/>
      <c r="DX132" s="187"/>
      <c r="DY132" s="187"/>
      <c r="DZ132" s="187"/>
      <c r="EA132" s="187"/>
      <c r="EB132" s="187"/>
      <c r="EC132" s="187"/>
      <c r="ED132" s="187"/>
      <c r="EE132" s="187"/>
      <c r="EF132" s="187"/>
      <c r="EG132" s="187"/>
      <c r="EH132" s="187"/>
      <c r="EI132" s="187"/>
      <c r="EJ132" s="187"/>
      <c r="EK132" s="187"/>
      <c r="EL132" s="187"/>
      <c r="EM132" s="187"/>
      <c r="EN132" s="187"/>
      <c r="EO132" s="187"/>
      <c r="EP132" s="187"/>
      <c r="EQ132" s="187"/>
      <c r="ER132" s="187"/>
      <c r="ES132" s="187"/>
      <c r="ET132" s="187"/>
      <c r="EU132" s="187"/>
      <c r="EV132" s="187"/>
      <c r="EW132" s="187"/>
      <c r="EX132" s="187"/>
      <c r="EY132" s="187"/>
      <c r="EZ132" s="187"/>
      <c r="FA132" s="187"/>
      <c r="FB132" s="187"/>
      <c r="FC132" s="187"/>
    </row>
    <row r="133" spans="1:159" ht="15" x14ac:dyDescent="0.25">
      <c r="A133" s="187" t="s">
        <v>322</v>
      </c>
      <c r="B133" s="187" t="s">
        <v>323</v>
      </c>
      <c r="C133" s="187">
        <v>5137</v>
      </c>
      <c r="D133" s="187">
        <v>0</v>
      </c>
      <c r="E133" s="187">
        <v>252</v>
      </c>
      <c r="F133" s="187">
        <v>713</v>
      </c>
      <c r="G133" s="187">
        <v>233</v>
      </c>
      <c r="H133" s="187">
        <v>6335</v>
      </c>
      <c r="I133" s="187">
        <v>6102</v>
      </c>
      <c r="J133" s="187">
        <v>115</v>
      </c>
      <c r="K133" s="187">
        <v>91.36</v>
      </c>
      <c r="L133" s="187">
        <v>89.59</v>
      </c>
      <c r="M133" s="187">
        <v>7.33</v>
      </c>
      <c r="N133" s="187">
        <v>97.67</v>
      </c>
      <c r="O133" s="187">
        <v>4160</v>
      </c>
      <c r="P133" s="187">
        <v>76.91</v>
      </c>
      <c r="Q133" s="187">
        <v>72.42</v>
      </c>
      <c r="R133" s="187">
        <v>47.41</v>
      </c>
      <c r="S133" s="187">
        <v>123.74</v>
      </c>
      <c r="T133" s="187">
        <v>811</v>
      </c>
      <c r="U133" s="187">
        <v>123.13</v>
      </c>
      <c r="V133" s="187">
        <v>782</v>
      </c>
      <c r="W133" s="187">
        <v>112.42</v>
      </c>
      <c r="X133" s="187">
        <v>20</v>
      </c>
      <c r="Y133" s="187">
        <v>9</v>
      </c>
      <c r="Z133" s="187">
        <v>1</v>
      </c>
      <c r="AA133" s="187">
        <v>1</v>
      </c>
      <c r="AB133" s="187">
        <v>18</v>
      </c>
      <c r="AC133" s="187">
        <v>2</v>
      </c>
      <c r="AD133" s="187">
        <v>5068</v>
      </c>
      <c r="AE133" s="187">
        <v>8</v>
      </c>
      <c r="AF133" s="187">
        <v>77</v>
      </c>
      <c r="AG133" s="187">
        <v>85</v>
      </c>
      <c r="AH133" s="187"/>
      <c r="AI133" s="187"/>
      <c r="AJ133" s="187"/>
      <c r="AK133" s="187"/>
      <c r="AL133" s="187"/>
      <c r="AM133" s="187"/>
      <c r="AN133" s="187"/>
      <c r="AO133" s="187"/>
      <c r="AP133" s="187"/>
      <c r="AQ133" s="187"/>
      <c r="AR133" s="187"/>
      <c r="AS133" s="187"/>
      <c r="AT133" s="187"/>
      <c r="AU133" s="187"/>
      <c r="AV133" s="187"/>
      <c r="AW133" s="187"/>
      <c r="AX133" s="187"/>
      <c r="AY133" s="187"/>
      <c r="AZ133" s="187"/>
      <c r="BA133" s="187"/>
      <c r="BB133" s="187"/>
      <c r="BC133" s="187"/>
      <c r="BD133" s="187"/>
      <c r="BE133" s="187"/>
      <c r="BF133" s="187"/>
      <c r="BG133" s="187"/>
      <c r="BH133" s="187"/>
      <c r="BI133" s="187"/>
      <c r="BJ133" s="187"/>
      <c r="BK133" s="187"/>
      <c r="BL133" s="187"/>
      <c r="BM133" s="187"/>
      <c r="BN133" s="187"/>
      <c r="BO133" s="187"/>
      <c r="BP133" s="187"/>
      <c r="BQ133" s="187"/>
      <c r="BR133" s="187"/>
      <c r="BS133" s="187"/>
      <c r="BT133" s="187"/>
      <c r="BU133" s="187"/>
      <c r="BV133" s="187"/>
      <c r="BW133" s="187"/>
      <c r="BX133" s="187"/>
      <c r="BY133" s="187"/>
      <c r="BZ133" s="187"/>
      <c r="CA133" s="187"/>
      <c r="CB133" s="187"/>
      <c r="CC133" s="187"/>
      <c r="CD133" s="187"/>
      <c r="CE133" s="187"/>
      <c r="CF133" s="187"/>
      <c r="CG133" s="187"/>
      <c r="CH133" s="187"/>
      <c r="CI133" s="187"/>
      <c r="CJ133" s="187"/>
      <c r="CK133" s="187"/>
      <c r="CL133" s="187"/>
      <c r="CM133" s="187"/>
      <c r="CN133" s="187"/>
      <c r="CO133" s="187"/>
      <c r="CP133" s="187"/>
      <c r="CQ133" s="187"/>
      <c r="CR133" s="187"/>
      <c r="CS133" s="187"/>
      <c r="CT133" s="187"/>
      <c r="CU133" s="187"/>
      <c r="CV133" s="187"/>
      <c r="CW133" s="187"/>
      <c r="CX133" s="187"/>
      <c r="CY133" s="187"/>
      <c r="CZ133" s="187"/>
      <c r="DA133" s="187"/>
      <c r="DB133" s="187"/>
      <c r="DC133" s="187"/>
      <c r="DD133" s="187"/>
      <c r="DE133" s="187"/>
      <c r="DF133" s="187"/>
      <c r="DG133" s="187"/>
      <c r="DH133" s="187"/>
      <c r="DI133" s="187"/>
      <c r="DJ133" s="187"/>
      <c r="DK133" s="187"/>
      <c r="DL133" s="187"/>
      <c r="DM133" s="187"/>
      <c r="DN133" s="187"/>
      <c r="DO133" s="187"/>
      <c r="DP133" s="187"/>
      <c r="DQ133" s="187"/>
      <c r="DR133" s="187"/>
      <c r="DS133" s="187"/>
      <c r="DT133" s="187"/>
      <c r="DU133" s="187"/>
      <c r="DV133" s="187"/>
      <c r="DW133" s="187"/>
      <c r="DX133" s="187"/>
      <c r="DY133" s="187"/>
      <c r="DZ133" s="187"/>
      <c r="EA133" s="187"/>
      <c r="EB133" s="187"/>
      <c r="EC133" s="187"/>
      <c r="ED133" s="187"/>
      <c r="EE133" s="187"/>
      <c r="EF133" s="187"/>
      <c r="EG133" s="187"/>
      <c r="EH133" s="187"/>
      <c r="EI133" s="187"/>
      <c r="EJ133" s="187"/>
      <c r="EK133" s="187"/>
      <c r="EL133" s="187"/>
      <c r="EM133" s="187"/>
      <c r="EN133" s="187"/>
      <c r="EO133" s="187"/>
      <c r="EP133" s="187"/>
      <c r="EQ133" s="187"/>
      <c r="ER133" s="187"/>
      <c r="ES133" s="187"/>
      <c r="ET133" s="187"/>
      <c r="EU133" s="187"/>
      <c r="EV133" s="187"/>
      <c r="EW133" s="187"/>
      <c r="EX133" s="187"/>
      <c r="EY133" s="187"/>
      <c r="EZ133" s="187"/>
      <c r="FA133" s="187"/>
      <c r="FB133" s="187"/>
      <c r="FC133" s="187"/>
    </row>
    <row r="134" spans="1:159" ht="15" x14ac:dyDescent="0.25">
      <c r="A134" s="187" t="s">
        <v>324</v>
      </c>
      <c r="B134" s="187" t="s">
        <v>325</v>
      </c>
      <c r="C134" s="187">
        <v>4573</v>
      </c>
      <c r="D134" s="187">
        <v>0</v>
      </c>
      <c r="E134" s="187">
        <v>260</v>
      </c>
      <c r="F134" s="187">
        <v>1082</v>
      </c>
      <c r="G134" s="187">
        <v>482</v>
      </c>
      <c r="H134" s="187">
        <v>6397</v>
      </c>
      <c r="I134" s="187">
        <v>5915</v>
      </c>
      <c r="J134" s="187">
        <v>27</v>
      </c>
      <c r="K134" s="187">
        <v>113.41</v>
      </c>
      <c r="L134" s="187">
        <v>108.14</v>
      </c>
      <c r="M134" s="187">
        <v>10.029999999999999</v>
      </c>
      <c r="N134" s="187">
        <v>118.05</v>
      </c>
      <c r="O134" s="187">
        <v>3564</v>
      </c>
      <c r="P134" s="187">
        <v>104.22</v>
      </c>
      <c r="Q134" s="187">
        <v>93.45</v>
      </c>
      <c r="R134" s="187">
        <v>25.35</v>
      </c>
      <c r="S134" s="187">
        <v>127.42</v>
      </c>
      <c r="T134" s="187">
        <v>1141</v>
      </c>
      <c r="U134" s="187">
        <v>158.49</v>
      </c>
      <c r="V134" s="187">
        <v>875</v>
      </c>
      <c r="W134" s="187">
        <v>171.7</v>
      </c>
      <c r="X134" s="187">
        <v>14</v>
      </c>
      <c r="Y134" s="187">
        <v>0</v>
      </c>
      <c r="Z134" s="187">
        <v>1</v>
      </c>
      <c r="AA134" s="187">
        <v>2</v>
      </c>
      <c r="AB134" s="187">
        <v>51</v>
      </c>
      <c r="AC134" s="187">
        <v>16</v>
      </c>
      <c r="AD134" s="187">
        <v>4522</v>
      </c>
      <c r="AE134" s="187">
        <v>52</v>
      </c>
      <c r="AF134" s="187">
        <v>9</v>
      </c>
      <c r="AG134" s="187">
        <v>61</v>
      </c>
      <c r="AH134" s="187"/>
      <c r="AI134" s="187"/>
      <c r="AJ134" s="187"/>
      <c r="AK134" s="187"/>
      <c r="AL134" s="187"/>
      <c r="AM134" s="187"/>
      <c r="AN134" s="187"/>
      <c r="AO134" s="187"/>
      <c r="AP134" s="187"/>
      <c r="AQ134" s="187"/>
      <c r="AR134" s="187"/>
      <c r="AS134" s="187"/>
      <c r="AT134" s="187"/>
      <c r="AU134" s="187"/>
      <c r="AV134" s="187"/>
      <c r="AW134" s="187"/>
      <c r="AX134" s="187"/>
      <c r="AY134" s="187"/>
      <c r="AZ134" s="187"/>
      <c r="BA134" s="187"/>
      <c r="BB134" s="187"/>
      <c r="BC134" s="187"/>
      <c r="BD134" s="187"/>
      <c r="BE134" s="187"/>
      <c r="BF134" s="187"/>
      <c r="BG134" s="187"/>
      <c r="BH134" s="187"/>
      <c r="BI134" s="187"/>
      <c r="BJ134" s="187"/>
      <c r="BK134" s="187"/>
      <c r="BL134" s="187"/>
      <c r="BM134" s="187"/>
      <c r="BN134" s="187"/>
      <c r="BO134" s="187"/>
      <c r="BP134" s="187"/>
      <c r="BQ134" s="187"/>
      <c r="BR134" s="187"/>
      <c r="BS134" s="187"/>
      <c r="BT134" s="187"/>
      <c r="BU134" s="187"/>
      <c r="BV134" s="187"/>
      <c r="BW134" s="187"/>
      <c r="BX134" s="187"/>
      <c r="BY134" s="187"/>
      <c r="BZ134" s="187"/>
      <c r="CA134" s="187"/>
      <c r="CB134" s="187"/>
      <c r="CC134" s="187"/>
      <c r="CD134" s="187"/>
      <c r="CE134" s="187"/>
      <c r="CF134" s="187"/>
      <c r="CG134" s="187"/>
      <c r="CH134" s="187"/>
      <c r="CI134" s="187"/>
      <c r="CJ134" s="187"/>
      <c r="CK134" s="187"/>
      <c r="CL134" s="187"/>
      <c r="CM134" s="187"/>
      <c r="CN134" s="187"/>
      <c r="CO134" s="187"/>
      <c r="CP134" s="187"/>
      <c r="CQ134" s="187"/>
      <c r="CR134" s="187"/>
      <c r="CS134" s="187"/>
      <c r="CT134" s="187"/>
      <c r="CU134" s="187"/>
      <c r="CV134" s="187"/>
      <c r="CW134" s="187"/>
      <c r="CX134" s="187"/>
      <c r="CY134" s="187"/>
      <c r="CZ134" s="187"/>
      <c r="DA134" s="187"/>
      <c r="DB134" s="187"/>
      <c r="DC134" s="187"/>
      <c r="DD134" s="187"/>
      <c r="DE134" s="187"/>
      <c r="DF134" s="187"/>
      <c r="DG134" s="187"/>
      <c r="DH134" s="187"/>
      <c r="DI134" s="187"/>
      <c r="DJ134" s="187"/>
      <c r="DK134" s="187"/>
      <c r="DL134" s="187"/>
      <c r="DM134" s="187"/>
      <c r="DN134" s="187"/>
      <c r="DO134" s="187"/>
      <c r="DP134" s="187"/>
      <c r="DQ134" s="187"/>
      <c r="DR134" s="187"/>
      <c r="DS134" s="187"/>
      <c r="DT134" s="187"/>
      <c r="DU134" s="187"/>
      <c r="DV134" s="187"/>
      <c r="DW134" s="187"/>
      <c r="DX134" s="187"/>
      <c r="DY134" s="187"/>
      <c r="DZ134" s="187"/>
      <c r="EA134" s="187"/>
      <c r="EB134" s="187"/>
      <c r="EC134" s="187"/>
      <c r="ED134" s="187"/>
      <c r="EE134" s="187"/>
      <c r="EF134" s="187"/>
      <c r="EG134" s="187"/>
      <c r="EH134" s="187"/>
      <c r="EI134" s="187"/>
      <c r="EJ134" s="187"/>
      <c r="EK134" s="187"/>
      <c r="EL134" s="187"/>
      <c r="EM134" s="187"/>
      <c r="EN134" s="187"/>
      <c r="EO134" s="187"/>
      <c r="EP134" s="187"/>
      <c r="EQ134" s="187"/>
      <c r="ER134" s="187"/>
      <c r="ES134" s="187"/>
      <c r="ET134" s="187"/>
      <c r="EU134" s="187"/>
      <c r="EV134" s="187"/>
      <c r="EW134" s="187"/>
      <c r="EX134" s="187"/>
      <c r="EY134" s="187"/>
      <c r="EZ134" s="187"/>
      <c r="FA134" s="187"/>
      <c r="FB134" s="187"/>
      <c r="FC134" s="187"/>
    </row>
    <row r="135" spans="1:159" ht="15" x14ac:dyDescent="0.25">
      <c r="A135" s="187" t="s">
        <v>326</v>
      </c>
      <c r="B135" s="187" t="s">
        <v>327</v>
      </c>
      <c r="C135" s="187">
        <v>3872</v>
      </c>
      <c r="D135" s="187">
        <v>354</v>
      </c>
      <c r="E135" s="187">
        <v>140</v>
      </c>
      <c r="F135" s="187">
        <v>315</v>
      </c>
      <c r="G135" s="187">
        <v>1091</v>
      </c>
      <c r="H135" s="187">
        <v>5772</v>
      </c>
      <c r="I135" s="187">
        <v>4681</v>
      </c>
      <c r="J135" s="187">
        <v>9</v>
      </c>
      <c r="K135" s="187">
        <v>124.5</v>
      </c>
      <c r="L135" s="187">
        <v>124.63</v>
      </c>
      <c r="M135" s="187">
        <v>12.67</v>
      </c>
      <c r="N135" s="187">
        <v>134.38999999999999</v>
      </c>
      <c r="O135" s="187">
        <v>2387</v>
      </c>
      <c r="P135" s="187">
        <v>114.36</v>
      </c>
      <c r="Q135" s="187">
        <v>104.3</v>
      </c>
      <c r="R135" s="187">
        <v>49.52</v>
      </c>
      <c r="S135" s="187">
        <v>163.27000000000001</v>
      </c>
      <c r="T135" s="187">
        <v>640</v>
      </c>
      <c r="U135" s="187">
        <v>193.57</v>
      </c>
      <c r="V135" s="187">
        <v>1139</v>
      </c>
      <c r="W135" s="187">
        <v>219.59</v>
      </c>
      <c r="X135" s="187">
        <v>3</v>
      </c>
      <c r="Y135" s="187">
        <v>0</v>
      </c>
      <c r="Z135" s="187">
        <v>2</v>
      </c>
      <c r="AA135" s="187">
        <v>4</v>
      </c>
      <c r="AB135" s="187">
        <v>86</v>
      </c>
      <c r="AC135" s="187">
        <v>34</v>
      </c>
      <c r="AD135" s="187">
        <v>3793</v>
      </c>
      <c r="AE135" s="187">
        <v>120</v>
      </c>
      <c r="AF135" s="187">
        <v>15</v>
      </c>
      <c r="AG135" s="187">
        <v>135</v>
      </c>
      <c r="AH135" s="187"/>
      <c r="AI135" s="187"/>
      <c r="AJ135" s="187"/>
      <c r="AK135" s="187"/>
      <c r="AL135" s="187"/>
      <c r="AM135" s="187"/>
      <c r="AN135" s="187"/>
      <c r="AO135" s="187"/>
      <c r="AP135" s="187"/>
      <c r="AQ135" s="187"/>
      <c r="AR135" s="187"/>
      <c r="AS135" s="187"/>
      <c r="AT135" s="187"/>
      <c r="AU135" s="187"/>
      <c r="AV135" s="187"/>
      <c r="AW135" s="187"/>
      <c r="AX135" s="187"/>
      <c r="AY135" s="187"/>
      <c r="AZ135" s="187"/>
      <c r="BA135" s="187"/>
      <c r="BB135" s="187"/>
      <c r="BC135" s="187"/>
      <c r="BD135" s="187"/>
      <c r="BE135" s="187"/>
      <c r="BF135" s="187"/>
      <c r="BG135" s="187"/>
      <c r="BH135" s="187"/>
      <c r="BI135" s="187"/>
      <c r="BJ135" s="187"/>
      <c r="BK135" s="187"/>
      <c r="BL135" s="187"/>
      <c r="BM135" s="187"/>
      <c r="BN135" s="187"/>
      <c r="BO135" s="187"/>
      <c r="BP135" s="187"/>
      <c r="BQ135" s="187"/>
      <c r="BR135" s="187"/>
      <c r="BS135" s="187"/>
      <c r="BT135" s="187"/>
      <c r="BU135" s="187"/>
      <c r="BV135" s="187"/>
      <c r="BW135" s="187"/>
      <c r="BX135" s="187"/>
      <c r="BY135" s="187"/>
      <c r="BZ135" s="187"/>
      <c r="CA135" s="187"/>
      <c r="CB135" s="187"/>
      <c r="CC135" s="187"/>
      <c r="CD135" s="187"/>
      <c r="CE135" s="187"/>
      <c r="CF135" s="187"/>
      <c r="CG135" s="187"/>
      <c r="CH135" s="187"/>
      <c r="CI135" s="187"/>
      <c r="CJ135" s="187"/>
      <c r="CK135" s="187"/>
      <c r="CL135" s="187"/>
      <c r="CM135" s="187"/>
      <c r="CN135" s="187"/>
      <c r="CO135" s="187"/>
      <c r="CP135" s="187"/>
      <c r="CQ135" s="187"/>
      <c r="CR135" s="187"/>
      <c r="CS135" s="187"/>
      <c r="CT135" s="187"/>
      <c r="CU135" s="187"/>
      <c r="CV135" s="187"/>
      <c r="CW135" s="187"/>
      <c r="CX135" s="187"/>
      <c r="CY135" s="187"/>
      <c r="CZ135" s="187"/>
      <c r="DA135" s="187"/>
      <c r="DB135" s="187"/>
      <c r="DC135" s="187"/>
      <c r="DD135" s="187"/>
      <c r="DE135" s="187"/>
      <c r="DF135" s="187"/>
      <c r="DG135" s="187"/>
      <c r="DH135" s="187"/>
      <c r="DI135" s="187"/>
      <c r="DJ135" s="187"/>
      <c r="DK135" s="187"/>
      <c r="DL135" s="187"/>
      <c r="DM135" s="187"/>
      <c r="DN135" s="187"/>
      <c r="DO135" s="187"/>
      <c r="DP135" s="187"/>
      <c r="DQ135" s="187"/>
      <c r="DR135" s="187"/>
      <c r="DS135" s="187"/>
      <c r="DT135" s="187"/>
      <c r="DU135" s="187"/>
      <c r="DV135" s="187"/>
      <c r="DW135" s="187"/>
      <c r="DX135" s="187"/>
      <c r="DY135" s="187"/>
      <c r="DZ135" s="187"/>
      <c r="EA135" s="187"/>
      <c r="EB135" s="187"/>
      <c r="EC135" s="187"/>
      <c r="ED135" s="187"/>
      <c r="EE135" s="187"/>
      <c r="EF135" s="187"/>
      <c r="EG135" s="187"/>
      <c r="EH135" s="187"/>
      <c r="EI135" s="187"/>
      <c r="EJ135" s="187"/>
      <c r="EK135" s="187"/>
      <c r="EL135" s="187"/>
      <c r="EM135" s="187"/>
      <c r="EN135" s="187"/>
      <c r="EO135" s="187"/>
      <c r="EP135" s="187"/>
      <c r="EQ135" s="187"/>
      <c r="ER135" s="187"/>
      <c r="ES135" s="187"/>
      <c r="ET135" s="187"/>
      <c r="EU135" s="187"/>
      <c r="EV135" s="187"/>
      <c r="EW135" s="187"/>
      <c r="EX135" s="187"/>
      <c r="EY135" s="187"/>
      <c r="EZ135" s="187"/>
      <c r="FA135" s="187"/>
      <c r="FB135" s="187"/>
      <c r="FC135" s="187"/>
    </row>
    <row r="136" spans="1:159" ht="15" x14ac:dyDescent="0.25">
      <c r="A136" s="187" t="s">
        <v>328</v>
      </c>
      <c r="B136" s="187" t="s">
        <v>329</v>
      </c>
      <c r="C136" s="187">
        <v>9563</v>
      </c>
      <c r="D136" s="187">
        <v>0</v>
      </c>
      <c r="E136" s="187">
        <v>337</v>
      </c>
      <c r="F136" s="187">
        <v>1631</v>
      </c>
      <c r="G136" s="187">
        <v>1082</v>
      </c>
      <c r="H136" s="187">
        <v>12613</v>
      </c>
      <c r="I136" s="187">
        <v>11531</v>
      </c>
      <c r="J136" s="187">
        <v>128</v>
      </c>
      <c r="K136" s="187">
        <v>95.84</v>
      </c>
      <c r="L136" s="187">
        <v>94.75</v>
      </c>
      <c r="M136" s="187">
        <v>4.5599999999999996</v>
      </c>
      <c r="N136" s="187">
        <v>98.31</v>
      </c>
      <c r="O136" s="187">
        <v>8405</v>
      </c>
      <c r="P136" s="187">
        <v>91.51</v>
      </c>
      <c r="Q136" s="187">
        <v>86.81</v>
      </c>
      <c r="R136" s="187">
        <v>43.42</v>
      </c>
      <c r="S136" s="187">
        <v>125.46</v>
      </c>
      <c r="T136" s="187">
        <v>1924</v>
      </c>
      <c r="U136" s="187">
        <v>118.5</v>
      </c>
      <c r="V136" s="187">
        <v>1048</v>
      </c>
      <c r="W136" s="187">
        <v>141.82</v>
      </c>
      <c r="X136" s="187">
        <v>12</v>
      </c>
      <c r="Y136" s="187">
        <v>11</v>
      </c>
      <c r="Z136" s="187">
        <v>14</v>
      </c>
      <c r="AA136" s="187">
        <v>13</v>
      </c>
      <c r="AB136" s="187">
        <v>95</v>
      </c>
      <c r="AC136" s="187">
        <v>10</v>
      </c>
      <c r="AD136" s="187">
        <v>9507</v>
      </c>
      <c r="AE136" s="187">
        <v>102</v>
      </c>
      <c r="AF136" s="187">
        <v>23</v>
      </c>
      <c r="AG136" s="187">
        <v>125</v>
      </c>
      <c r="AH136" s="187"/>
      <c r="AI136" s="187"/>
      <c r="AJ136" s="187"/>
      <c r="AK136" s="187"/>
      <c r="AL136" s="187"/>
      <c r="AM136" s="187"/>
      <c r="AN136" s="187"/>
      <c r="AO136" s="187"/>
      <c r="AP136" s="187"/>
      <c r="AQ136" s="187"/>
      <c r="AR136" s="187"/>
      <c r="AS136" s="187"/>
      <c r="AT136" s="187"/>
      <c r="AU136" s="187"/>
      <c r="AV136" s="187"/>
      <c r="AW136" s="187"/>
      <c r="AX136" s="187"/>
      <c r="AY136" s="187"/>
      <c r="AZ136" s="187"/>
      <c r="BA136" s="187"/>
      <c r="BB136" s="187"/>
      <c r="BC136" s="187"/>
      <c r="BD136" s="187"/>
      <c r="BE136" s="187"/>
      <c r="BF136" s="187"/>
      <c r="BG136" s="187"/>
      <c r="BH136" s="187"/>
      <c r="BI136" s="187"/>
      <c r="BJ136" s="187"/>
      <c r="BK136" s="187"/>
      <c r="BL136" s="187"/>
      <c r="BM136" s="187"/>
      <c r="BN136" s="187"/>
      <c r="BO136" s="187"/>
      <c r="BP136" s="187"/>
      <c r="BQ136" s="187"/>
      <c r="BR136" s="187"/>
      <c r="BS136" s="187"/>
      <c r="BT136" s="187"/>
      <c r="BU136" s="187"/>
      <c r="BV136" s="187"/>
      <c r="BW136" s="187"/>
      <c r="BX136" s="187"/>
      <c r="BY136" s="187"/>
      <c r="BZ136" s="187"/>
      <c r="CA136" s="187"/>
      <c r="CB136" s="187"/>
      <c r="CC136" s="187"/>
      <c r="CD136" s="187"/>
      <c r="CE136" s="187"/>
      <c r="CF136" s="187"/>
      <c r="CG136" s="187"/>
      <c r="CH136" s="187"/>
      <c r="CI136" s="187"/>
      <c r="CJ136" s="187"/>
      <c r="CK136" s="187"/>
      <c r="CL136" s="187"/>
      <c r="CM136" s="187"/>
      <c r="CN136" s="187"/>
      <c r="CO136" s="187"/>
      <c r="CP136" s="187"/>
      <c r="CQ136" s="187"/>
      <c r="CR136" s="187"/>
      <c r="CS136" s="187"/>
      <c r="CT136" s="187"/>
      <c r="CU136" s="187"/>
      <c r="CV136" s="187"/>
      <c r="CW136" s="187"/>
      <c r="CX136" s="187"/>
      <c r="CY136" s="187"/>
      <c r="CZ136" s="187"/>
      <c r="DA136" s="187"/>
      <c r="DB136" s="187"/>
      <c r="DC136" s="187"/>
      <c r="DD136" s="187"/>
      <c r="DE136" s="187"/>
      <c r="DF136" s="187"/>
      <c r="DG136" s="187"/>
      <c r="DH136" s="187"/>
      <c r="DI136" s="187"/>
      <c r="DJ136" s="187"/>
      <c r="DK136" s="187"/>
      <c r="DL136" s="187"/>
      <c r="DM136" s="187"/>
      <c r="DN136" s="187"/>
      <c r="DO136" s="187"/>
      <c r="DP136" s="187"/>
      <c r="DQ136" s="187"/>
      <c r="DR136" s="187"/>
      <c r="DS136" s="187"/>
      <c r="DT136" s="187"/>
      <c r="DU136" s="187"/>
      <c r="DV136" s="187"/>
      <c r="DW136" s="187"/>
      <c r="DX136" s="187"/>
      <c r="DY136" s="187"/>
      <c r="DZ136" s="187"/>
      <c r="EA136" s="187"/>
      <c r="EB136" s="187"/>
      <c r="EC136" s="187"/>
      <c r="ED136" s="187"/>
      <c r="EE136" s="187"/>
      <c r="EF136" s="187"/>
      <c r="EG136" s="187"/>
      <c r="EH136" s="187"/>
      <c r="EI136" s="187"/>
      <c r="EJ136" s="187"/>
      <c r="EK136" s="187"/>
      <c r="EL136" s="187"/>
      <c r="EM136" s="187"/>
      <c r="EN136" s="187"/>
      <c r="EO136" s="187"/>
      <c r="EP136" s="187"/>
      <c r="EQ136" s="187"/>
      <c r="ER136" s="187"/>
      <c r="ES136" s="187"/>
      <c r="ET136" s="187"/>
      <c r="EU136" s="187"/>
      <c r="EV136" s="187"/>
      <c r="EW136" s="187"/>
      <c r="EX136" s="187"/>
      <c r="EY136" s="187"/>
      <c r="EZ136" s="187"/>
      <c r="FA136" s="187"/>
      <c r="FB136" s="187"/>
      <c r="FC136" s="187"/>
    </row>
    <row r="137" spans="1:159" ht="15" x14ac:dyDescent="0.25">
      <c r="A137" s="187" t="s">
        <v>330</v>
      </c>
      <c r="B137" s="187" t="s">
        <v>331</v>
      </c>
      <c r="C137" s="187">
        <v>6491</v>
      </c>
      <c r="D137" s="187">
        <v>1</v>
      </c>
      <c r="E137" s="187">
        <v>207</v>
      </c>
      <c r="F137" s="187">
        <v>801</v>
      </c>
      <c r="G137" s="187">
        <v>533</v>
      </c>
      <c r="H137" s="187">
        <v>8033</v>
      </c>
      <c r="I137" s="187">
        <v>7500</v>
      </c>
      <c r="J137" s="187">
        <v>34</v>
      </c>
      <c r="K137" s="187">
        <v>128.41999999999999</v>
      </c>
      <c r="L137" s="187">
        <v>128.56</v>
      </c>
      <c r="M137" s="187">
        <v>7.99</v>
      </c>
      <c r="N137" s="187">
        <v>132.88999999999999</v>
      </c>
      <c r="O137" s="187">
        <v>5416</v>
      </c>
      <c r="P137" s="187">
        <v>116.75</v>
      </c>
      <c r="Q137" s="187">
        <v>112.3</v>
      </c>
      <c r="R137" s="187">
        <v>33.5</v>
      </c>
      <c r="S137" s="187">
        <v>149.35</v>
      </c>
      <c r="T137" s="187">
        <v>932</v>
      </c>
      <c r="U137" s="187">
        <v>199.53</v>
      </c>
      <c r="V137" s="187">
        <v>867</v>
      </c>
      <c r="W137" s="187">
        <v>222.16</v>
      </c>
      <c r="X137" s="187">
        <v>4</v>
      </c>
      <c r="Y137" s="187">
        <v>0</v>
      </c>
      <c r="Z137" s="187">
        <v>2</v>
      </c>
      <c r="AA137" s="187">
        <v>4</v>
      </c>
      <c r="AB137" s="187">
        <v>18</v>
      </c>
      <c r="AC137" s="187">
        <v>12</v>
      </c>
      <c r="AD137" s="187">
        <v>6316</v>
      </c>
      <c r="AE137" s="187">
        <v>56</v>
      </c>
      <c r="AF137" s="187">
        <v>91</v>
      </c>
      <c r="AG137" s="187">
        <v>147</v>
      </c>
      <c r="AH137" s="187"/>
      <c r="AI137" s="187"/>
      <c r="AJ137" s="187"/>
      <c r="AK137" s="187"/>
      <c r="AL137" s="187"/>
      <c r="AM137" s="187"/>
      <c r="AN137" s="187"/>
      <c r="AO137" s="187"/>
      <c r="AP137" s="187"/>
      <c r="AQ137" s="187"/>
      <c r="AR137" s="187"/>
      <c r="AS137" s="187"/>
      <c r="AT137" s="187"/>
      <c r="AU137" s="187"/>
      <c r="AV137" s="187"/>
      <c r="AW137" s="187"/>
      <c r="AX137" s="187"/>
      <c r="AY137" s="187"/>
      <c r="AZ137" s="187"/>
      <c r="BA137" s="187"/>
      <c r="BB137" s="187"/>
      <c r="BC137" s="187"/>
      <c r="BD137" s="187"/>
      <c r="BE137" s="187"/>
      <c r="BF137" s="187"/>
      <c r="BG137" s="187"/>
      <c r="BH137" s="187"/>
      <c r="BI137" s="187"/>
      <c r="BJ137" s="187"/>
      <c r="BK137" s="187"/>
      <c r="BL137" s="187"/>
      <c r="BM137" s="187"/>
      <c r="BN137" s="187"/>
      <c r="BO137" s="187"/>
      <c r="BP137" s="187"/>
      <c r="BQ137" s="187"/>
      <c r="BR137" s="187"/>
      <c r="BS137" s="187"/>
      <c r="BT137" s="187"/>
      <c r="BU137" s="187"/>
      <c r="BV137" s="187"/>
      <c r="BW137" s="187"/>
      <c r="BX137" s="187"/>
      <c r="BY137" s="187"/>
      <c r="BZ137" s="187"/>
      <c r="CA137" s="187"/>
      <c r="CB137" s="187"/>
      <c r="CC137" s="187"/>
      <c r="CD137" s="187"/>
      <c r="CE137" s="187"/>
      <c r="CF137" s="187"/>
      <c r="CG137" s="187"/>
      <c r="CH137" s="187"/>
      <c r="CI137" s="187"/>
      <c r="CJ137" s="187"/>
      <c r="CK137" s="187"/>
      <c r="CL137" s="187"/>
      <c r="CM137" s="187"/>
      <c r="CN137" s="187"/>
      <c r="CO137" s="187"/>
      <c r="CP137" s="187"/>
      <c r="CQ137" s="187"/>
      <c r="CR137" s="187"/>
      <c r="CS137" s="187"/>
      <c r="CT137" s="187"/>
      <c r="CU137" s="187"/>
      <c r="CV137" s="187"/>
      <c r="CW137" s="187"/>
      <c r="CX137" s="187"/>
      <c r="CY137" s="187"/>
      <c r="CZ137" s="187"/>
      <c r="DA137" s="187"/>
      <c r="DB137" s="187"/>
      <c r="DC137" s="187"/>
      <c r="DD137" s="187"/>
      <c r="DE137" s="187"/>
      <c r="DF137" s="187"/>
      <c r="DG137" s="187"/>
      <c r="DH137" s="187"/>
      <c r="DI137" s="187"/>
      <c r="DJ137" s="187"/>
      <c r="DK137" s="187"/>
      <c r="DL137" s="187"/>
      <c r="DM137" s="187"/>
      <c r="DN137" s="187"/>
      <c r="DO137" s="187"/>
      <c r="DP137" s="187"/>
      <c r="DQ137" s="187"/>
      <c r="DR137" s="187"/>
      <c r="DS137" s="187"/>
      <c r="DT137" s="187"/>
      <c r="DU137" s="187"/>
      <c r="DV137" s="187"/>
      <c r="DW137" s="187"/>
      <c r="DX137" s="187"/>
      <c r="DY137" s="187"/>
      <c r="DZ137" s="187"/>
      <c r="EA137" s="187"/>
      <c r="EB137" s="187"/>
      <c r="EC137" s="187"/>
      <c r="ED137" s="187"/>
      <c r="EE137" s="187"/>
      <c r="EF137" s="187"/>
      <c r="EG137" s="187"/>
      <c r="EH137" s="187"/>
      <c r="EI137" s="187"/>
      <c r="EJ137" s="187"/>
      <c r="EK137" s="187"/>
      <c r="EL137" s="187"/>
      <c r="EM137" s="187"/>
      <c r="EN137" s="187"/>
      <c r="EO137" s="187"/>
      <c r="EP137" s="187"/>
      <c r="EQ137" s="187"/>
      <c r="ER137" s="187"/>
      <c r="ES137" s="187"/>
      <c r="ET137" s="187"/>
      <c r="EU137" s="187"/>
      <c r="EV137" s="187"/>
      <c r="EW137" s="187"/>
      <c r="EX137" s="187"/>
      <c r="EY137" s="187"/>
      <c r="EZ137" s="187"/>
      <c r="FA137" s="187"/>
      <c r="FB137" s="187"/>
      <c r="FC137" s="187"/>
    </row>
    <row r="138" spans="1:159" ht="15" x14ac:dyDescent="0.25">
      <c r="A138" s="187" t="s">
        <v>332</v>
      </c>
      <c r="B138" s="187" t="s">
        <v>333</v>
      </c>
      <c r="C138" s="187">
        <v>1146</v>
      </c>
      <c r="D138" s="187">
        <v>1</v>
      </c>
      <c r="E138" s="187">
        <v>63</v>
      </c>
      <c r="F138" s="187">
        <v>318</v>
      </c>
      <c r="G138" s="187">
        <v>274</v>
      </c>
      <c r="H138" s="187">
        <v>1802</v>
      </c>
      <c r="I138" s="187">
        <v>1528</v>
      </c>
      <c r="J138" s="187">
        <v>0</v>
      </c>
      <c r="K138" s="187">
        <v>101.9</v>
      </c>
      <c r="L138" s="187">
        <v>98.76</v>
      </c>
      <c r="M138" s="187">
        <v>9.11</v>
      </c>
      <c r="N138" s="187">
        <v>106.86</v>
      </c>
      <c r="O138" s="187">
        <v>789</v>
      </c>
      <c r="P138" s="187">
        <v>96.84</v>
      </c>
      <c r="Q138" s="187">
        <v>83.99</v>
      </c>
      <c r="R138" s="187">
        <v>54.3</v>
      </c>
      <c r="S138" s="187">
        <v>149.94999999999999</v>
      </c>
      <c r="T138" s="187">
        <v>365</v>
      </c>
      <c r="U138" s="187">
        <v>123.82</v>
      </c>
      <c r="V138" s="187">
        <v>330</v>
      </c>
      <c r="W138" s="187">
        <v>0</v>
      </c>
      <c r="X138" s="187">
        <v>0</v>
      </c>
      <c r="Y138" s="187">
        <v>0</v>
      </c>
      <c r="Z138" s="187">
        <v>0</v>
      </c>
      <c r="AA138" s="187">
        <v>0</v>
      </c>
      <c r="AB138" s="187">
        <v>48</v>
      </c>
      <c r="AC138" s="187">
        <v>8</v>
      </c>
      <c r="AD138" s="187">
        <v>1128</v>
      </c>
      <c r="AE138" s="187">
        <v>13</v>
      </c>
      <c r="AF138" s="187">
        <v>0</v>
      </c>
      <c r="AG138" s="187">
        <v>13</v>
      </c>
      <c r="AH138" s="187"/>
      <c r="AI138" s="187"/>
      <c r="AJ138" s="187"/>
      <c r="AK138" s="187"/>
      <c r="AL138" s="187"/>
      <c r="AM138" s="187"/>
      <c r="AN138" s="187"/>
      <c r="AO138" s="187"/>
      <c r="AP138" s="187"/>
      <c r="AQ138" s="187"/>
      <c r="AR138" s="187"/>
      <c r="AS138" s="187"/>
      <c r="AT138" s="187"/>
      <c r="AU138" s="187"/>
      <c r="AV138" s="187"/>
      <c r="AW138" s="187"/>
      <c r="AX138" s="187"/>
      <c r="AY138" s="187"/>
      <c r="AZ138" s="187"/>
      <c r="BA138" s="187"/>
      <c r="BB138" s="187"/>
      <c r="BC138" s="187"/>
      <c r="BD138" s="187"/>
      <c r="BE138" s="187"/>
      <c r="BF138" s="187"/>
      <c r="BG138" s="187"/>
      <c r="BH138" s="187"/>
      <c r="BI138" s="187"/>
      <c r="BJ138" s="187"/>
      <c r="BK138" s="187"/>
      <c r="BL138" s="187"/>
      <c r="BM138" s="187"/>
      <c r="BN138" s="187"/>
      <c r="BO138" s="187"/>
      <c r="BP138" s="187"/>
      <c r="BQ138" s="187"/>
      <c r="BR138" s="187"/>
      <c r="BS138" s="187"/>
      <c r="BT138" s="187"/>
      <c r="BU138" s="187"/>
      <c r="BV138" s="187"/>
      <c r="BW138" s="187"/>
      <c r="BX138" s="187"/>
      <c r="BY138" s="187"/>
      <c r="BZ138" s="187"/>
      <c r="CA138" s="187"/>
      <c r="CB138" s="187"/>
      <c r="CC138" s="187"/>
      <c r="CD138" s="187"/>
      <c r="CE138" s="187"/>
      <c r="CF138" s="187"/>
      <c r="CG138" s="187"/>
      <c r="CH138" s="187"/>
      <c r="CI138" s="187"/>
      <c r="CJ138" s="187"/>
      <c r="CK138" s="187"/>
      <c r="CL138" s="187"/>
      <c r="CM138" s="187"/>
      <c r="CN138" s="187"/>
      <c r="CO138" s="187"/>
      <c r="CP138" s="187"/>
      <c r="CQ138" s="187"/>
      <c r="CR138" s="187"/>
      <c r="CS138" s="187"/>
      <c r="CT138" s="187"/>
      <c r="CU138" s="187"/>
      <c r="CV138" s="187"/>
      <c r="CW138" s="187"/>
      <c r="CX138" s="187"/>
      <c r="CY138" s="187"/>
      <c r="CZ138" s="187"/>
      <c r="DA138" s="187"/>
      <c r="DB138" s="187"/>
      <c r="DC138" s="187"/>
      <c r="DD138" s="187"/>
      <c r="DE138" s="187"/>
      <c r="DF138" s="187"/>
      <c r="DG138" s="187"/>
      <c r="DH138" s="187"/>
      <c r="DI138" s="187"/>
      <c r="DJ138" s="187"/>
      <c r="DK138" s="187"/>
      <c r="DL138" s="187"/>
      <c r="DM138" s="187"/>
      <c r="DN138" s="187"/>
      <c r="DO138" s="187"/>
      <c r="DP138" s="187"/>
      <c r="DQ138" s="187"/>
      <c r="DR138" s="187"/>
      <c r="DS138" s="187"/>
      <c r="DT138" s="187"/>
      <c r="DU138" s="187"/>
      <c r="DV138" s="187"/>
      <c r="DW138" s="187"/>
      <c r="DX138" s="187"/>
      <c r="DY138" s="187"/>
      <c r="DZ138" s="187"/>
      <c r="EA138" s="187"/>
      <c r="EB138" s="187"/>
      <c r="EC138" s="187"/>
      <c r="ED138" s="187"/>
      <c r="EE138" s="187"/>
      <c r="EF138" s="187"/>
      <c r="EG138" s="187"/>
      <c r="EH138" s="187"/>
      <c r="EI138" s="187"/>
      <c r="EJ138" s="187"/>
      <c r="EK138" s="187"/>
      <c r="EL138" s="187"/>
      <c r="EM138" s="187"/>
      <c r="EN138" s="187"/>
      <c r="EO138" s="187"/>
      <c r="EP138" s="187"/>
      <c r="EQ138" s="187"/>
      <c r="ER138" s="187"/>
      <c r="ES138" s="187"/>
      <c r="ET138" s="187"/>
      <c r="EU138" s="187"/>
      <c r="EV138" s="187"/>
      <c r="EW138" s="187"/>
      <c r="EX138" s="187"/>
      <c r="EY138" s="187"/>
      <c r="EZ138" s="187"/>
      <c r="FA138" s="187"/>
      <c r="FB138" s="187"/>
      <c r="FC138" s="187"/>
    </row>
    <row r="139" spans="1:159" ht="15" x14ac:dyDescent="0.25">
      <c r="A139" s="187" t="s">
        <v>334</v>
      </c>
      <c r="B139" s="187" t="s">
        <v>335</v>
      </c>
      <c r="C139" s="187">
        <v>6850</v>
      </c>
      <c r="D139" s="187">
        <v>12</v>
      </c>
      <c r="E139" s="187">
        <v>532</v>
      </c>
      <c r="F139" s="187">
        <v>543</v>
      </c>
      <c r="G139" s="187">
        <v>1459</v>
      </c>
      <c r="H139" s="187">
        <v>9396</v>
      </c>
      <c r="I139" s="187">
        <v>7937</v>
      </c>
      <c r="J139" s="187">
        <v>53</v>
      </c>
      <c r="K139" s="187">
        <v>132.03</v>
      </c>
      <c r="L139" s="187">
        <v>129.41999999999999</v>
      </c>
      <c r="M139" s="187">
        <v>11.43</v>
      </c>
      <c r="N139" s="187">
        <v>140.19999999999999</v>
      </c>
      <c r="O139" s="187">
        <v>5106</v>
      </c>
      <c r="P139" s="187">
        <v>120.44</v>
      </c>
      <c r="Q139" s="187">
        <v>112.32</v>
      </c>
      <c r="R139" s="187">
        <v>51.59</v>
      </c>
      <c r="S139" s="187">
        <v>165.46</v>
      </c>
      <c r="T139" s="187">
        <v>832</v>
      </c>
      <c r="U139" s="187">
        <v>201.17</v>
      </c>
      <c r="V139" s="187">
        <v>1032</v>
      </c>
      <c r="W139" s="187">
        <v>174.41</v>
      </c>
      <c r="X139" s="187">
        <v>57</v>
      </c>
      <c r="Y139" s="187">
        <v>10</v>
      </c>
      <c r="Z139" s="187">
        <v>8</v>
      </c>
      <c r="AA139" s="187">
        <v>15</v>
      </c>
      <c r="AB139" s="187">
        <v>92</v>
      </c>
      <c r="AC139" s="187">
        <v>36</v>
      </c>
      <c r="AD139" s="187">
        <v>6552</v>
      </c>
      <c r="AE139" s="187">
        <v>25</v>
      </c>
      <c r="AF139" s="187">
        <v>25</v>
      </c>
      <c r="AG139" s="187">
        <v>50</v>
      </c>
      <c r="AH139" s="187"/>
      <c r="AI139" s="187"/>
      <c r="AJ139" s="187"/>
      <c r="AK139" s="187"/>
      <c r="AL139" s="187"/>
      <c r="AM139" s="187"/>
      <c r="AN139" s="187"/>
      <c r="AO139" s="187"/>
      <c r="AP139" s="187"/>
      <c r="AQ139" s="187"/>
      <c r="AR139" s="187"/>
      <c r="AS139" s="187"/>
      <c r="AT139" s="187"/>
      <c r="AU139" s="187"/>
      <c r="AV139" s="187"/>
      <c r="AW139" s="187"/>
      <c r="AX139" s="187"/>
      <c r="AY139" s="187"/>
      <c r="AZ139" s="187"/>
      <c r="BA139" s="187"/>
      <c r="BB139" s="187"/>
      <c r="BC139" s="187"/>
      <c r="BD139" s="187"/>
      <c r="BE139" s="187"/>
      <c r="BF139" s="187"/>
      <c r="BG139" s="187"/>
      <c r="BH139" s="187"/>
      <c r="BI139" s="187"/>
      <c r="BJ139" s="187"/>
      <c r="BK139" s="187"/>
      <c r="BL139" s="187"/>
      <c r="BM139" s="187"/>
      <c r="BN139" s="187"/>
      <c r="BO139" s="187"/>
      <c r="BP139" s="187"/>
      <c r="BQ139" s="187"/>
      <c r="BR139" s="187"/>
      <c r="BS139" s="187"/>
      <c r="BT139" s="187"/>
      <c r="BU139" s="187"/>
      <c r="BV139" s="187"/>
      <c r="BW139" s="187"/>
      <c r="BX139" s="187"/>
      <c r="BY139" s="187"/>
      <c r="BZ139" s="187"/>
      <c r="CA139" s="187"/>
      <c r="CB139" s="187"/>
      <c r="CC139" s="187"/>
      <c r="CD139" s="187"/>
      <c r="CE139" s="187"/>
      <c r="CF139" s="187"/>
      <c r="CG139" s="187"/>
      <c r="CH139" s="187"/>
      <c r="CI139" s="187"/>
      <c r="CJ139" s="187"/>
      <c r="CK139" s="187"/>
      <c r="CL139" s="187"/>
      <c r="CM139" s="187"/>
      <c r="CN139" s="187"/>
      <c r="CO139" s="187"/>
      <c r="CP139" s="187"/>
      <c r="CQ139" s="187"/>
      <c r="CR139" s="187"/>
      <c r="CS139" s="187"/>
      <c r="CT139" s="187"/>
      <c r="CU139" s="187"/>
      <c r="CV139" s="187"/>
      <c r="CW139" s="187"/>
      <c r="CX139" s="187"/>
      <c r="CY139" s="187"/>
      <c r="CZ139" s="187"/>
      <c r="DA139" s="187"/>
      <c r="DB139" s="187"/>
      <c r="DC139" s="187"/>
      <c r="DD139" s="187"/>
      <c r="DE139" s="187"/>
      <c r="DF139" s="187"/>
      <c r="DG139" s="187"/>
      <c r="DH139" s="187"/>
      <c r="DI139" s="187"/>
      <c r="DJ139" s="187"/>
      <c r="DK139" s="187"/>
      <c r="DL139" s="187"/>
      <c r="DM139" s="187"/>
      <c r="DN139" s="187"/>
      <c r="DO139" s="187"/>
      <c r="DP139" s="187"/>
      <c r="DQ139" s="187"/>
      <c r="DR139" s="187"/>
      <c r="DS139" s="187"/>
      <c r="DT139" s="187"/>
      <c r="DU139" s="187"/>
      <c r="DV139" s="187"/>
      <c r="DW139" s="187"/>
      <c r="DX139" s="187"/>
      <c r="DY139" s="187"/>
      <c r="DZ139" s="187"/>
      <c r="EA139" s="187"/>
      <c r="EB139" s="187"/>
      <c r="EC139" s="187"/>
      <c r="ED139" s="187"/>
      <c r="EE139" s="187"/>
      <c r="EF139" s="187"/>
      <c r="EG139" s="187"/>
      <c r="EH139" s="187"/>
      <c r="EI139" s="187"/>
      <c r="EJ139" s="187"/>
      <c r="EK139" s="187"/>
      <c r="EL139" s="187"/>
      <c r="EM139" s="187"/>
      <c r="EN139" s="187"/>
      <c r="EO139" s="187"/>
      <c r="EP139" s="187"/>
      <c r="EQ139" s="187"/>
      <c r="ER139" s="187"/>
      <c r="ES139" s="187"/>
      <c r="ET139" s="187"/>
      <c r="EU139" s="187"/>
      <c r="EV139" s="187"/>
      <c r="EW139" s="187"/>
      <c r="EX139" s="187"/>
      <c r="EY139" s="187"/>
      <c r="EZ139" s="187"/>
      <c r="FA139" s="187"/>
      <c r="FB139" s="187"/>
      <c r="FC139" s="187"/>
    </row>
    <row r="140" spans="1:159" ht="15" x14ac:dyDescent="0.25">
      <c r="A140" s="187" t="s">
        <v>336</v>
      </c>
      <c r="B140" s="187" t="s">
        <v>337</v>
      </c>
      <c r="C140" s="187">
        <v>2134</v>
      </c>
      <c r="D140" s="187">
        <v>1</v>
      </c>
      <c r="E140" s="187">
        <v>179</v>
      </c>
      <c r="F140" s="187">
        <v>125</v>
      </c>
      <c r="G140" s="187">
        <v>498</v>
      </c>
      <c r="H140" s="187">
        <v>2937</v>
      </c>
      <c r="I140" s="187">
        <v>2439</v>
      </c>
      <c r="J140" s="187">
        <v>10</v>
      </c>
      <c r="K140" s="187">
        <v>97.23</v>
      </c>
      <c r="L140" s="187">
        <v>94.32</v>
      </c>
      <c r="M140" s="187">
        <v>5.69</v>
      </c>
      <c r="N140" s="187">
        <v>100.35</v>
      </c>
      <c r="O140" s="187">
        <v>1394</v>
      </c>
      <c r="P140" s="187">
        <v>119.93</v>
      </c>
      <c r="Q140" s="187">
        <v>78.260000000000005</v>
      </c>
      <c r="R140" s="187">
        <v>60.27</v>
      </c>
      <c r="S140" s="187">
        <v>176.22</v>
      </c>
      <c r="T140" s="187">
        <v>242</v>
      </c>
      <c r="U140" s="187">
        <v>122.84</v>
      </c>
      <c r="V140" s="187">
        <v>703</v>
      </c>
      <c r="W140" s="187">
        <v>0</v>
      </c>
      <c r="X140" s="187">
        <v>0</v>
      </c>
      <c r="Y140" s="187">
        <v>0</v>
      </c>
      <c r="Z140" s="187">
        <v>0</v>
      </c>
      <c r="AA140" s="187">
        <v>4</v>
      </c>
      <c r="AB140" s="187">
        <v>60</v>
      </c>
      <c r="AC140" s="187">
        <v>9</v>
      </c>
      <c r="AD140" s="187">
        <v>2134</v>
      </c>
      <c r="AE140" s="187">
        <v>7</v>
      </c>
      <c r="AF140" s="187">
        <v>8</v>
      </c>
      <c r="AG140" s="187">
        <v>15</v>
      </c>
      <c r="AH140" s="187"/>
      <c r="AI140" s="187"/>
      <c r="AJ140" s="187"/>
      <c r="AK140" s="187"/>
      <c r="AL140" s="187"/>
      <c r="AM140" s="187"/>
      <c r="AN140" s="187"/>
      <c r="AO140" s="187"/>
      <c r="AP140" s="187"/>
      <c r="AQ140" s="187"/>
      <c r="AR140" s="187"/>
      <c r="AS140" s="187"/>
      <c r="AT140" s="187"/>
      <c r="AU140" s="187"/>
      <c r="AV140" s="187"/>
      <c r="AW140" s="187"/>
      <c r="AX140" s="187"/>
      <c r="AY140" s="187"/>
      <c r="AZ140" s="187"/>
      <c r="BA140" s="187"/>
      <c r="BB140" s="187"/>
      <c r="BC140" s="187"/>
      <c r="BD140" s="187"/>
      <c r="BE140" s="187"/>
      <c r="BF140" s="187"/>
      <c r="BG140" s="187"/>
      <c r="BH140" s="187"/>
      <c r="BI140" s="187"/>
      <c r="BJ140" s="187"/>
      <c r="BK140" s="187"/>
      <c r="BL140" s="187"/>
      <c r="BM140" s="187"/>
      <c r="BN140" s="187"/>
      <c r="BO140" s="187"/>
      <c r="BP140" s="187"/>
      <c r="BQ140" s="187"/>
      <c r="BR140" s="187"/>
      <c r="BS140" s="187"/>
      <c r="BT140" s="187"/>
      <c r="BU140" s="187"/>
      <c r="BV140" s="187"/>
      <c r="BW140" s="187"/>
      <c r="BX140" s="187"/>
      <c r="BY140" s="187"/>
      <c r="BZ140" s="187"/>
      <c r="CA140" s="187"/>
      <c r="CB140" s="187"/>
      <c r="CC140" s="187"/>
      <c r="CD140" s="187"/>
      <c r="CE140" s="187"/>
      <c r="CF140" s="187"/>
      <c r="CG140" s="187"/>
      <c r="CH140" s="187"/>
      <c r="CI140" s="187"/>
      <c r="CJ140" s="187"/>
      <c r="CK140" s="187"/>
      <c r="CL140" s="187"/>
      <c r="CM140" s="187"/>
      <c r="CN140" s="187"/>
      <c r="CO140" s="187"/>
      <c r="CP140" s="187"/>
      <c r="CQ140" s="187"/>
      <c r="CR140" s="187"/>
      <c r="CS140" s="187"/>
      <c r="CT140" s="187"/>
      <c r="CU140" s="187"/>
      <c r="CV140" s="187"/>
      <c r="CW140" s="187"/>
      <c r="CX140" s="187"/>
      <c r="CY140" s="187"/>
      <c r="CZ140" s="187"/>
      <c r="DA140" s="187"/>
      <c r="DB140" s="187"/>
      <c r="DC140" s="187"/>
      <c r="DD140" s="187"/>
      <c r="DE140" s="187"/>
      <c r="DF140" s="187"/>
      <c r="DG140" s="187"/>
      <c r="DH140" s="187"/>
      <c r="DI140" s="187"/>
      <c r="DJ140" s="187"/>
      <c r="DK140" s="187"/>
      <c r="DL140" s="187"/>
      <c r="DM140" s="187"/>
      <c r="DN140" s="187"/>
      <c r="DO140" s="187"/>
      <c r="DP140" s="187"/>
      <c r="DQ140" s="187"/>
      <c r="DR140" s="187"/>
      <c r="DS140" s="187"/>
      <c r="DT140" s="187"/>
      <c r="DU140" s="187"/>
      <c r="DV140" s="187"/>
      <c r="DW140" s="187"/>
      <c r="DX140" s="187"/>
      <c r="DY140" s="187"/>
      <c r="DZ140" s="187"/>
      <c r="EA140" s="187"/>
      <c r="EB140" s="187"/>
      <c r="EC140" s="187"/>
      <c r="ED140" s="187"/>
      <c r="EE140" s="187"/>
      <c r="EF140" s="187"/>
      <c r="EG140" s="187"/>
      <c r="EH140" s="187"/>
      <c r="EI140" s="187"/>
      <c r="EJ140" s="187"/>
      <c r="EK140" s="187"/>
      <c r="EL140" s="187"/>
      <c r="EM140" s="187"/>
      <c r="EN140" s="187"/>
      <c r="EO140" s="187"/>
      <c r="EP140" s="187"/>
      <c r="EQ140" s="187"/>
      <c r="ER140" s="187"/>
      <c r="ES140" s="187"/>
      <c r="ET140" s="187"/>
      <c r="EU140" s="187"/>
      <c r="EV140" s="187"/>
      <c r="EW140" s="187"/>
      <c r="EX140" s="187"/>
      <c r="EY140" s="187"/>
      <c r="EZ140" s="187"/>
      <c r="FA140" s="187"/>
      <c r="FB140" s="187"/>
      <c r="FC140" s="187"/>
    </row>
    <row r="141" spans="1:159" ht="15" x14ac:dyDescent="0.25">
      <c r="A141" s="187" t="s">
        <v>338</v>
      </c>
      <c r="B141" s="187" t="s">
        <v>339</v>
      </c>
      <c r="C141" s="187">
        <v>6205</v>
      </c>
      <c r="D141" s="187">
        <v>0</v>
      </c>
      <c r="E141" s="187">
        <v>104</v>
      </c>
      <c r="F141" s="187">
        <v>1046</v>
      </c>
      <c r="G141" s="187">
        <v>1126</v>
      </c>
      <c r="H141" s="187">
        <v>8481</v>
      </c>
      <c r="I141" s="187">
        <v>7355</v>
      </c>
      <c r="J141" s="187">
        <v>178</v>
      </c>
      <c r="K141" s="187">
        <v>118.85</v>
      </c>
      <c r="L141" s="187">
        <v>117.47</v>
      </c>
      <c r="M141" s="187">
        <v>6.3</v>
      </c>
      <c r="N141" s="187">
        <v>122.69</v>
      </c>
      <c r="O141" s="187">
        <v>4639</v>
      </c>
      <c r="P141" s="187">
        <v>104.3</v>
      </c>
      <c r="Q141" s="187">
        <v>100.65</v>
      </c>
      <c r="R141" s="187">
        <v>31.68</v>
      </c>
      <c r="S141" s="187">
        <v>135.88</v>
      </c>
      <c r="T141" s="187">
        <v>909</v>
      </c>
      <c r="U141" s="187">
        <v>183.09</v>
      </c>
      <c r="V141" s="187">
        <v>1513</v>
      </c>
      <c r="W141" s="187">
        <v>238.19</v>
      </c>
      <c r="X141" s="187">
        <v>117</v>
      </c>
      <c r="Y141" s="187">
        <v>0</v>
      </c>
      <c r="Z141" s="187">
        <v>5</v>
      </c>
      <c r="AA141" s="187">
        <v>11</v>
      </c>
      <c r="AB141" s="187">
        <v>61</v>
      </c>
      <c r="AC141" s="187">
        <v>11</v>
      </c>
      <c r="AD141" s="187">
        <v>6171</v>
      </c>
      <c r="AE141" s="187">
        <v>42</v>
      </c>
      <c r="AF141" s="187">
        <v>97</v>
      </c>
      <c r="AG141" s="187">
        <v>139</v>
      </c>
      <c r="AH141" s="187"/>
      <c r="AI141" s="187"/>
      <c r="AJ141" s="187"/>
      <c r="AK141" s="187"/>
      <c r="AL141" s="187"/>
      <c r="AM141" s="187"/>
      <c r="AN141" s="187"/>
      <c r="AO141" s="187"/>
      <c r="AP141" s="187"/>
      <c r="AQ141" s="187"/>
      <c r="AR141" s="187"/>
      <c r="AS141" s="187"/>
      <c r="AT141" s="187"/>
      <c r="AU141" s="187"/>
      <c r="AV141" s="187"/>
      <c r="AW141" s="187"/>
      <c r="AX141" s="187"/>
      <c r="AY141" s="187"/>
      <c r="AZ141" s="187"/>
      <c r="BA141" s="187"/>
      <c r="BB141" s="187"/>
      <c r="BC141" s="187"/>
      <c r="BD141" s="187"/>
      <c r="BE141" s="187"/>
      <c r="BF141" s="187"/>
      <c r="BG141" s="187"/>
      <c r="BH141" s="187"/>
      <c r="BI141" s="187"/>
      <c r="BJ141" s="187"/>
      <c r="BK141" s="187"/>
      <c r="BL141" s="187"/>
      <c r="BM141" s="187"/>
      <c r="BN141" s="187"/>
      <c r="BO141" s="187"/>
      <c r="BP141" s="187"/>
      <c r="BQ141" s="187"/>
      <c r="BR141" s="187"/>
      <c r="BS141" s="187"/>
      <c r="BT141" s="187"/>
      <c r="BU141" s="187"/>
      <c r="BV141" s="187"/>
      <c r="BW141" s="187"/>
      <c r="BX141" s="187"/>
      <c r="BY141" s="187"/>
      <c r="BZ141" s="187"/>
      <c r="CA141" s="187"/>
      <c r="CB141" s="187"/>
      <c r="CC141" s="187"/>
      <c r="CD141" s="187"/>
      <c r="CE141" s="187"/>
      <c r="CF141" s="187"/>
      <c r="CG141" s="187"/>
      <c r="CH141" s="187"/>
      <c r="CI141" s="187"/>
      <c r="CJ141" s="187"/>
      <c r="CK141" s="187"/>
      <c r="CL141" s="187"/>
      <c r="CM141" s="187"/>
      <c r="CN141" s="187"/>
      <c r="CO141" s="187"/>
      <c r="CP141" s="187"/>
      <c r="CQ141" s="187"/>
      <c r="CR141" s="187"/>
      <c r="CS141" s="187"/>
      <c r="CT141" s="187"/>
      <c r="CU141" s="187"/>
      <c r="CV141" s="187"/>
      <c r="CW141" s="187"/>
      <c r="CX141" s="187"/>
      <c r="CY141" s="187"/>
      <c r="CZ141" s="187"/>
      <c r="DA141" s="187"/>
      <c r="DB141" s="187"/>
      <c r="DC141" s="187"/>
      <c r="DD141" s="187"/>
      <c r="DE141" s="187"/>
      <c r="DF141" s="187"/>
      <c r="DG141" s="187"/>
      <c r="DH141" s="187"/>
      <c r="DI141" s="187"/>
      <c r="DJ141" s="187"/>
      <c r="DK141" s="187"/>
      <c r="DL141" s="187"/>
      <c r="DM141" s="187"/>
      <c r="DN141" s="187"/>
      <c r="DO141" s="187"/>
      <c r="DP141" s="187"/>
      <c r="DQ141" s="187"/>
      <c r="DR141" s="187"/>
      <c r="DS141" s="187"/>
      <c r="DT141" s="187"/>
      <c r="DU141" s="187"/>
      <c r="DV141" s="187"/>
      <c r="DW141" s="187"/>
      <c r="DX141" s="187"/>
      <c r="DY141" s="187"/>
      <c r="DZ141" s="187"/>
      <c r="EA141" s="187"/>
      <c r="EB141" s="187"/>
      <c r="EC141" s="187"/>
      <c r="ED141" s="187"/>
      <c r="EE141" s="187"/>
      <c r="EF141" s="187"/>
      <c r="EG141" s="187"/>
      <c r="EH141" s="187"/>
      <c r="EI141" s="187"/>
      <c r="EJ141" s="187"/>
      <c r="EK141" s="187"/>
      <c r="EL141" s="187"/>
      <c r="EM141" s="187"/>
      <c r="EN141" s="187"/>
      <c r="EO141" s="187"/>
      <c r="EP141" s="187"/>
      <c r="EQ141" s="187"/>
      <c r="ER141" s="187"/>
      <c r="ES141" s="187"/>
      <c r="ET141" s="187"/>
      <c r="EU141" s="187"/>
      <c r="EV141" s="187"/>
      <c r="EW141" s="187"/>
      <c r="EX141" s="187"/>
      <c r="EY141" s="187"/>
      <c r="EZ141" s="187"/>
      <c r="FA141" s="187"/>
      <c r="FB141" s="187"/>
      <c r="FC141" s="187"/>
    </row>
    <row r="142" spans="1:159" ht="15" x14ac:dyDescent="0.25">
      <c r="A142" s="187" t="s">
        <v>340</v>
      </c>
      <c r="B142" s="187" t="s">
        <v>341</v>
      </c>
      <c r="C142" s="187">
        <v>8138</v>
      </c>
      <c r="D142" s="187">
        <v>44</v>
      </c>
      <c r="E142" s="187">
        <v>389</v>
      </c>
      <c r="F142" s="187">
        <v>241</v>
      </c>
      <c r="G142" s="187">
        <v>2396</v>
      </c>
      <c r="H142" s="187">
        <v>11208</v>
      </c>
      <c r="I142" s="187">
        <v>8812</v>
      </c>
      <c r="J142" s="187">
        <v>33</v>
      </c>
      <c r="K142" s="187">
        <v>132.72</v>
      </c>
      <c r="L142" s="187">
        <v>132.02000000000001</v>
      </c>
      <c r="M142" s="187">
        <v>12.24</v>
      </c>
      <c r="N142" s="187">
        <v>142.26</v>
      </c>
      <c r="O142" s="187">
        <v>5884</v>
      </c>
      <c r="P142" s="187">
        <v>138.86000000000001</v>
      </c>
      <c r="Q142" s="187">
        <v>129.9</v>
      </c>
      <c r="R142" s="187">
        <v>120.85</v>
      </c>
      <c r="S142" s="187">
        <v>257.51</v>
      </c>
      <c r="T142" s="187">
        <v>330</v>
      </c>
      <c r="U142" s="187">
        <v>210.41</v>
      </c>
      <c r="V142" s="187">
        <v>1405</v>
      </c>
      <c r="W142" s="187">
        <v>226.36</v>
      </c>
      <c r="X142" s="187">
        <v>109</v>
      </c>
      <c r="Y142" s="187">
        <v>22</v>
      </c>
      <c r="Z142" s="187">
        <v>2</v>
      </c>
      <c r="AA142" s="187">
        <v>7</v>
      </c>
      <c r="AB142" s="187">
        <v>112</v>
      </c>
      <c r="AC142" s="187">
        <v>78</v>
      </c>
      <c r="AD142" s="187">
        <v>7669</v>
      </c>
      <c r="AE142" s="187">
        <v>34</v>
      </c>
      <c r="AF142" s="187">
        <v>69</v>
      </c>
      <c r="AG142" s="187">
        <v>103</v>
      </c>
      <c r="AH142" s="187"/>
      <c r="AI142" s="187"/>
      <c r="AJ142" s="187"/>
      <c r="AK142" s="187"/>
      <c r="AL142" s="187"/>
      <c r="AM142" s="187"/>
      <c r="AN142" s="187"/>
      <c r="AO142" s="187"/>
      <c r="AP142" s="187"/>
      <c r="AQ142" s="187"/>
      <c r="AR142" s="187"/>
      <c r="AS142" s="187"/>
      <c r="AT142" s="187"/>
      <c r="AU142" s="187"/>
      <c r="AV142" s="187"/>
      <c r="AW142" s="187"/>
      <c r="AX142" s="187"/>
      <c r="AY142" s="187"/>
      <c r="AZ142" s="187"/>
      <c r="BA142" s="187"/>
      <c r="BB142" s="187"/>
      <c r="BC142" s="187"/>
      <c r="BD142" s="187"/>
      <c r="BE142" s="187"/>
      <c r="BF142" s="187"/>
      <c r="BG142" s="187"/>
      <c r="BH142" s="187"/>
      <c r="BI142" s="187"/>
      <c r="BJ142" s="187"/>
      <c r="BK142" s="187"/>
      <c r="BL142" s="187"/>
      <c r="BM142" s="187"/>
      <c r="BN142" s="187"/>
      <c r="BO142" s="187"/>
      <c r="BP142" s="187"/>
      <c r="BQ142" s="187"/>
      <c r="BR142" s="187"/>
      <c r="BS142" s="187"/>
      <c r="BT142" s="187"/>
      <c r="BU142" s="187"/>
      <c r="BV142" s="187"/>
      <c r="BW142" s="187"/>
      <c r="BX142" s="187"/>
      <c r="BY142" s="187"/>
      <c r="BZ142" s="187"/>
      <c r="CA142" s="187"/>
      <c r="CB142" s="187"/>
      <c r="CC142" s="187"/>
      <c r="CD142" s="187"/>
      <c r="CE142" s="187"/>
      <c r="CF142" s="187"/>
      <c r="CG142" s="187"/>
      <c r="CH142" s="187"/>
      <c r="CI142" s="187"/>
      <c r="CJ142" s="187"/>
      <c r="CK142" s="187"/>
      <c r="CL142" s="187"/>
      <c r="CM142" s="187"/>
      <c r="CN142" s="187"/>
      <c r="CO142" s="187"/>
      <c r="CP142" s="187"/>
      <c r="CQ142" s="187"/>
      <c r="CR142" s="187"/>
      <c r="CS142" s="187"/>
      <c r="CT142" s="187"/>
      <c r="CU142" s="187"/>
      <c r="CV142" s="187"/>
      <c r="CW142" s="187"/>
      <c r="CX142" s="187"/>
      <c r="CY142" s="187"/>
      <c r="CZ142" s="187"/>
      <c r="DA142" s="187"/>
      <c r="DB142" s="187"/>
      <c r="DC142" s="187"/>
      <c r="DD142" s="187"/>
      <c r="DE142" s="187"/>
      <c r="DF142" s="187"/>
      <c r="DG142" s="187"/>
      <c r="DH142" s="187"/>
      <c r="DI142" s="187"/>
      <c r="DJ142" s="187"/>
      <c r="DK142" s="187"/>
      <c r="DL142" s="187"/>
      <c r="DM142" s="187"/>
      <c r="DN142" s="187"/>
      <c r="DO142" s="187"/>
      <c r="DP142" s="187"/>
      <c r="DQ142" s="187"/>
      <c r="DR142" s="187"/>
      <c r="DS142" s="187"/>
      <c r="DT142" s="187"/>
      <c r="DU142" s="187"/>
      <c r="DV142" s="187"/>
      <c r="DW142" s="187"/>
      <c r="DX142" s="187"/>
      <c r="DY142" s="187"/>
      <c r="DZ142" s="187"/>
      <c r="EA142" s="187"/>
      <c r="EB142" s="187"/>
      <c r="EC142" s="187"/>
      <c r="ED142" s="187"/>
      <c r="EE142" s="187"/>
      <c r="EF142" s="187"/>
      <c r="EG142" s="187"/>
      <c r="EH142" s="187"/>
      <c r="EI142" s="187"/>
      <c r="EJ142" s="187"/>
      <c r="EK142" s="187"/>
      <c r="EL142" s="187"/>
      <c r="EM142" s="187"/>
      <c r="EN142" s="187"/>
      <c r="EO142" s="187"/>
      <c r="EP142" s="187"/>
      <c r="EQ142" s="187"/>
      <c r="ER142" s="187"/>
      <c r="ES142" s="187"/>
      <c r="ET142" s="187"/>
      <c r="EU142" s="187"/>
      <c r="EV142" s="187"/>
      <c r="EW142" s="187"/>
      <c r="EX142" s="187"/>
      <c r="EY142" s="187"/>
      <c r="EZ142" s="187"/>
      <c r="FA142" s="187"/>
      <c r="FB142" s="187"/>
      <c r="FC142" s="187"/>
    </row>
    <row r="143" spans="1:159" ht="15" x14ac:dyDescent="0.25">
      <c r="A143" s="187" t="s">
        <v>342</v>
      </c>
      <c r="B143" s="187" t="s">
        <v>343</v>
      </c>
      <c r="C143" s="187">
        <v>9179</v>
      </c>
      <c r="D143" s="187">
        <v>0</v>
      </c>
      <c r="E143" s="187">
        <v>537</v>
      </c>
      <c r="F143" s="187">
        <v>951</v>
      </c>
      <c r="G143" s="187">
        <v>1224</v>
      </c>
      <c r="H143" s="187">
        <v>11891</v>
      </c>
      <c r="I143" s="187">
        <v>10667</v>
      </c>
      <c r="J143" s="187">
        <v>36</v>
      </c>
      <c r="K143" s="187">
        <v>101.82</v>
      </c>
      <c r="L143" s="187">
        <v>101.37</v>
      </c>
      <c r="M143" s="187">
        <v>3.87</v>
      </c>
      <c r="N143" s="187">
        <v>105.45</v>
      </c>
      <c r="O143" s="187">
        <v>7863</v>
      </c>
      <c r="P143" s="187">
        <v>105.81</v>
      </c>
      <c r="Q143" s="187">
        <v>88.07</v>
      </c>
      <c r="R143" s="187">
        <v>54.08</v>
      </c>
      <c r="S143" s="187">
        <v>156.85</v>
      </c>
      <c r="T143" s="187">
        <v>1315</v>
      </c>
      <c r="U143" s="187">
        <v>148.52000000000001</v>
      </c>
      <c r="V143" s="187">
        <v>1182</v>
      </c>
      <c r="W143" s="187">
        <v>102.77</v>
      </c>
      <c r="X143" s="187">
        <v>84</v>
      </c>
      <c r="Y143" s="187">
        <v>1</v>
      </c>
      <c r="Z143" s="187">
        <v>10</v>
      </c>
      <c r="AA143" s="187">
        <v>3</v>
      </c>
      <c r="AB143" s="187">
        <v>100</v>
      </c>
      <c r="AC143" s="187">
        <v>19</v>
      </c>
      <c r="AD143" s="187">
        <v>9179</v>
      </c>
      <c r="AE143" s="187">
        <v>77</v>
      </c>
      <c r="AF143" s="187">
        <v>98</v>
      </c>
      <c r="AG143" s="187">
        <v>175</v>
      </c>
      <c r="AH143" s="187"/>
      <c r="AI143" s="187"/>
      <c r="AJ143" s="187"/>
      <c r="AK143" s="187"/>
      <c r="AL143" s="187"/>
      <c r="AM143" s="187"/>
      <c r="AN143" s="187"/>
      <c r="AO143" s="187"/>
      <c r="AP143" s="187"/>
      <c r="AQ143" s="187"/>
      <c r="AR143" s="187"/>
      <c r="AS143" s="187"/>
      <c r="AT143" s="187"/>
      <c r="AU143" s="187"/>
      <c r="AV143" s="187"/>
      <c r="AW143" s="187"/>
      <c r="AX143" s="187"/>
      <c r="AY143" s="187"/>
      <c r="AZ143" s="187"/>
      <c r="BA143" s="187"/>
      <c r="BB143" s="187"/>
      <c r="BC143" s="187"/>
      <c r="BD143" s="187"/>
      <c r="BE143" s="187"/>
      <c r="BF143" s="187"/>
      <c r="BG143" s="187"/>
      <c r="BH143" s="187"/>
      <c r="BI143" s="187"/>
      <c r="BJ143" s="187"/>
      <c r="BK143" s="187"/>
      <c r="BL143" s="187"/>
      <c r="BM143" s="187"/>
      <c r="BN143" s="187"/>
      <c r="BO143" s="187"/>
      <c r="BP143" s="187"/>
      <c r="BQ143" s="187"/>
      <c r="BR143" s="187"/>
      <c r="BS143" s="187"/>
      <c r="BT143" s="187"/>
      <c r="BU143" s="187"/>
      <c r="BV143" s="187"/>
      <c r="BW143" s="187"/>
      <c r="BX143" s="187"/>
      <c r="BY143" s="187"/>
      <c r="BZ143" s="187"/>
      <c r="CA143" s="187"/>
      <c r="CB143" s="187"/>
      <c r="CC143" s="187"/>
      <c r="CD143" s="187"/>
      <c r="CE143" s="187"/>
      <c r="CF143" s="187"/>
      <c r="CG143" s="187"/>
      <c r="CH143" s="187"/>
      <c r="CI143" s="187"/>
      <c r="CJ143" s="187"/>
      <c r="CK143" s="187"/>
      <c r="CL143" s="187"/>
      <c r="CM143" s="187"/>
      <c r="CN143" s="187"/>
      <c r="CO143" s="187"/>
      <c r="CP143" s="187"/>
      <c r="CQ143" s="187"/>
      <c r="CR143" s="187"/>
      <c r="CS143" s="187"/>
      <c r="CT143" s="187"/>
      <c r="CU143" s="187"/>
      <c r="CV143" s="187"/>
      <c r="CW143" s="187"/>
      <c r="CX143" s="187"/>
      <c r="CY143" s="187"/>
      <c r="CZ143" s="187"/>
      <c r="DA143" s="187"/>
      <c r="DB143" s="187"/>
      <c r="DC143" s="187"/>
      <c r="DD143" s="187"/>
      <c r="DE143" s="187"/>
      <c r="DF143" s="187"/>
      <c r="DG143" s="187"/>
      <c r="DH143" s="187"/>
      <c r="DI143" s="187"/>
      <c r="DJ143" s="187"/>
      <c r="DK143" s="187"/>
      <c r="DL143" s="187"/>
      <c r="DM143" s="187"/>
      <c r="DN143" s="187"/>
      <c r="DO143" s="187"/>
      <c r="DP143" s="187"/>
      <c r="DQ143" s="187"/>
      <c r="DR143" s="187"/>
      <c r="DS143" s="187"/>
      <c r="DT143" s="187"/>
      <c r="DU143" s="187"/>
      <c r="DV143" s="187"/>
      <c r="DW143" s="187"/>
      <c r="DX143" s="187"/>
      <c r="DY143" s="187"/>
      <c r="DZ143" s="187"/>
      <c r="EA143" s="187"/>
      <c r="EB143" s="187"/>
      <c r="EC143" s="187"/>
      <c r="ED143" s="187"/>
      <c r="EE143" s="187"/>
      <c r="EF143" s="187"/>
      <c r="EG143" s="187"/>
      <c r="EH143" s="187"/>
      <c r="EI143" s="187"/>
      <c r="EJ143" s="187"/>
      <c r="EK143" s="187"/>
      <c r="EL143" s="187"/>
      <c r="EM143" s="187"/>
      <c r="EN143" s="187"/>
      <c r="EO143" s="187"/>
      <c r="EP143" s="187"/>
      <c r="EQ143" s="187"/>
      <c r="ER143" s="187"/>
      <c r="ES143" s="187"/>
      <c r="ET143" s="187"/>
      <c r="EU143" s="187"/>
      <c r="EV143" s="187"/>
      <c r="EW143" s="187"/>
      <c r="EX143" s="187"/>
      <c r="EY143" s="187"/>
      <c r="EZ143" s="187"/>
      <c r="FA143" s="187"/>
      <c r="FB143" s="187"/>
      <c r="FC143" s="187"/>
    </row>
    <row r="144" spans="1:159" ht="15" x14ac:dyDescent="0.25">
      <c r="A144" s="187" t="s">
        <v>344</v>
      </c>
      <c r="B144" s="187" t="s">
        <v>345</v>
      </c>
      <c r="C144" s="187">
        <v>3143</v>
      </c>
      <c r="D144" s="187">
        <v>0</v>
      </c>
      <c r="E144" s="187">
        <v>321</v>
      </c>
      <c r="F144" s="187">
        <v>1547</v>
      </c>
      <c r="G144" s="187">
        <v>88</v>
      </c>
      <c r="H144" s="187">
        <v>5099</v>
      </c>
      <c r="I144" s="187">
        <v>5011</v>
      </c>
      <c r="J144" s="187">
        <v>0</v>
      </c>
      <c r="K144" s="187">
        <v>82.14</v>
      </c>
      <c r="L144" s="187">
        <v>81.86</v>
      </c>
      <c r="M144" s="187">
        <v>2.65</v>
      </c>
      <c r="N144" s="187">
        <v>83.57</v>
      </c>
      <c r="O144" s="187">
        <v>2883</v>
      </c>
      <c r="P144" s="187">
        <v>82.05</v>
      </c>
      <c r="Q144" s="187">
        <v>74.36</v>
      </c>
      <c r="R144" s="187">
        <v>24.05</v>
      </c>
      <c r="S144" s="187">
        <v>105.33</v>
      </c>
      <c r="T144" s="187">
        <v>1721</v>
      </c>
      <c r="U144" s="187">
        <v>104.51</v>
      </c>
      <c r="V144" s="187">
        <v>245</v>
      </c>
      <c r="W144" s="187">
        <v>268.79000000000002</v>
      </c>
      <c r="X144" s="187">
        <v>14</v>
      </c>
      <c r="Y144" s="187">
        <v>0</v>
      </c>
      <c r="Z144" s="187">
        <v>7</v>
      </c>
      <c r="AA144" s="187">
        <v>2</v>
      </c>
      <c r="AB144" s="187">
        <v>18</v>
      </c>
      <c r="AC144" s="187">
        <v>2</v>
      </c>
      <c r="AD144" s="187">
        <v>3143</v>
      </c>
      <c r="AE144" s="187">
        <v>19</v>
      </c>
      <c r="AF144" s="187">
        <v>5</v>
      </c>
      <c r="AG144" s="187">
        <v>24</v>
      </c>
      <c r="AH144" s="187"/>
      <c r="AI144" s="187"/>
      <c r="AJ144" s="187"/>
      <c r="AK144" s="187"/>
      <c r="AL144" s="187"/>
      <c r="AM144" s="187"/>
      <c r="AN144" s="187"/>
      <c r="AO144" s="187"/>
      <c r="AP144" s="187"/>
      <c r="AQ144" s="187"/>
      <c r="AR144" s="187"/>
      <c r="AS144" s="187"/>
      <c r="AT144" s="187"/>
      <c r="AU144" s="187"/>
      <c r="AV144" s="187"/>
      <c r="AW144" s="187"/>
      <c r="AX144" s="187"/>
      <c r="AY144" s="187"/>
      <c r="AZ144" s="187"/>
      <c r="BA144" s="187"/>
      <c r="BB144" s="187"/>
      <c r="BC144" s="187"/>
      <c r="BD144" s="187"/>
      <c r="BE144" s="187"/>
      <c r="BF144" s="187"/>
      <c r="BG144" s="187"/>
      <c r="BH144" s="187"/>
      <c r="BI144" s="187"/>
      <c r="BJ144" s="187"/>
      <c r="BK144" s="187"/>
      <c r="BL144" s="187"/>
      <c r="BM144" s="187"/>
      <c r="BN144" s="187"/>
      <c r="BO144" s="187"/>
      <c r="BP144" s="187"/>
      <c r="BQ144" s="187"/>
      <c r="BR144" s="187"/>
      <c r="BS144" s="187"/>
      <c r="BT144" s="187"/>
      <c r="BU144" s="187"/>
      <c r="BV144" s="187"/>
      <c r="BW144" s="187"/>
      <c r="BX144" s="187"/>
      <c r="BY144" s="187"/>
      <c r="BZ144" s="187"/>
      <c r="CA144" s="187"/>
      <c r="CB144" s="187"/>
      <c r="CC144" s="187"/>
      <c r="CD144" s="187"/>
      <c r="CE144" s="187"/>
      <c r="CF144" s="187"/>
      <c r="CG144" s="187"/>
      <c r="CH144" s="187"/>
      <c r="CI144" s="187"/>
      <c r="CJ144" s="187"/>
      <c r="CK144" s="187"/>
      <c r="CL144" s="187"/>
      <c r="CM144" s="187"/>
      <c r="CN144" s="187"/>
      <c r="CO144" s="187"/>
      <c r="CP144" s="187"/>
      <c r="CQ144" s="187"/>
      <c r="CR144" s="187"/>
      <c r="CS144" s="187"/>
      <c r="CT144" s="187"/>
      <c r="CU144" s="187"/>
      <c r="CV144" s="187"/>
      <c r="CW144" s="187"/>
      <c r="CX144" s="187"/>
      <c r="CY144" s="187"/>
      <c r="CZ144" s="187"/>
      <c r="DA144" s="187"/>
      <c r="DB144" s="187"/>
      <c r="DC144" s="187"/>
      <c r="DD144" s="187"/>
      <c r="DE144" s="187"/>
      <c r="DF144" s="187"/>
      <c r="DG144" s="187"/>
      <c r="DH144" s="187"/>
      <c r="DI144" s="187"/>
      <c r="DJ144" s="187"/>
      <c r="DK144" s="187"/>
      <c r="DL144" s="187"/>
      <c r="DM144" s="187"/>
      <c r="DN144" s="187"/>
      <c r="DO144" s="187"/>
      <c r="DP144" s="187"/>
      <c r="DQ144" s="187"/>
      <c r="DR144" s="187"/>
      <c r="DS144" s="187"/>
      <c r="DT144" s="187"/>
      <c r="DU144" s="187"/>
      <c r="DV144" s="187"/>
      <c r="DW144" s="187"/>
      <c r="DX144" s="187"/>
      <c r="DY144" s="187"/>
      <c r="DZ144" s="187"/>
      <c r="EA144" s="187"/>
      <c r="EB144" s="187"/>
      <c r="EC144" s="187"/>
      <c r="ED144" s="187"/>
      <c r="EE144" s="187"/>
      <c r="EF144" s="187"/>
      <c r="EG144" s="187"/>
      <c r="EH144" s="187"/>
      <c r="EI144" s="187"/>
      <c r="EJ144" s="187"/>
      <c r="EK144" s="187"/>
      <c r="EL144" s="187"/>
      <c r="EM144" s="187"/>
      <c r="EN144" s="187"/>
      <c r="EO144" s="187"/>
      <c r="EP144" s="187"/>
      <c r="EQ144" s="187"/>
      <c r="ER144" s="187"/>
      <c r="ES144" s="187"/>
      <c r="ET144" s="187"/>
      <c r="EU144" s="187"/>
      <c r="EV144" s="187"/>
      <c r="EW144" s="187"/>
      <c r="EX144" s="187"/>
      <c r="EY144" s="187"/>
      <c r="EZ144" s="187"/>
      <c r="FA144" s="187"/>
      <c r="FB144" s="187"/>
      <c r="FC144" s="187"/>
    </row>
    <row r="145" spans="1:159" ht="15" x14ac:dyDescent="0.25">
      <c r="A145" s="187" t="s">
        <v>346</v>
      </c>
      <c r="B145" s="187" t="s">
        <v>347</v>
      </c>
      <c r="C145" s="187">
        <v>3737</v>
      </c>
      <c r="D145" s="187">
        <v>0</v>
      </c>
      <c r="E145" s="187">
        <v>572</v>
      </c>
      <c r="F145" s="187">
        <v>707</v>
      </c>
      <c r="G145" s="187">
        <v>294</v>
      </c>
      <c r="H145" s="187">
        <v>5310</v>
      </c>
      <c r="I145" s="187">
        <v>5016</v>
      </c>
      <c r="J145" s="187">
        <v>90</v>
      </c>
      <c r="K145" s="187">
        <v>94.93</v>
      </c>
      <c r="L145" s="187">
        <v>93.91</v>
      </c>
      <c r="M145" s="187">
        <v>7.77</v>
      </c>
      <c r="N145" s="187">
        <v>100.99</v>
      </c>
      <c r="O145" s="187">
        <v>2991</v>
      </c>
      <c r="P145" s="187">
        <v>86.51</v>
      </c>
      <c r="Q145" s="187">
        <v>77.94</v>
      </c>
      <c r="R145" s="187">
        <v>73.75</v>
      </c>
      <c r="S145" s="187">
        <v>158.97999999999999</v>
      </c>
      <c r="T145" s="187">
        <v>1034</v>
      </c>
      <c r="U145" s="187">
        <v>112.72</v>
      </c>
      <c r="V145" s="187">
        <v>556</v>
      </c>
      <c r="W145" s="187">
        <v>0</v>
      </c>
      <c r="X145" s="187">
        <v>0</v>
      </c>
      <c r="Y145" s="187">
        <v>0</v>
      </c>
      <c r="Z145" s="187">
        <v>1</v>
      </c>
      <c r="AA145" s="187">
        <v>34</v>
      </c>
      <c r="AB145" s="187">
        <v>2</v>
      </c>
      <c r="AC145" s="187">
        <v>6</v>
      </c>
      <c r="AD145" s="187">
        <v>3608</v>
      </c>
      <c r="AE145" s="187">
        <v>16</v>
      </c>
      <c r="AF145" s="187">
        <v>45</v>
      </c>
      <c r="AG145" s="187">
        <v>61</v>
      </c>
      <c r="AH145" s="187"/>
      <c r="AI145" s="187"/>
      <c r="AJ145" s="187"/>
      <c r="AK145" s="187"/>
      <c r="AL145" s="187"/>
      <c r="AM145" s="187"/>
      <c r="AN145" s="187"/>
      <c r="AO145" s="187"/>
      <c r="AP145" s="187"/>
      <c r="AQ145" s="187"/>
      <c r="AR145" s="187"/>
      <c r="AS145" s="187"/>
      <c r="AT145" s="187"/>
      <c r="AU145" s="187"/>
      <c r="AV145" s="187"/>
      <c r="AW145" s="187"/>
      <c r="AX145" s="187"/>
      <c r="AY145" s="187"/>
      <c r="AZ145" s="187"/>
      <c r="BA145" s="187"/>
      <c r="BB145" s="187"/>
      <c r="BC145" s="187"/>
      <c r="BD145" s="187"/>
      <c r="BE145" s="187"/>
      <c r="BF145" s="187"/>
      <c r="BG145" s="187"/>
      <c r="BH145" s="187"/>
      <c r="BI145" s="187"/>
      <c r="BJ145" s="187"/>
      <c r="BK145" s="187"/>
      <c r="BL145" s="187"/>
      <c r="BM145" s="187"/>
      <c r="BN145" s="187"/>
      <c r="BO145" s="187"/>
      <c r="BP145" s="187"/>
      <c r="BQ145" s="187"/>
      <c r="BR145" s="187"/>
      <c r="BS145" s="187"/>
      <c r="BT145" s="187"/>
      <c r="BU145" s="187"/>
      <c r="BV145" s="187"/>
      <c r="BW145" s="187"/>
      <c r="BX145" s="187"/>
      <c r="BY145" s="187"/>
      <c r="BZ145" s="187"/>
      <c r="CA145" s="187"/>
      <c r="CB145" s="187"/>
      <c r="CC145" s="187"/>
      <c r="CD145" s="187"/>
      <c r="CE145" s="187"/>
      <c r="CF145" s="187"/>
      <c r="CG145" s="187"/>
      <c r="CH145" s="187"/>
      <c r="CI145" s="187"/>
      <c r="CJ145" s="187"/>
      <c r="CK145" s="187"/>
      <c r="CL145" s="187"/>
      <c r="CM145" s="187"/>
      <c r="CN145" s="187"/>
      <c r="CO145" s="187"/>
      <c r="CP145" s="187"/>
      <c r="CQ145" s="187"/>
      <c r="CR145" s="187"/>
      <c r="CS145" s="187"/>
      <c r="CT145" s="187"/>
      <c r="CU145" s="187"/>
      <c r="CV145" s="187"/>
      <c r="CW145" s="187"/>
      <c r="CX145" s="187"/>
      <c r="CY145" s="187"/>
      <c r="CZ145" s="187"/>
      <c r="DA145" s="187"/>
      <c r="DB145" s="187"/>
      <c r="DC145" s="187"/>
      <c r="DD145" s="187"/>
      <c r="DE145" s="187"/>
      <c r="DF145" s="187"/>
      <c r="DG145" s="187"/>
      <c r="DH145" s="187"/>
      <c r="DI145" s="187"/>
      <c r="DJ145" s="187"/>
      <c r="DK145" s="187"/>
      <c r="DL145" s="187"/>
      <c r="DM145" s="187"/>
      <c r="DN145" s="187"/>
      <c r="DO145" s="187"/>
      <c r="DP145" s="187"/>
      <c r="DQ145" s="187"/>
      <c r="DR145" s="187"/>
      <c r="DS145" s="187"/>
      <c r="DT145" s="187"/>
      <c r="DU145" s="187"/>
      <c r="DV145" s="187"/>
      <c r="DW145" s="187"/>
      <c r="DX145" s="187"/>
      <c r="DY145" s="187"/>
      <c r="DZ145" s="187"/>
      <c r="EA145" s="187"/>
      <c r="EB145" s="187"/>
      <c r="EC145" s="187"/>
      <c r="ED145" s="187"/>
      <c r="EE145" s="187"/>
      <c r="EF145" s="187"/>
      <c r="EG145" s="187"/>
      <c r="EH145" s="187"/>
      <c r="EI145" s="187"/>
      <c r="EJ145" s="187"/>
      <c r="EK145" s="187"/>
      <c r="EL145" s="187"/>
      <c r="EM145" s="187"/>
      <c r="EN145" s="187"/>
      <c r="EO145" s="187"/>
      <c r="EP145" s="187"/>
      <c r="EQ145" s="187"/>
      <c r="ER145" s="187"/>
      <c r="ES145" s="187"/>
      <c r="ET145" s="187"/>
      <c r="EU145" s="187"/>
      <c r="EV145" s="187"/>
      <c r="EW145" s="187"/>
      <c r="EX145" s="187"/>
      <c r="EY145" s="187"/>
      <c r="EZ145" s="187"/>
      <c r="FA145" s="187"/>
      <c r="FB145" s="187"/>
      <c r="FC145" s="187"/>
    </row>
    <row r="146" spans="1:159" ht="15" x14ac:dyDescent="0.25">
      <c r="A146" s="187" t="s">
        <v>348</v>
      </c>
      <c r="B146" s="187" t="s">
        <v>349</v>
      </c>
      <c r="C146" s="187">
        <v>6302</v>
      </c>
      <c r="D146" s="187">
        <v>0</v>
      </c>
      <c r="E146" s="187">
        <v>518</v>
      </c>
      <c r="F146" s="187">
        <v>637</v>
      </c>
      <c r="G146" s="187">
        <v>356</v>
      </c>
      <c r="H146" s="187">
        <v>7813</v>
      </c>
      <c r="I146" s="187">
        <v>7457</v>
      </c>
      <c r="J146" s="187">
        <v>86</v>
      </c>
      <c r="K146" s="187">
        <v>94.78</v>
      </c>
      <c r="L146" s="187">
        <v>94.3</v>
      </c>
      <c r="M146" s="187">
        <v>6.79</v>
      </c>
      <c r="N146" s="187">
        <v>98.84</v>
      </c>
      <c r="O146" s="187">
        <v>5442</v>
      </c>
      <c r="P146" s="187">
        <v>88.84</v>
      </c>
      <c r="Q146" s="187">
        <v>81.209999999999994</v>
      </c>
      <c r="R146" s="187">
        <v>52.1</v>
      </c>
      <c r="S146" s="187">
        <v>137.94</v>
      </c>
      <c r="T146" s="187">
        <v>1078</v>
      </c>
      <c r="U146" s="187">
        <v>131.19999999999999</v>
      </c>
      <c r="V146" s="187">
        <v>328</v>
      </c>
      <c r="W146" s="187">
        <v>96.56</v>
      </c>
      <c r="X146" s="187">
        <v>12</v>
      </c>
      <c r="Y146" s="187">
        <v>0</v>
      </c>
      <c r="Z146" s="187">
        <v>1</v>
      </c>
      <c r="AA146" s="187">
        <v>0</v>
      </c>
      <c r="AB146" s="187">
        <v>17</v>
      </c>
      <c r="AC146" s="187">
        <v>6</v>
      </c>
      <c r="AD146" s="187">
        <v>5825</v>
      </c>
      <c r="AE146" s="187">
        <v>8</v>
      </c>
      <c r="AF146" s="187">
        <v>36</v>
      </c>
      <c r="AG146" s="187">
        <v>44</v>
      </c>
      <c r="AH146" s="187"/>
      <c r="AI146" s="187"/>
      <c r="AJ146" s="187"/>
      <c r="AK146" s="187"/>
      <c r="AL146" s="187"/>
      <c r="AM146" s="187"/>
      <c r="AN146" s="187"/>
      <c r="AO146" s="187"/>
      <c r="AP146" s="187"/>
      <c r="AQ146" s="187"/>
      <c r="AR146" s="187"/>
      <c r="AS146" s="187"/>
      <c r="AT146" s="187"/>
      <c r="AU146" s="187"/>
      <c r="AV146" s="187"/>
      <c r="AW146" s="187"/>
      <c r="AX146" s="187"/>
      <c r="AY146" s="187"/>
      <c r="AZ146" s="187"/>
      <c r="BA146" s="187"/>
      <c r="BB146" s="187"/>
      <c r="BC146" s="187"/>
      <c r="BD146" s="187"/>
      <c r="BE146" s="187"/>
      <c r="BF146" s="187"/>
      <c r="BG146" s="187"/>
      <c r="BH146" s="187"/>
      <c r="BI146" s="187"/>
      <c r="BJ146" s="187"/>
      <c r="BK146" s="187"/>
      <c r="BL146" s="187"/>
      <c r="BM146" s="187"/>
      <c r="BN146" s="187"/>
      <c r="BO146" s="187"/>
      <c r="BP146" s="187"/>
      <c r="BQ146" s="187"/>
      <c r="BR146" s="187"/>
      <c r="BS146" s="187"/>
      <c r="BT146" s="187"/>
      <c r="BU146" s="187"/>
      <c r="BV146" s="187"/>
      <c r="BW146" s="187"/>
      <c r="BX146" s="187"/>
      <c r="BY146" s="187"/>
      <c r="BZ146" s="187"/>
      <c r="CA146" s="187"/>
      <c r="CB146" s="187"/>
      <c r="CC146" s="187"/>
      <c r="CD146" s="187"/>
      <c r="CE146" s="187"/>
      <c r="CF146" s="187"/>
      <c r="CG146" s="187"/>
      <c r="CH146" s="187"/>
      <c r="CI146" s="187"/>
      <c r="CJ146" s="187"/>
      <c r="CK146" s="187"/>
      <c r="CL146" s="187"/>
      <c r="CM146" s="187"/>
      <c r="CN146" s="187"/>
      <c r="CO146" s="187"/>
      <c r="CP146" s="187"/>
      <c r="CQ146" s="187"/>
      <c r="CR146" s="187"/>
      <c r="CS146" s="187"/>
      <c r="CT146" s="187"/>
      <c r="CU146" s="187"/>
      <c r="CV146" s="187"/>
      <c r="CW146" s="187"/>
      <c r="CX146" s="187"/>
      <c r="CY146" s="187"/>
      <c r="CZ146" s="187"/>
      <c r="DA146" s="187"/>
      <c r="DB146" s="187"/>
      <c r="DC146" s="187"/>
      <c r="DD146" s="187"/>
      <c r="DE146" s="187"/>
      <c r="DF146" s="187"/>
      <c r="DG146" s="187"/>
      <c r="DH146" s="187"/>
      <c r="DI146" s="187"/>
      <c r="DJ146" s="187"/>
      <c r="DK146" s="187"/>
      <c r="DL146" s="187"/>
      <c r="DM146" s="187"/>
      <c r="DN146" s="187"/>
      <c r="DO146" s="187"/>
      <c r="DP146" s="187"/>
      <c r="DQ146" s="187"/>
      <c r="DR146" s="187"/>
      <c r="DS146" s="187"/>
      <c r="DT146" s="187"/>
      <c r="DU146" s="187"/>
      <c r="DV146" s="187"/>
      <c r="DW146" s="187"/>
      <c r="DX146" s="187"/>
      <c r="DY146" s="187"/>
      <c r="DZ146" s="187"/>
      <c r="EA146" s="187"/>
      <c r="EB146" s="187"/>
      <c r="EC146" s="187"/>
      <c r="ED146" s="187"/>
      <c r="EE146" s="187"/>
      <c r="EF146" s="187"/>
      <c r="EG146" s="187"/>
      <c r="EH146" s="187"/>
      <c r="EI146" s="187"/>
      <c r="EJ146" s="187"/>
      <c r="EK146" s="187"/>
      <c r="EL146" s="187"/>
      <c r="EM146" s="187"/>
      <c r="EN146" s="187"/>
      <c r="EO146" s="187"/>
      <c r="EP146" s="187"/>
      <c r="EQ146" s="187"/>
      <c r="ER146" s="187"/>
      <c r="ES146" s="187"/>
      <c r="ET146" s="187"/>
      <c r="EU146" s="187"/>
      <c r="EV146" s="187"/>
      <c r="EW146" s="187"/>
      <c r="EX146" s="187"/>
      <c r="EY146" s="187"/>
      <c r="EZ146" s="187"/>
      <c r="FA146" s="187"/>
      <c r="FB146" s="187"/>
      <c r="FC146" s="187"/>
    </row>
    <row r="147" spans="1:159" ht="15" x14ac:dyDescent="0.25">
      <c r="A147" s="187" t="s">
        <v>350</v>
      </c>
      <c r="B147" s="187" t="s">
        <v>351</v>
      </c>
      <c r="C147" s="187">
        <v>54</v>
      </c>
      <c r="D147" s="187">
        <v>0</v>
      </c>
      <c r="E147" s="187">
        <v>0</v>
      </c>
      <c r="F147" s="187">
        <v>7</v>
      </c>
      <c r="G147" s="187">
        <v>6</v>
      </c>
      <c r="H147" s="187">
        <v>67</v>
      </c>
      <c r="I147" s="187">
        <v>61</v>
      </c>
      <c r="J147" s="187">
        <v>0</v>
      </c>
      <c r="K147" s="187">
        <v>104.86</v>
      </c>
      <c r="L147" s="187">
        <v>110.85</v>
      </c>
      <c r="M147" s="187">
        <v>3.25</v>
      </c>
      <c r="N147" s="187">
        <v>106.19</v>
      </c>
      <c r="O147" s="187">
        <v>27</v>
      </c>
      <c r="P147" s="187">
        <v>102.48</v>
      </c>
      <c r="Q147" s="187">
        <v>93.16</v>
      </c>
      <c r="R147" s="187">
        <v>29.73</v>
      </c>
      <c r="S147" s="187">
        <v>132.21</v>
      </c>
      <c r="T147" s="187">
        <v>7</v>
      </c>
      <c r="U147" s="187">
        <v>123.63</v>
      </c>
      <c r="V147" s="187">
        <v>2</v>
      </c>
      <c r="W147" s="187">
        <v>0</v>
      </c>
      <c r="X147" s="187">
        <v>0</v>
      </c>
      <c r="Y147" s="187">
        <v>0</v>
      </c>
      <c r="Z147" s="187">
        <v>0</v>
      </c>
      <c r="AA147" s="187">
        <v>0</v>
      </c>
      <c r="AB147" s="187">
        <v>0</v>
      </c>
      <c r="AC147" s="187">
        <v>0</v>
      </c>
      <c r="AD147" s="187">
        <v>27</v>
      </c>
      <c r="AE147" s="187">
        <v>0</v>
      </c>
      <c r="AF147" s="187">
        <v>0</v>
      </c>
      <c r="AG147" s="187">
        <v>0</v>
      </c>
      <c r="AH147" s="187"/>
      <c r="AI147" s="187"/>
      <c r="AJ147" s="187"/>
      <c r="AK147" s="187"/>
      <c r="AL147" s="187"/>
      <c r="AM147" s="187"/>
      <c r="AN147" s="187"/>
      <c r="AO147" s="187"/>
      <c r="AP147" s="187"/>
      <c r="AQ147" s="187"/>
      <c r="AR147" s="187"/>
      <c r="AS147" s="187"/>
      <c r="AT147" s="187"/>
      <c r="AU147" s="187"/>
      <c r="AV147" s="187"/>
      <c r="AW147" s="187"/>
      <c r="AX147" s="187"/>
      <c r="AY147" s="187"/>
      <c r="AZ147" s="187"/>
      <c r="BA147" s="187"/>
      <c r="BB147" s="187"/>
      <c r="BC147" s="187"/>
      <c r="BD147" s="187"/>
      <c r="BE147" s="187"/>
      <c r="BF147" s="187"/>
      <c r="BG147" s="187"/>
      <c r="BH147" s="187"/>
      <c r="BI147" s="187"/>
      <c r="BJ147" s="187"/>
      <c r="BK147" s="187"/>
      <c r="BL147" s="187"/>
      <c r="BM147" s="187"/>
      <c r="BN147" s="187"/>
      <c r="BO147" s="187"/>
      <c r="BP147" s="187"/>
      <c r="BQ147" s="187"/>
      <c r="BR147" s="187"/>
      <c r="BS147" s="187"/>
      <c r="BT147" s="187"/>
      <c r="BU147" s="187"/>
      <c r="BV147" s="187"/>
      <c r="BW147" s="187"/>
      <c r="BX147" s="187"/>
      <c r="BY147" s="187"/>
      <c r="BZ147" s="187"/>
      <c r="CA147" s="187"/>
      <c r="CB147" s="187"/>
      <c r="CC147" s="187"/>
      <c r="CD147" s="187"/>
      <c r="CE147" s="187"/>
      <c r="CF147" s="187"/>
      <c r="CG147" s="187"/>
      <c r="CH147" s="187"/>
      <c r="CI147" s="187"/>
      <c r="CJ147" s="187"/>
      <c r="CK147" s="187"/>
      <c r="CL147" s="187"/>
      <c r="CM147" s="187"/>
      <c r="CN147" s="187"/>
      <c r="CO147" s="187"/>
      <c r="CP147" s="187"/>
      <c r="CQ147" s="187"/>
      <c r="CR147" s="187"/>
      <c r="CS147" s="187"/>
      <c r="CT147" s="187"/>
      <c r="CU147" s="187"/>
      <c r="CV147" s="187"/>
      <c r="CW147" s="187"/>
      <c r="CX147" s="187"/>
      <c r="CY147" s="187"/>
      <c r="CZ147" s="187"/>
      <c r="DA147" s="187"/>
      <c r="DB147" s="187"/>
      <c r="DC147" s="187"/>
      <c r="DD147" s="187"/>
      <c r="DE147" s="187"/>
      <c r="DF147" s="187"/>
      <c r="DG147" s="187"/>
      <c r="DH147" s="187"/>
      <c r="DI147" s="187"/>
      <c r="DJ147" s="187"/>
      <c r="DK147" s="187"/>
      <c r="DL147" s="187"/>
      <c r="DM147" s="187"/>
      <c r="DN147" s="187"/>
      <c r="DO147" s="187"/>
      <c r="DP147" s="187"/>
      <c r="DQ147" s="187"/>
      <c r="DR147" s="187"/>
      <c r="DS147" s="187"/>
      <c r="DT147" s="187"/>
      <c r="DU147" s="187"/>
      <c r="DV147" s="187"/>
      <c r="DW147" s="187"/>
      <c r="DX147" s="187"/>
      <c r="DY147" s="187"/>
      <c r="DZ147" s="187"/>
      <c r="EA147" s="187"/>
      <c r="EB147" s="187"/>
      <c r="EC147" s="187"/>
      <c r="ED147" s="187"/>
      <c r="EE147" s="187"/>
      <c r="EF147" s="187"/>
      <c r="EG147" s="187"/>
      <c r="EH147" s="187"/>
      <c r="EI147" s="187"/>
      <c r="EJ147" s="187"/>
      <c r="EK147" s="187"/>
      <c r="EL147" s="187"/>
      <c r="EM147" s="187"/>
      <c r="EN147" s="187"/>
      <c r="EO147" s="187"/>
      <c r="EP147" s="187"/>
      <c r="EQ147" s="187"/>
      <c r="ER147" s="187"/>
      <c r="ES147" s="187"/>
      <c r="ET147" s="187"/>
      <c r="EU147" s="187"/>
      <c r="EV147" s="187"/>
      <c r="EW147" s="187"/>
      <c r="EX147" s="187"/>
      <c r="EY147" s="187"/>
      <c r="EZ147" s="187"/>
      <c r="FA147" s="187"/>
      <c r="FB147" s="187"/>
      <c r="FC147" s="187"/>
    </row>
    <row r="148" spans="1:159" ht="15" x14ac:dyDescent="0.25">
      <c r="A148" s="187" t="s">
        <v>352</v>
      </c>
      <c r="B148" s="187" t="s">
        <v>353</v>
      </c>
      <c r="C148" s="187">
        <v>14023</v>
      </c>
      <c r="D148" s="187">
        <v>301</v>
      </c>
      <c r="E148" s="187">
        <v>1425</v>
      </c>
      <c r="F148" s="187">
        <v>772</v>
      </c>
      <c r="G148" s="187">
        <v>1402</v>
      </c>
      <c r="H148" s="187">
        <v>17923</v>
      </c>
      <c r="I148" s="187">
        <v>16521</v>
      </c>
      <c r="J148" s="187">
        <v>161</v>
      </c>
      <c r="K148" s="187">
        <v>136.13</v>
      </c>
      <c r="L148" s="187">
        <v>144.43</v>
      </c>
      <c r="M148" s="187">
        <v>13.14</v>
      </c>
      <c r="N148" s="187">
        <v>146.85</v>
      </c>
      <c r="O148" s="187">
        <v>12126</v>
      </c>
      <c r="P148" s="187">
        <v>123.92</v>
      </c>
      <c r="Q148" s="187">
        <v>120.54</v>
      </c>
      <c r="R148" s="187">
        <v>76.819999999999993</v>
      </c>
      <c r="S148" s="187">
        <v>197.72</v>
      </c>
      <c r="T148" s="187">
        <v>1753</v>
      </c>
      <c r="U148" s="187">
        <v>199.88</v>
      </c>
      <c r="V148" s="187">
        <v>580</v>
      </c>
      <c r="W148" s="187">
        <v>205.41</v>
      </c>
      <c r="X148" s="187">
        <v>13</v>
      </c>
      <c r="Y148" s="187">
        <v>174</v>
      </c>
      <c r="Z148" s="187">
        <v>1</v>
      </c>
      <c r="AA148" s="187">
        <v>14</v>
      </c>
      <c r="AB148" s="187">
        <v>0</v>
      </c>
      <c r="AC148" s="187">
        <v>44</v>
      </c>
      <c r="AD148" s="187">
        <v>12988</v>
      </c>
      <c r="AE148" s="187">
        <v>87</v>
      </c>
      <c r="AF148" s="187">
        <v>119</v>
      </c>
      <c r="AG148" s="187">
        <v>206</v>
      </c>
      <c r="AH148" s="187"/>
      <c r="AI148" s="187"/>
      <c r="AJ148" s="187"/>
      <c r="AK148" s="187"/>
      <c r="AL148" s="187"/>
      <c r="AM148" s="187"/>
      <c r="AN148" s="187"/>
      <c r="AO148" s="187"/>
      <c r="AP148" s="187"/>
      <c r="AQ148" s="187"/>
      <c r="AR148" s="187"/>
      <c r="AS148" s="187"/>
      <c r="AT148" s="187"/>
      <c r="AU148" s="187"/>
      <c r="AV148" s="187"/>
      <c r="AW148" s="187"/>
      <c r="AX148" s="187"/>
      <c r="AY148" s="187"/>
      <c r="AZ148" s="187"/>
      <c r="BA148" s="187"/>
      <c r="BB148" s="187"/>
      <c r="BC148" s="187"/>
      <c r="BD148" s="187"/>
      <c r="BE148" s="187"/>
      <c r="BF148" s="187"/>
      <c r="BG148" s="187"/>
      <c r="BH148" s="187"/>
      <c r="BI148" s="187"/>
      <c r="BJ148" s="187"/>
      <c r="BK148" s="187"/>
      <c r="BL148" s="187"/>
      <c r="BM148" s="187"/>
      <c r="BN148" s="187"/>
      <c r="BO148" s="187"/>
      <c r="BP148" s="187"/>
      <c r="BQ148" s="187"/>
      <c r="BR148" s="187"/>
      <c r="BS148" s="187"/>
      <c r="BT148" s="187"/>
      <c r="BU148" s="187"/>
      <c r="BV148" s="187"/>
      <c r="BW148" s="187"/>
      <c r="BX148" s="187"/>
      <c r="BY148" s="187"/>
      <c r="BZ148" s="187"/>
      <c r="CA148" s="187"/>
      <c r="CB148" s="187"/>
      <c r="CC148" s="187"/>
      <c r="CD148" s="187"/>
      <c r="CE148" s="187"/>
      <c r="CF148" s="187"/>
      <c r="CG148" s="187"/>
      <c r="CH148" s="187"/>
      <c r="CI148" s="187"/>
      <c r="CJ148" s="187"/>
      <c r="CK148" s="187"/>
      <c r="CL148" s="187"/>
      <c r="CM148" s="187"/>
      <c r="CN148" s="187"/>
      <c r="CO148" s="187"/>
      <c r="CP148" s="187"/>
      <c r="CQ148" s="187"/>
      <c r="CR148" s="187"/>
      <c r="CS148" s="187"/>
      <c r="CT148" s="187"/>
      <c r="CU148" s="187"/>
      <c r="CV148" s="187"/>
      <c r="CW148" s="187"/>
      <c r="CX148" s="187"/>
      <c r="CY148" s="187"/>
      <c r="CZ148" s="187"/>
      <c r="DA148" s="187"/>
      <c r="DB148" s="187"/>
      <c r="DC148" s="187"/>
      <c r="DD148" s="187"/>
      <c r="DE148" s="187"/>
      <c r="DF148" s="187"/>
      <c r="DG148" s="187"/>
      <c r="DH148" s="187"/>
      <c r="DI148" s="187"/>
      <c r="DJ148" s="187"/>
      <c r="DK148" s="187"/>
      <c r="DL148" s="187"/>
      <c r="DM148" s="187"/>
      <c r="DN148" s="187"/>
      <c r="DO148" s="187"/>
      <c r="DP148" s="187"/>
      <c r="DQ148" s="187"/>
      <c r="DR148" s="187"/>
      <c r="DS148" s="187"/>
      <c r="DT148" s="187"/>
      <c r="DU148" s="187"/>
      <c r="DV148" s="187"/>
      <c r="DW148" s="187"/>
      <c r="DX148" s="187"/>
      <c r="DY148" s="187"/>
      <c r="DZ148" s="187"/>
      <c r="EA148" s="187"/>
      <c r="EB148" s="187"/>
      <c r="EC148" s="187"/>
      <c r="ED148" s="187"/>
      <c r="EE148" s="187"/>
      <c r="EF148" s="187"/>
      <c r="EG148" s="187"/>
      <c r="EH148" s="187"/>
      <c r="EI148" s="187"/>
      <c r="EJ148" s="187"/>
      <c r="EK148" s="187"/>
      <c r="EL148" s="187"/>
      <c r="EM148" s="187"/>
      <c r="EN148" s="187"/>
      <c r="EO148" s="187"/>
      <c r="EP148" s="187"/>
      <c r="EQ148" s="187"/>
      <c r="ER148" s="187"/>
      <c r="ES148" s="187"/>
      <c r="ET148" s="187"/>
      <c r="EU148" s="187"/>
      <c r="EV148" s="187"/>
      <c r="EW148" s="187"/>
      <c r="EX148" s="187"/>
      <c r="EY148" s="187"/>
      <c r="EZ148" s="187"/>
      <c r="FA148" s="187"/>
      <c r="FB148" s="187"/>
      <c r="FC148" s="187"/>
    </row>
    <row r="149" spans="1:159" ht="15" x14ac:dyDescent="0.25">
      <c r="A149" s="187" t="s">
        <v>354</v>
      </c>
      <c r="B149" s="187" t="s">
        <v>355</v>
      </c>
      <c r="C149" s="187">
        <v>10556</v>
      </c>
      <c r="D149" s="187">
        <v>220</v>
      </c>
      <c r="E149" s="187">
        <v>1028</v>
      </c>
      <c r="F149" s="187">
        <v>930</v>
      </c>
      <c r="G149" s="187">
        <v>539</v>
      </c>
      <c r="H149" s="187">
        <v>13273</v>
      </c>
      <c r="I149" s="187">
        <v>12734</v>
      </c>
      <c r="J149" s="187">
        <v>126</v>
      </c>
      <c r="K149" s="187">
        <v>136.84</v>
      </c>
      <c r="L149" s="187">
        <v>158.88</v>
      </c>
      <c r="M149" s="187">
        <v>11.54</v>
      </c>
      <c r="N149" s="187">
        <v>145.44999999999999</v>
      </c>
      <c r="O149" s="187">
        <v>9182</v>
      </c>
      <c r="P149" s="187">
        <v>131.59</v>
      </c>
      <c r="Q149" s="187">
        <v>133.27000000000001</v>
      </c>
      <c r="R149" s="187">
        <v>63.48</v>
      </c>
      <c r="S149" s="187">
        <v>188.33</v>
      </c>
      <c r="T149" s="187">
        <v>1536</v>
      </c>
      <c r="U149" s="187">
        <v>222.7</v>
      </c>
      <c r="V149" s="187">
        <v>631</v>
      </c>
      <c r="W149" s="187">
        <v>197</v>
      </c>
      <c r="X149" s="187">
        <v>31</v>
      </c>
      <c r="Y149" s="187">
        <v>0</v>
      </c>
      <c r="Z149" s="187">
        <v>0</v>
      </c>
      <c r="AA149" s="187">
        <v>19</v>
      </c>
      <c r="AB149" s="187">
        <v>0</v>
      </c>
      <c r="AC149" s="187">
        <v>8</v>
      </c>
      <c r="AD149" s="187">
        <v>9749</v>
      </c>
      <c r="AE149" s="187">
        <v>47</v>
      </c>
      <c r="AF149" s="187">
        <v>66</v>
      </c>
      <c r="AG149" s="187">
        <v>113</v>
      </c>
      <c r="AH149" s="187"/>
      <c r="AI149" s="187"/>
      <c r="AJ149" s="187"/>
      <c r="AK149" s="187"/>
      <c r="AL149" s="187"/>
      <c r="AM149" s="187"/>
      <c r="AN149" s="187"/>
      <c r="AO149" s="187"/>
      <c r="AP149" s="187"/>
      <c r="AQ149" s="187"/>
      <c r="AR149" s="187"/>
      <c r="AS149" s="187"/>
      <c r="AT149" s="187"/>
      <c r="AU149" s="187"/>
      <c r="AV149" s="187"/>
      <c r="AW149" s="187"/>
      <c r="AX149" s="187"/>
      <c r="AY149" s="187"/>
      <c r="AZ149" s="187"/>
      <c r="BA149" s="187"/>
      <c r="BB149" s="187"/>
      <c r="BC149" s="187"/>
      <c r="BD149" s="187"/>
      <c r="BE149" s="187"/>
      <c r="BF149" s="187"/>
      <c r="BG149" s="187"/>
      <c r="BH149" s="187"/>
      <c r="BI149" s="187"/>
      <c r="BJ149" s="187"/>
      <c r="BK149" s="187"/>
      <c r="BL149" s="187"/>
      <c r="BM149" s="187"/>
      <c r="BN149" s="187"/>
      <c r="BO149" s="187"/>
      <c r="BP149" s="187"/>
      <c r="BQ149" s="187"/>
      <c r="BR149" s="187"/>
      <c r="BS149" s="187"/>
      <c r="BT149" s="187"/>
      <c r="BU149" s="187"/>
      <c r="BV149" s="187"/>
      <c r="BW149" s="187"/>
      <c r="BX149" s="187"/>
      <c r="BY149" s="187"/>
      <c r="BZ149" s="187"/>
      <c r="CA149" s="187"/>
      <c r="CB149" s="187"/>
      <c r="CC149" s="187"/>
      <c r="CD149" s="187"/>
      <c r="CE149" s="187"/>
      <c r="CF149" s="187"/>
      <c r="CG149" s="187"/>
      <c r="CH149" s="187"/>
      <c r="CI149" s="187"/>
      <c r="CJ149" s="187"/>
      <c r="CK149" s="187"/>
      <c r="CL149" s="187"/>
      <c r="CM149" s="187"/>
      <c r="CN149" s="187"/>
      <c r="CO149" s="187"/>
      <c r="CP149" s="187"/>
      <c r="CQ149" s="187"/>
      <c r="CR149" s="187"/>
      <c r="CS149" s="187"/>
      <c r="CT149" s="187"/>
      <c r="CU149" s="187"/>
      <c r="CV149" s="187"/>
      <c r="CW149" s="187"/>
      <c r="CX149" s="187"/>
      <c r="CY149" s="187"/>
      <c r="CZ149" s="187"/>
      <c r="DA149" s="187"/>
      <c r="DB149" s="187"/>
      <c r="DC149" s="187"/>
      <c r="DD149" s="187"/>
      <c r="DE149" s="187"/>
      <c r="DF149" s="187"/>
      <c r="DG149" s="187"/>
      <c r="DH149" s="187"/>
      <c r="DI149" s="187"/>
      <c r="DJ149" s="187"/>
      <c r="DK149" s="187"/>
      <c r="DL149" s="187"/>
      <c r="DM149" s="187"/>
      <c r="DN149" s="187"/>
      <c r="DO149" s="187"/>
      <c r="DP149" s="187"/>
      <c r="DQ149" s="187"/>
      <c r="DR149" s="187"/>
      <c r="DS149" s="187"/>
      <c r="DT149" s="187"/>
      <c r="DU149" s="187"/>
      <c r="DV149" s="187"/>
      <c r="DW149" s="187"/>
      <c r="DX149" s="187"/>
      <c r="DY149" s="187"/>
      <c r="DZ149" s="187"/>
      <c r="EA149" s="187"/>
      <c r="EB149" s="187"/>
      <c r="EC149" s="187"/>
      <c r="ED149" s="187"/>
      <c r="EE149" s="187"/>
      <c r="EF149" s="187"/>
      <c r="EG149" s="187"/>
      <c r="EH149" s="187"/>
      <c r="EI149" s="187"/>
      <c r="EJ149" s="187"/>
      <c r="EK149" s="187"/>
      <c r="EL149" s="187"/>
      <c r="EM149" s="187"/>
      <c r="EN149" s="187"/>
      <c r="EO149" s="187"/>
      <c r="EP149" s="187"/>
      <c r="EQ149" s="187"/>
      <c r="ER149" s="187"/>
      <c r="ES149" s="187"/>
      <c r="ET149" s="187"/>
      <c r="EU149" s="187"/>
      <c r="EV149" s="187"/>
      <c r="EW149" s="187"/>
      <c r="EX149" s="187"/>
      <c r="EY149" s="187"/>
      <c r="EZ149" s="187"/>
      <c r="FA149" s="187"/>
      <c r="FB149" s="187"/>
      <c r="FC149" s="187"/>
    </row>
    <row r="150" spans="1:159" ht="15" x14ac:dyDescent="0.25">
      <c r="A150" s="187" t="s">
        <v>356</v>
      </c>
      <c r="B150" s="187" t="s">
        <v>357</v>
      </c>
      <c r="C150" s="187">
        <v>8566</v>
      </c>
      <c r="D150" s="187">
        <v>22</v>
      </c>
      <c r="E150" s="187">
        <v>287</v>
      </c>
      <c r="F150" s="187">
        <v>912</v>
      </c>
      <c r="G150" s="187">
        <v>235</v>
      </c>
      <c r="H150" s="187">
        <v>10022</v>
      </c>
      <c r="I150" s="187">
        <v>9787</v>
      </c>
      <c r="J150" s="187">
        <v>268</v>
      </c>
      <c r="K150" s="187">
        <v>89.22</v>
      </c>
      <c r="L150" s="187">
        <v>86.03</v>
      </c>
      <c r="M150" s="187">
        <v>5.97</v>
      </c>
      <c r="N150" s="187">
        <v>91.36</v>
      </c>
      <c r="O150" s="187">
        <v>7693</v>
      </c>
      <c r="P150" s="187">
        <v>95.43</v>
      </c>
      <c r="Q150" s="187">
        <v>81.16</v>
      </c>
      <c r="R150" s="187">
        <v>26.85</v>
      </c>
      <c r="S150" s="187">
        <v>120.8</v>
      </c>
      <c r="T150" s="187">
        <v>1126</v>
      </c>
      <c r="U150" s="187">
        <v>115.54</v>
      </c>
      <c r="V150" s="187">
        <v>772</v>
      </c>
      <c r="W150" s="187">
        <v>101.28</v>
      </c>
      <c r="X150" s="187">
        <v>17</v>
      </c>
      <c r="Y150" s="187">
        <v>30</v>
      </c>
      <c r="Z150" s="187">
        <v>33</v>
      </c>
      <c r="AA150" s="187">
        <v>14</v>
      </c>
      <c r="AB150" s="187">
        <v>16</v>
      </c>
      <c r="AC150" s="187">
        <v>9</v>
      </c>
      <c r="AD150" s="187">
        <v>8467</v>
      </c>
      <c r="AE150" s="187">
        <v>139</v>
      </c>
      <c r="AF150" s="187">
        <v>158</v>
      </c>
      <c r="AG150" s="187">
        <v>297</v>
      </c>
      <c r="AH150" s="187"/>
      <c r="AI150" s="187"/>
      <c r="AJ150" s="187"/>
      <c r="AK150" s="187"/>
      <c r="AL150" s="187"/>
      <c r="AM150" s="187"/>
      <c r="AN150" s="187"/>
      <c r="AO150" s="187"/>
      <c r="AP150" s="187"/>
      <c r="AQ150" s="187"/>
      <c r="AR150" s="187"/>
      <c r="AS150" s="187"/>
      <c r="AT150" s="187"/>
      <c r="AU150" s="187"/>
      <c r="AV150" s="187"/>
      <c r="AW150" s="187"/>
      <c r="AX150" s="187"/>
      <c r="AY150" s="187"/>
      <c r="AZ150" s="187"/>
      <c r="BA150" s="187"/>
      <c r="BB150" s="187"/>
      <c r="BC150" s="187"/>
      <c r="BD150" s="187"/>
      <c r="BE150" s="187"/>
      <c r="BF150" s="187"/>
      <c r="BG150" s="187"/>
      <c r="BH150" s="187"/>
      <c r="BI150" s="187"/>
      <c r="BJ150" s="187"/>
      <c r="BK150" s="187"/>
      <c r="BL150" s="187"/>
      <c r="BM150" s="187"/>
      <c r="BN150" s="187"/>
      <c r="BO150" s="187"/>
      <c r="BP150" s="187"/>
      <c r="BQ150" s="187"/>
      <c r="BR150" s="187"/>
      <c r="BS150" s="187"/>
      <c r="BT150" s="187"/>
      <c r="BU150" s="187"/>
      <c r="BV150" s="187"/>
      <c r="BW150" s="187"/>
      <c r="BX150" s="187"/>
      <c r="BY150" s="187"/>
      <c r="BZ150" s="187"/>
      <c r="CA150" s="187"/>
      <c r="CB150" s="187"/>
      <c r="CC150" s="187"/>
      <c r="CD150" s="187"/>
      <c r="CE150" s="187"/>
      <c r="CF150" s="187"/>
      <c r="CG150" s="187"/>
      <c r="CH150" s="187"/>
      <c r="CI150" s="187"/>
      <c r="CJ150" s="187"/>
      <c r="CK150" s="187"/>
      <c r="CL150" s="187"/>
      <c r="CM150" s="187"/>
      <c r="CN150" s="187"/>
      <c r="CO150" s="187"/>
      <c r="CP150" s="187"/>
      <c r="CQ150" s="187"/>
      <c r="CR150" s="187"/>
      <c r="CS150" s="187"/>
      <c r="CT150" s="187"/>
      <c r="CU150" s="187"/>
      <c r="CV150" s="187"/>
      <c r="CW150" s="187"/>
      <c r="CX150" s="187"/>
      <c r="CY150" s="187"/>
      <c r="CZ150" s="187"/>
      <c r="DA150" s="187"/>
      <c r="DB150" s="187"/>
      <c r="DC150" s="187"/>
      <c r="DD150" s="187"/>
      <c r="DE150" s="187"/>
      <c r="DF150" s="187"/>
      <c r="DG150" s="187"/>
      <c r="DH150" s="187"/>
      <c r="DI150" s="187"/>
      <c r="DJ150" s="187"/>
      <c r="DK150" s="187"/>
      <c r="DL150" s="187"/>
      <c r="DM150" s="187"/>
      <c r="DN150" s="187"/>
      <c r="DO150" s="187"/>
      <c r="DP150" s="187"/>
      <c r="DQ150" s="187"/>
      <c r="DR150" s="187"/>
      <c r="DS150" s="187"/>
      <c r="DT150" s="187"/>
      <c r="DU150" s="187"/>
      <c r="DV150" s="187"/>
      <c r="DW150" s="187"/>
      <c r="DX150" s="187"/>
      <c r="DY150" s="187"/>
      <c r="DZ150" s="187"/>
      <c r="EA150" s="187"/>
      <c r="EB150" s="187"/>
      <c r="EC150" s="187"/>
      <c r="ED150" s="187"/>
      <c r="EE150" s="187"/>
      <c r="EF150" s="187"/>
      <c r="EG150" s="187"/>
      <c r="EH150" s="187"/>
      <c r="EI150" s="187"/>
      <c r="EJ150" s="187"/>
      <c r="EK150" s="187"/>
      <c r="EL150" s="187"/>
      <c r="EM150" s="187"/>
      <c r="EN150" s="187"/>
      <c r="EO150" s="187"/>
      <c r="EP150" s="187"/>
      <c r="EQ150" s="187"/>
      <c r="ER150" s="187"/>
      <c r="ES150" s="187"/>
      <c r="ET150" s="187"/>
      <c r="EU150" s="187"/>
      <c r="EV150" s="187"/>
      <c r="EW150" s="187"/>
      <c r="EX150" s="187"/>
      <c r="EY150" s="187"/>
      <c r="EZ150" s="187"/>
      <c r="FA150" s="187"/>
      <c r="FB150" s="187"/>
      <c r="FC150" s="187"/>
    </row>
    <row r="151" spans="1:159" ht="15" x14ac:dyDescent="0.25">
      <c r="A151" s="187" t="s">
        <v>358</v>
      </c>
      <c r="B151" s="187" t="s">
        <v>359</v>
      </c>
      <c r="C151" s="187">
        <v>7308</v>
      </c>
      <c r="D151" s="187">
        <v>0</v>
      </c>
      <c r="E151" s="187">
        <v>1025</v>
      </c>
      <c r="F151" s="187">
        <v>1261</v>
      </c>
      <c r="G151" s="187">
        <v>317</v>
      </c>
      <c r="H151" s="187">
        <v>9911</v>
      </c>
      <c r="I151" s="187">
        <v>9594</v>
      </c>
      <c r="J151" s="187">
        <v>133</v>
      </c>
      <c r="K151" s="187">
        <v>87.85</v>
      </c>
      <c r="L151" s="187">
        <v>86.99</v>
      </c>
      <c r="M151" s="187">
        <v>6.29</v>
      </c>
      <c r="N151" s="187">
        <v>92.82</v>
      </c>
      <c r="O151" s="187">
        <v>6119</v>
      </c>
      <c r="P151" s="187">
        <v>89.18</v>
      </c>
      <c r="Q151" s="187">
        <v>79.31</v>
      </c>
      <c r="R151" s="187">
        <v>59.12</v>
      </c>
      <c r="S151" s="187">
        <v>144.37</v>
      </c>
      <c r="T151" s="187">
        <v>1702</v>
      </c>
      <c r="U151" s="187">
        <v>102.39</v>
      </c>
      <c r="V151" s="187">
        <v>991</v>
      </c>
      <c r="W151" s="187">
        <v>234.91</v>
      </c>
      <c r="X151" s="187">
        <v>31</v>
      </c>
      <c r="Y151" s="187">
        <v>1</v>
      </c>
      <c r="Z151" s="187">
        <v>13</v>
      </c>
      <c r="AA151" s="187">
        <v>2</v>
      </c>
      <c r="AB151" s="187">
        <v>0</v>
      </c>
      <c r="AC151" s="187">
        <v>6</v>
      </c>
      <c r="AD151" s="187">
        <v>7068</v>
      </c>
      <c r="AE151" s="187">
        <v>50</v>
      </c>
      <c r="AF151" s="187">
        <v>67</v>
      </c>
      <c r="AG151" s="187">
        <v>117</v>
      </c>
      <c r="AH151" s="187"/>
      <c r="AI151" s="187"/>
      <c r="AJ151" s="187"/>
      <c r="AK151" s="187"/>
      <c r="AL151" s="187"/>
      <c r="AM151" s="187"/>
      <c r="AN151" s="187"/>
      <c r="AO151" s="187"/>
      <c r="AP151" s="187"/>
      <c r="AQ151" s="187"/>
      <c r="AR151" s="187"/>
      <c r="AS151" s="187"/>
      <c r="AT151" s="187"/>
      <c r="AU151" s="187"/>
      <c r="AV151" s="187"/>
      <c r="AW151" s="187"/>
      <c r="AX151" s="187"/>
      <c r="AY151" s="187"/>
      <c r="AZ151" s="187"/>
      <c r="BA151" s="187"/>
      <c r="BB151" s="187"/>
      <c r="BC151" s="187"/>
      <c r="BD151" s="187"/>
      <c r="BE151" s="187"/>
      <c r="BF151" s="187"/>
      <c r="BG151" s="187"/>
      <c r="BH151" s="187"/>
      <c r="BI151" s="187"/>
      <c r="BJ151" s="187"/>
      <c r="BK151" s="187"/>
      <c r="BL151" s="187"/>
      <c r="BM151" s="187"/>
      <c r="BN151" s="187"/>
      <c r="BO151" s="187"/>
      <c r="BP151" s="187"/>
      <c r="BQ151" s="187"/>
      <c r="BR151" s="187"/>
      <c r="BS151" s="187"/>
      <c r="BT151" s="187"/>
      <c r="BU151" s="187"/>
      <c r="BV151" s="187"/>
      <c r="BW151" s="187"/>
      <c r="BX151" s="187"/>
      <c r="BY151" s="187"/>
      <c r="BZ151" s="187"/>
      <c r="CA151" s="187"/>
      <c r="CB151" s="187"/>
      <c r="CC151" s="187"/>
      <c r="CD151" s="187"/>
      <c r="CE151" s="187"/>
      <c r="CF151" s="187"/>
      <c r="CG151" s="187"/>
      <c r="CH151" s="187"/>
      <c r="CI151" s="187"/>
      <c r="CJ151" s="187"/>
      <c r="CK151" s="187"/>
      <c r="CL151" s="187"/>
      <c r="CM151" s="187"/>
      <c r="CN151" s="187"/>
      <c r="CO151" s="187"/>
      <c r="CP151" s="187"/>
      <c r="CQ151" s="187"/>
      <c r="CR151" s="187"/>
      <c r="CS151" s="187"/>
      <c r="CT151" s="187"/>
      <c r="CU151" s="187"/>
      <c r="CV151" s="187"/>
      <c r="CW151" s="187"/>
      <c r="CX151" s="187"/>
      <c r="CY151" s="187"/>
      <c r="CZ151" s="187"/>
      <c r="DA151" s="187"/>
      <c r="DB151" s="187"/>
      <c r="DC151" s="187"/>
      <c r="DD151" s="187"/>
      <c r="DE151" s="187"/>
      <c r="DF151" s="187"/>
      <c r="DG151" s="187"/>
      <c r="DH151" s="187"/>
      <c r="DI151" s="187"/>
      <c r="DJ151" s="187"/>
      <c r="DK151" s="187"/>
      <c r="DL151" s="187"/>
      <c r="DM151" s="187"/>
      <c r="DN151" s="187"/>
      <c r="DO151" s="187"/>
      <c r="DP151" s="187"/>
      <c r="DQ151" s="187"/>
      <c r="DR151" s="187"/>
      <c r="DS151" s="187"/>
      <c r="DT151" s="187"/>
      <c r="DU151" s="187"/>
      <c r="DV151" s="187"/>
      <c r="DW151" s="187"/>
      <c r="DX151" s="187"/>
      <c r="DY151" s="187"/>
      <c r="DZ151" s="187"/>
      <c r="EA151" s="187"/>
      <c r="EB151" s="187"/>
      <c r="EC151" s="187"/>
      <c r="ED151" s="187"/>
      <c r="EE151" s="187"/>
      <c r="EF151" s="187"/>
      <c r="EG151" s="187"/>
      <c r="EH151" s="187"/>
      <c r="EI151" s="187"/>
      <c r="EJ151" s="187"/>
      <c r="EK151" s="187"/>
      <c r="EL151" s="187"/>
      <c r="EM151" s="187"/>
      <c r="EN151" s="187"/>
      <c r="EO151" s="187"/>
      <c r="EP151" s="187"/>
      <c r="EQ151" s="187"/>
      <c r="ER151" s="187"/>
      <c r="ES151" s="187"/>
      <c r="ET151" s="187"/>
      <c r="EU151" s="187"/>
      <c r="EV151" s="187"/>
      <c r="EW151" s="187"/>
      <c r="EX151" s="187"/>
      <c r="EY151" s="187"/>
      <c r="EZ151" s="187"/>
      <c r="FA151" s="187"/>
      <c r="FB151" s="187"/>
      <c r="FC151" s="187"/>
    </row>
    <row r="152" spans="1:159" ht="15" x14ac:dyDescent="0.25">
      <c r="A152" s="187" t="s">
        <v>360</v>
      </c>
      <c r="B152" s="187" t="s">
        <v>361</v>
      </c>
      <c r="C152" s="187">
        <v>2157</v>
      </c>
      <c r="D152" s="187">
        <v>93</v>
      </c>
      <c r="E152" s="187">
        <v>297</v>
      </c>
      <c r="F152" s="187">
        <v>285</v>
      </c>
      <c r="G152" s="187">
        <v>426</v>
      </c>
      <c r="H152" s="187">
        <v>3258</v>
      </c>
      <c r="I152" s="187">
        <v>2832</v>
      </c>
      <c r="J152" s="187">
        <v>8</v>
      </c>
      <c r="K152" s="187">
        <v>137.79</v>
      </c>
      <c r="L152" s="187">
        <v>138.32</v>
      </c>
      <c r="M152" s="187">
        <v>10.83</v>
      </c>
      <c r="N152" s="187">
        <v>147.35</v>
      </c>
      <c r="O152" s="187">
        <v>1516</v>
      </c>
      <c r="P152" s="187">
        <v>139.49</v>
      </c>
      <c r="Q152" s="187">
        <v>109.71</v>
      </c>
      <c r="R152" s="187">
        <v>58.89</v>
      </c>
      <c r="S152" s="187">
        <v>196.74</v>
      </c>
      <c r="T152" s="187">
        <v>322</v>
      </c>
      <c r="U152" s="187">
        <v>233.83</v>
      </c>
      <c r="V152" s="187">
        <v>375</v>
      </c>
      <c r="W152" s="187">
        <v>0</v>
      </c>
      <c r="X152" s="187">
        <v>0</v>
      </c>
      <c r="Y152" s="187">
        <v>0</v>
      </c>
      <c r="Z152" s="187">
        <v>0</v>
      </c>
      <c r="AA152" s="187">
        <v>0</v>
      </c>
      <c r="AB152" s="187">
        <v>6</v>
      </c>
      <c r="AC152" s="187">
        <v>8</v>
      </c>
      <c r="AD152" s="187">
        <v>1885</v>
      </c>
      <c r="AE152" s="187">
        <v>22</v>
      </c>
      <c r="AF152" s="187">
        <v>12</v>
      </c>
      <c r="AG152" s="187">
        <v>34</v>
      </c>
      <c r="AH152" s="187"/>
      <c r="AI152" s="187"/>
      <c r="AJ152" s="187"/>
      <c r="AK152" s="187"/>
      <c r="AL152" s="187"/>
      <c r="AM152" s="187"/>
      <c r="AN152" s="187"/>
      <c r="AO152" s="187"/>
      <c r="AP152" s="187"/>
      <c r="AQ152" s="187"/>
      <c r="AR152" s="187"/>
      <c r="AS152" s="187"/>
      <c r="AT152" s="187"/>
      <c r="AU152" s="187"/>
      <c r="AV152" s="187"/>
      <c r="AW152" s="187"/>
      <c r="AX152" s="187"/>
      <c r="AY152" s="187"/>
      <c r="AZ152" s="187"/>
      <c r="BA152" s="187"/>
      <c r="BB152" s="187"/>
      <c r="BC152" s="187"/>
      <c r="BD152" s="187"/>
      <c r="BE152" s="187"/>
      <c r="BF152" s="187"/>
      <c r="BG152" s="187"/>
      <c r="BH152" s="187"/>
      <c r="BI152" s="187"/>
      <c r="BJ152" s="187"/>
      <c r="BK152" s="187"/>
      <c r="BL152" s="187"/>
      <c r="BM152" s="187"/>
      <c r="BN152" s="187"/>
      <c r="BO152" s="187"/>
      <c r="BP152" s="187"/>
      <c r="BQ152" s="187"/>
      <c r="BR152" s="187"/>
      <c r="BS152" s="187"/>
      <c r="BT152" s="187"/>
      <c r="BU152" s="187"/>
      <c r="BV152" s="187"/>
      <c r="BW152" s="187"/>
      <c r="BX152" s="187"/>
      <c r="BY152" s="187"/>
      <c r="BZ152" s="187"/>
      <c r="CA152" s="187"/>
      <c r="CB152" s="187"/>
      <c r="CC152" s="187"/>
      <c r="CD152" s="187"/>
      <c r="CE152" s="187"/>
      <c r="CF152" s="187"/>
      <c r="CG152" s="187"/>
      <c r="CH152" s="187"/>
      <c r="CI152" s="187"/>
      <c r="CJ152" s="187"/>
      <c r="CK152" s="187"/>
      <c r="CL152" s="187"/>
      <c r="CM152" s="187"/>
      <c r="CN152" s="187"/>
      <c r="CO152" s="187"/>
      <c r="CP152" s="187"/>
      <c r="CQ152" s="187"/>
      <c r="CR152" s="187"/>
      <c r="CS152" s="187"/>
      <c r="CT152" s="187"/>
      <c r="CU152" s="187"/>
      <c r="CV152" s="187"/>
      <c r="CW152" s="187"/>
      <c r="CX152" s="187"/>
      <c r="CY152" s="187"/>
      <c r="CZ152" s="187"/>
      <c r="DA152" s="187"/>
      <c r="DB152" s="187"/>
      <c r="DC152" s="187"/>
      <c r="DD152" s="187"/>
      <c r="DE152" s="187"/>
      <c r="DF152" s="187"/>
      <c r="DG152" s="187"/>
      <c r="DH152" s="187"/>
      <c r="DI152" s="187"/>
      <c r="DJ152" s="187"/>
      <c r="DK152" s="187"/>
      <c r="DL152" s="187"/>
      <c r="DM152" s="187"/>
      <c r="DN152" s="187"/>
      <c r="DO152" s="187"/>
      <c r="DP152" s="187"/>
      <c r="DQ152" s="187"/>
      <c r="DR152" s="187"/>
      <c r="DS152" s="187"/>
      <c r="DT152" s="187"/>
      <c r="DU152" s="187"/>
      <c r="DV152" s="187"/>
      <c r="DW152" s="187"/>
      <c r="DX152" s="187"/>
      <c r="DY152" s="187"/>
      <c r="DZ152" s="187"/>
      <c r="EA152" s="187"/>
      <c r="EB152" s="187"/>
      <c r="EC152" s="187"/>
      <c r="ED152" s="187"/>
      <c r="EE152" s="187"/>
      <c r="EF152" s="187"/>
      <c r="EG152" s="187"/>
      <c r="EH152" s="187"/>
      <c r="EI152" s="187"/>
      <c r="EJ152" s="187"/>
      <c r="EK152" s="187"/>
      <c r="EL152" s="187"/>
      <c r="EM152" s="187"/>
      <c r="EN152" s="187"/>
      <c r="EO152" s="187"/>
      <c r="EP152" s="187"/>
      <c r="EQ152" s="187"/>
      <c r="ER152" s="187"/>
      <c r="ES152" s="187"/>
      <c r="ET152" s="187"/>
      <c r="EU152" s="187"/>
      <c r="EV152" s="187"/>
      <c r="EW152" s="187"/>
      <c r="EX152" s="187"/>
      <c r="EY152" s="187"/>
      <c r="EZ152" s="187"/>
      <c r="FA152" s="187"/>
      <c r="FB152" s="187"/>
      <c r="FC152" s="187"/>
    </row>
    <row r="153" spans="1:159" ht="15" x14ac:dyDescent="0.25">
      <c r="A153" s="187" t="s">
        <v>362</v>
      </c>
      <c r="B153" s="187" t="s">
        <v>363</v>
      </c>
      <c r="C153" s="187">
        <v>4321</v>
      </c>
      <c r="D153" s="187">
        <v>3</v>
      </c>
      <c r="E153" s="187">
        <v>448</v>
      </c>
      <c r="F153" s="187">
        <v>1269</v>
      </c>
      <c r="G153" s="187">
        <v>541</v>
      </c>
      <c r="H153" s="187">
        <v>6582</v>
      </c>
      <c r="I153" s="187">
        <v>6041</v>
      </c>
      <c r="J153" s="187">
        <v>2</v>
      </c>
      <c r="K153" s="187">
        <v>90.26</v>
      </c>
      <c r="L153" s="187">
        <v>86.71</v>
      </c>
      <c r="M153" s="187">
        <v>4.84</v>
      </c>
      <c r="N153" s="187">
        <v>93.94</v>
      </c>
      <c r="O153" s="187">
        <v>3547</v>
      </c>
      <c r="P153" s="187">
        <v>87.63</v>
      </c>
      <c r="Q153" s="187">
        <v>78.28</v>
      </c>
      <c r="R153" s="187">
        <v>38.61</v>
      </c>
      <c r="S153" s="187">
        <v>125.71</v>
      </c>
      <c r="T153" s="187">
        <v>1480</v>
      </c>
      <c r="U153" s="187">
        <v>105.03</v>
      </c>
      <c r="V153" s="187">
        <v>652</v>
      </c>
      <c r="W153" s="187">
        <v>138.6</v>
      </c>
      <c r="X153" s="187">
        <v>57</v>
      </c>
      <c r="Y153" s="187">
        <v>0</v>
      </c>
      <c r="Z153" s="187">
        <v>10</v>
      </c>
      <c r="AA153" s="187">
        <v>4</v>
      </c>
      <c r="AB153" s="187">
        <v>27</v>
      </c>
      <c r="AC153" s="187">
        <v>21</v>
      </c>
      <c r="AD153" s="187">
        <v>4309</v>
      </c>
      <c r="AE153" s="187">
        <v>23</v>
      </c>
      <c r="AF153" s="187">
        <v>15</v>
      </c>
      <c r="AG153" s="187">
        <v>38</v>
      </c>
      <c r="AH153" s="187"/>
      <c r="AI153" s="187"/>
      <c r="AJ153" s="187"/>
      <c r="AK153" s="187"/>
      <c r="AL153" s="187"/>
      <c r="AM153" s="187"/>
      <c r="AN153" s="187"/>
      <c r="AO153" s="187"/>
      <c r="AP153" s="187"/>
      <c r="AQ153" s="187"/>
      <c r="AR153" s="187"/>
      <c r="AS153" s="187"/>
      <c r="AT153" s="187"/>
      <c r="AU153" s="187"/>
      <c r="AV153" s="187"/>
      <c r="AW153" s="187"/>
      <c r="AX153" s="187"/>
      <c r="AY153" s="187"/>
      <c r="AZ153" s="187"/>
      <c r="BA153" s="187"/>
      <c r="BB153" s="187"/>
      <c r="BC153" s="187"/>
      <c r="BD153" s="187"/>
      <c r="BE153" s="187"/>
      <c r="BF153" s="187"/>
      <c r="BG153" s="187"/>
      <c r="BH153" s="187"/>
      <c r="BI153" s="187"/>
      <c r="BJ153" s="187"/>
      <c r="BK153" s="187"/>
      <c r="BL153" s="187"/>
      <c r="BM153" s="187"/>
      <c r="BN153" s="187"/>
      <c r="BO153" s="187"/>
      <c r="BP153" s="187"/>
      <c r="BQ153" s="187"/>
      <c r="BR153" s="187"/>
      <c r="BS153" s="187"/>
      <c r="BT153" s="187"/>
      <c r="BU153" s="187"/>
      <c r="BV153" s="187"/>
      <c r="BW153" s="187"/>
      <c r="BX153" s="187"/>
      <c r="BY153" s="187"/>
      <c r="BZ153" s="187"/>
      <c r="CA153" s="187"/>
      <c r="CB153" s="187"/>
      <c r="CC153" s="187"/>
      <c r="CD153" s="187"/>
      <c r="CE153" s="187"/>
      <c r="CF153" s="187"/>
      <c r="CG153" s="187"/>
      <c r="CH153" s="187"/>
      <c r="CI153" s="187"/>
      <c r="CJ153" s="187"/>
      <c r="CK153" s="187"/>
      <c r="CL153" s="187"/>
      <c r="CM153" s="187"/>
      <c r="CN153" s="187"/>
      <c r="CO153" s="187"/>
      <c r="CP153" s="187"/>
      <c r="CQ153" s="187"/>
      <c r="CR153" s="187"/>
      <c r="CS153" s="187"/>
      <c r="CT153" s="187"/>
      <c r="CU153" s="187"/>
      <c r="CV153" s="187"/>
      <c r="CW153" s="187"/>
      <c r="CX153" s="187"/>
      <c r="CY153" s="187"/>
      <c r="CZ153" s="187"/>
      <c r="DA153" s="187"/>
      <c r="DB153" s="187"/>
      <c r="DC153" s="187"/>
      <c r="DD153" s="187"/>
      <c r="DE153" s="187"/>
      <c r="DF153" s="187"/>
      <c r="DG153" s="187"/>
      <c r="DH153" s="187"/>
      <c r="DI153" s="187"/>
      <c r="DJ153" s="187"/>
      <c r="DK153" s="187"/>
      <c r="DL153" s="187"/>
      <c r="DM153" s="187"/>
      <c r="DN153" s="187"/>
      <c r="DO153" s="187"/>
      <c r="DP153" s="187"/>
      <c r="DQ153" s="187"/>
      <c r="DR153" s="187"/>
      <c r="DS153" s="187"/>
      <c r="DT153" s="187"/>
      <c r="DU153" s="187"/>
      <c r="DV153" s="187"/>
      <c r="DW153" s="187"/>
      <c r="DX153" s="187"/>
      <c r="DY153" s="187"/>
      <c r="DZ153" s="187"/>
      <c r="EA153" s="187"/>
      <c r="EB153" s="187"/>
      <c r="EC153" s="187"/>
      <c r="ED153" s="187"/>
      <c r="EE153" s="187"/>
      <c r="EF153" s="187"/>
      <c r="EG153" s="187"/>
      <c r="EH153" s="187"/>
      <c r="EI153" s="187"/>
      <c r="EJ153" s="187"/>
      <c r="EK153" s="187"/>
      <c r="EL153" s="187"/>
      <c r="EM153" s="187"/>
      <c r="EN153" s="187"/>
      <c r="EO153" s="187"/>
      <c r="EP153" s="187"/>
      <c r="EQ153" s="187"/>
      <c r="ER153" s="187"/>
      <c r="ES153" s="187"/>
      <c r="ET153" s="187"/>
      <c r="EU153" s="187"/>
      <c r="EV153" s="187"/>
      <c r="EW153" s="187"/>
      <c r="EX153" s="187"/>
      <c r="EY153" s="187"/>
      <c r="EZ153" s="187"/>
      <c r="FA153" s="187"/>
      <c r="FB153" s="187"/>
      <c r="FC153" s="187"/>
    </row>
    <row r="154" spans="1:159" ht="15" x14ac:dyDescent="0.25">
      <c r="A154" s="187" t="s">
        <v>364</v>
      </c>
      <c r="B154" s="187" t="s">
        <v>365</v>
      </c>
      <c r="C154" s="187">
        <v>16076</v>
      </c>
      <c r="D154" s="187">
        <v>4</v>
      </c>
      <c r="E154" s="187">
        <v>724</v>
      </c>
      <c r="F154" s="187">
        <v>1329</v>
      </c>
      <c r="G154" s="187">
        <v>603</v>
      </c>
      <c r="H154" s="187">
        <v>18736</v>
      </c>
      <c r="I154" s="187">
        <v>18133</v>
      </c>
      <c r="J154" s="187">
        <v>1</v>
      </c>
      <c r="K154" s="187">
        <v>89.61</v>
      </c>
      <c r="L154" s="187">
        <v>89.75</v>
      </c>
      <c r="M154" s="187">
        <v>12.02</v>
      </c>
      <c r="N154" s="187">
        <v>92.6</v>
      </c>
      <c r="O154" s="187">
        <v>14300</v>
      </c>
      <c r="P154" s="187">
        <v>91.58</v>
      </c>
      <c r="Q154" s="187">
        <v>79.86</v>
      </c>
      <c r="R154" s="187">
        <v>33.520000000000003</v>
      </c>
      <c r="S154" s="187">
        <v>121.87</v>
      </c>
      <c r="T154" s="187">
        <v>1582</v>
      </c>
      <c r="U154" s="187">
        <v>115.75</v>
      </c>
      <c r="V154" s="187">
        <v>1437</v>
      </c>
      <c r="W154" s="187">
        <v>159.96</v>
      </c>
      <c r="X154" s="187">
        <v>425</v>
      </c>
      <c r="Y154" s="187">
        <v>0</v>
      </c>
      <c r="Z154" s="187">
        <v>112</v>
      </c>
      <c r="AA154" s="187">
        <v>25</v>
      </c>
      <c r="AB154" s="187">
        <v>71</v>
      </c>
      <c r="AC154" s="187">
        <v>3</v>
      </c>
      <c r="AD154" s="187">
        <v>15914</v>
      </c>
      <c r="AE154" s="187">
        <v>26</v>
      </c>
      <c r="AF154" s="187">
        <v>389</v>
      </c>
      <c r="AG154" s="187">
        <v>415</v>
      </c>
      <c r="AH154" s="187"/>
      <c r="AI154" s="187"/>
      <c r="AJ154" s="187"/>
      <c r="AK154" s="187"/>
      <c r="AL154" s="187"/>
      <c r="AM154" s="187"/>
      <c r="AN154" s="187"/>
      <c r="AO154" s="187"/>
      <c r="AP154" s="187"/>
      <c r="AQ154" s="187"/>
      <c r="AR154" s="187"/>
      <c r="AS154" s="187"/>
      <c r="AT154" s="187"/>
      <c r="AU154" s="187"/>
      <c r="AV154" s="187"/>
      <c r="AW154" s="187"/>
      <c r="AX154" s="187"/>
      <c r="AY154" s="187"/>
      <c r="AZ154" s="187"/>
      <c r="BA154" s="187"/>
      <c r="BB154" s="187"/>
      <c r="BC154" s="187"/>
      <c r="BD154" s="187"/>
      <c r="BE154" s="187"/>
      <c r="BF154" s="187"/>
      <c r="BG154" s="187"/>
      <c r="BH154" s="187"/>
      <c r="BI154" s="187"/>
      <c r="BJ154" s="187"/>
      <c r="BK154" s="187"/>
      <c r="BL154" s="187"/>
      <c r="BM154" s="187"/>
      <c r="BN154" s="187"/>
      <c r="BO154" s="187"/>
      <c r="BP154" s="187"/>
      <c r="BQ154" s="187"/>
      <c r="BR154" s="187"/>
      <c r="BS154" s="187"/>
      <c r="BT154" s="187"/>
      <c r="BU154" s="187"/>
      <c r="BV154" s="187"/>
      <c r="BW154" s="187"/>
      <c r="BX154" s="187"/>
      <c r="BY154" s="187"/>
      <c r="BZ154" s="187"/>
      <c r="CA154" s="187"/>
      <c r="CB154" s="187"/>
      <c r="CC154" s="187"/>
      <c r="CD154" s="187"/>
      <c r="CE154" s="187"/>
      <c r="CF154" s="187"/>
      <c r="CG154" s="187"/>
      <c r="CH154" s="187"/>
      <c r="CI154" s="187"/>
      <c r="CJ154" s="187"/>
      <c r="CK154" s="187"/>
      <c r="CL154" s="187"/>
      <c r="CM154" s="187"/>
      <c r="CN154" s="187"/>
      <c r="CO154" s="187"/>
      <c r="CP154" s="187"/>
      <c r="CQ154" s="187"/>
      <c r="CR154" s="187"/>
      <c r="CS154" s="187"/>
      <c r="CT154" s="187"/>
      <c r="CU154" s="187"/>
      <c r="CV154" s="187"/>
      <c r="CW154" s="187"/>
      <c r="CX154" s="187"/>
      <c r="CY154" s="187"/>
      <c r="CZ154" s="187"/>
      <c r="DA154" s="187"/>
      <c r="DB154" s="187"/>
      <c r="DC154" s="187"/>
      <c r="DD154" s="187"/>
      <c r="DE154" s="187"/>
      <c r="DF154" s="187"/>
      <c r="DG154" s="187"/>
      <c r="DH154" s="187"/>
      <c r="DI154" s="187"/>
      <c r="DJ154" s="187"/>
      <c r="DK154" s="187"/>
      <c r="DL154" s="187"/>
      <c r="DM154" s="187"/>
      <c r="DN154" s="187"/>
      <c r="DO154" s="187"/>
      <c r="DP154" s="187"/>
      <c r="DQ154" s="187"/>
      <c r="DR154" s="187"/>
      <c r="DS154" s="187"/>
      <c r="DT154" s="187"/>
      <c r="DU154" s="187"/>
      <c r="DV154" s="187"/>
      <c r="DW154" s="187"/>
      <c r="DX154" s="187"/>
      <c r="DY154" s="187"/>
      <c r="DZ154" s="187"/>
      <c r="EA154" s="187"/>
      <c r="EB154" s="187"/>
      <c r="EC154" s="187"/>
      <c r="ED154" s="187"/>
      <c r="EE154" s="187"/>
      <c r="EF154" s="187"/>
      <c r="EG154" s="187"/>
      <c r="EH154" s="187"/>
      <c r="EI154" s="187"/>
      <c r="EJ154" s="187"/>
      <c r="EK154" s="187"/>
      <c r="EL154" s="187"/>
      <c r="EM154" s="187"/>
      <c r="EN154" s="187"/>
      <c r="EO154" s="187"/>
      <c r="EP154" s="187"/>
      <c r="EQ154" s="187"/>
      <c r="ER154" s="187"/>
      <c r="ES154" s="187"/>
      <c r="ET154" s="187"/>
      <c r="EU154" s="187"/>
      <c r="EV154" s="187"/>
      <c r="EW154" s="187"/>
      <c r="EX154" s="187"/>
      <c r="EY154" s="187"/>
      <c r="EZ154" s="187"/>
      <c r="FA154" s="187"/>
      <c r="FB154" s="187"/>
      <c r="FC154" s="187"/>
    </row>
    <row r="155" spans="1:159" ht="15" x14ac:dyDescent="0.25">
      <c r="A155" s="187" t="s">
        <v>366</v>
      </c>
      <c r="B155" s="187" t="s">
        <v>367</v>
      </c>
      <c r="C155" s="187">
        <v>21427</v>
      </c>
      <c r="D155" s="187">
        <v>90</v>
      </c>
      <c r="E155" s="187">
        <v>1849</v>
      </c>
      <c r="F155" s="187">
        <v>1544</v>
      </c>
      <c r="G155" s="187">
        <v>2127</v>
      </c>
      <c r="H155" s="187">
        <v>27037</v>
      </c>
      <c r="I155" s="187">
        <v>24910</v>
      </c>
      <c r="J155" s="187">
        <v>263</v>
      </c>
      <c r="K155" s="187">
        <v>126.98</v>
      </c>
      <c r="L155" s="187">
        <v>134.35</v>
      </c>
      <c r="M155" s="187">
        <v>15.91</v>
      </c>
      <c r="N155" s="187">
        <v>140.43</v>
      </c>
      <c r="O155" s="187">
        <v>18370</v>
      </c>
      <c r="P155" s="187">
        <v>119.25</v>
      </c>
      <c r="Q155" s="187">
        <v>112.97</v>
      </c>
      <c r="R155" s="187">
        <v>55.86</v>
      </c>
      <c r="S155" s="187">
        <v>170.35</v>
      </c>
      <c r="T155" s="187">
        <v>2894</v>
      </c>
      <c r="U155" s="187">
        <v>208.55</v>
      </c>
      <c r="V155" s="187">
        <v>1376</v>
      </c>
      <c r="W155" s="187">
        <v>265.29000000000002</v>
      </c>
      <c r="X155" s="187">
        <v>161</v>
      </c>
      <c r="Y155" s="187">
        <v>67</v>
      </c>
      <c r="Z155" s="187">
        <v>14</v>
      </c>
      <c r="AA155" s="187">
        <v>30</v>
      </c>
      <c r="AB155" s="187">
        <v>51</v>
      </c>
      <c r="AC155" s="187">
        <v>103</v>
      </c>
      <c r="AD155" s="187">
        <v>20022</v>
      </c>
      <c r="AE155" s="187">
        <v>120</v>
      </c>
      <c r="AF155" s="187">
        <v>114</v>
      </c>
      <c r="AG155" s="187">
        <v>234</v>
      </c>
      <c r="AH155" s="187"/>
      <c r="AI155" s="187"/>
      <c r="AJ155" s="187"/>
      <c r="AK155" s="187"/>
      <c r="AL155" s="187"/>
      <c r="AM155" s="187"/>
      <c r="AN155" s="187"/>
      <c r="AO155" s="187"/>
      <c r="AP155" s="187"/>
      <c r="AQ155" s="187"/>
      <c r="AR155" s="187"/>
      <c r="AS155" s="187"/>
      <c r="AT155" s="187"/>
      <c r="AU155" s="187"/>
      <c r="AV155" s="187"/>
      <c r="AW155" s="187"/>
      <c r="AX155" s="187"/>
      <c r="AY155" s="187"/>
      <c r="AZ155" s="187"/>
      <c r="BA155" s="187"/>
      <c r="BB155" s="187"/>
      <c r="BC155" s="187"/>
      <c r="BD155" s="187"/>
      <c r="BE155" s="187"/>
      <c r="BF155" s="187"/>
      <c r="BG155" s="187"/>
      <c r="BH155" s="187"/>
      <c r="BI155" s="187"/>
      <c r="BJ155" s="187"/>
      <c r="BK155" s="187"/>
      <c r="BL155" s="187"/>
      <c r="BM155" s="187"/>
      <c r="BN155" s="187"/>
      <c r="BO155" s="187"/>
      <c r="BP155" s="187"/>
      <c r="BQ155" s="187"/>
      <c r="BR155" s="187"/>
      <c r="BS155" s="187"/>
      <c r="BT155" s="187"/>
      <c r="BU155" s="187"/>
      <c r="BV155" s="187"/>
      <c r="BW155" s="187"/>
      <c r="BX155" s="187"/>
      <c r="BY155" s="187"/>
      <c r="BZ155" s="187"/>
      <c r="CA155" s="187"/>
      <c r="CB155" s="187"/>
      <c r="CC155" s="187"/>
      <c r="CD155" s="187"/>
      <c r="CE155" s="187"/>
      <c r="CF155" s="187"/>
      <c r="CG155" s="187"/>
      <c r="CH155" s="187"/>
      <c r="CI155" s="187"/>
      <c r="CJ155" s="187"/>
      <c r="CK155" s="187"/>
      <c r="CL155" s="187"/>
      <c r="CM155" s="187"/>
      <c r="CN155" s="187"/>
      <c r="CO155" s="187"/>
      <c r="CP155" s="187"/>
      <c r="CQ155" s="187"/>
      <c r="CR155" s="187"/>
      <c r="CS155" s="187"/>
      <c r="CT155" s="187"/>
      <c r="CU155" s="187"/>
      <c r="CV155" s="187"/>
      <c r="CW155" s="187"/>
      <c r="CX155" s="187"/>
      <c r="CY155" s="187"/>
      <c r="CZ155" s="187"/>
      <c r="DA155" s="187"/>
      <c r="DB155" s="187"/>
      <c r="DC155" s="187"/>
      <c r="DD155" s="187"/>
      <c r="DE155" s="187"/>
      <c r="DF155" s="187"/>
      <c r="DG155" s="187"/>
      <c r="DH155" s="187"/>
      <c r="DI155" s="187"/>
      <c r="DJ155" s="187"/>
      <c r="DK155" s="187"/>
      <c r="DL155" s="187"/>
      <c r="DM155" s="187"/>
      <c r="DN155" s="187"/>
      <c r="DO155" s="187"/>
      <c r="DP155" s="187"/>
      <c r="DQ155" s="187"/>
      <c r="DR155" s="187"/>
      <c r="DS155" s="187"/>
      <c r="DT155" s="187"/>
      <c r="DU155" s="187"/>
      <c r="DV155" s="187"/>
      <c r="DW155" s="187"/>
      <c r="DX155" s="187"/>
      <c r="DY155" s="187"/>
      <c r="DZ155" s="187"/>
      <c r="EA155" s="187"/>
      <c r="EB155" s="187"/>
      <c r="EC155" s="187"/>
      <c r="ED155" s="187"/>
      <c r="EE155" s="187"/>
      <c r="EF155" s="187"/>
      <c r="EG155" s="187"/>
      <c r="EH155" s="187"/>
      <c r="EI155" s="187"/>
      <c r="EJ155" s="187"/>
      <c r="EK155" s="187"/>
      <c r="EL155" s="187"/>
      <c r="EM155" s="187"/>
      <c r="EN155" s="187"/>
      <c r="EO155" s="187"/>
      <c r="EP155" s="187"/>
      <c r="EQ155" s="187"/>
      <c r="ER155" s="187"/>
      <c r="ES155" s="187"/>
      <c r="ET155" s="187"/>
      <c r="EU155" s="187"/>
      <c r="EV155" s="187"/>
      <c r="EW155" s="187"/>
      <c r="EX155" s="187"/>
      <c r="EY155" s="187"/>
      <c r="EZ155" s="187"/>
      <c r="FA155" s="187"/>
      <c r="FB155" s="187"/>
      <c r="FC155" s="187"/>
    </row>
    <row r="156" spans="1:159" ht="15" x14ac:dyDescent="0.25">
      <c r="A156" s="187" t="s">
        <v>368</v>
      </c>
      <c r="B156" s="187" t="s">
        <v>369</v>
      </c>
      <c r="C156" s="187">
        <v>2058</v>
      </c>
      <c r="D156" s="187">
        <v>0</v>
      </c>
      <c r="E156" s="187">
        <v>400</v>
      </c>
      <c r="F156" s="187">
        <v>526</v>
      </c>
      <c r="G156" s="187">
        <v>374</v>
      </c>
      <c r="H156" s="187">
        <v>3358</v>
      </c>
      <c r="I156" s="187">
        <v>2984</v>
      </c>
      <c r="J156" s="187">
        <v>6</v>
      </c>
      <c r="K156" s="187">
        <v>89.28</v>
      </c>
      <c r="L156" s="187">
        <v>85.78</v>
      </c>
      <c r="M156" s="187">
        <v>6.89</v>
      </c>
      <c r="N156" s="187">
        <v>95.34</v>
      </c>
      <c r="O156" s="187">
        <v>1254</v>
      </c>
      <c r="P156" s="187">
        <v>97.61</v>
      </c>
      <c r="Q156" s="187">
        <v>75.989999999999995</v>
      </c>
      <c r="R156" s="187">
        <v>63.65</v>
      </c>
      <c r="S156" s="187">
        <v>159.05000000000001</v>
      </c>
      <c r="T156" s="187">
        <v>777</v>
      </c>
      <c r="U156" s="187">
        <v>113.56</v>
      </c>
      <c r="V156" s="187">
        <v>735</v>
      </c>
      <c r="W156" s="187">
        <v>302.57</v>
      </c>
      <c r="X156" s="187">
        <v>36</v>
      </c>
      <c r="Y156" s="187">
        <v>4</v>
      </c>
      <c r="Z156" s="187">
        <v>1</v>
      </c>
      <c r="AA156" s="187">
        <v>5</v>
      </c>
      <c r="AB156" s="187">
        <v>9</v>
      </c>
      <c r="AC156" s="187">
        <v>9</v>
      </c>
      <c r="AD156" s="187">
        <v>2002</v>
      </c>
      <c r="AE156" s="187">
        <v>27</v>
      </c>
      <c r="AF156" s="187">
        <v>9</v>
      </c>
      <c r="AG156" s="187">
        <v>36</v>
      </c>
      <c r="AH156" s="187"/>
      <c r="AI156" s="187"/>
      <c r="AJ156" s="187"/>
      <c r="AK156" s="187"/>
      <c r="AL156" s="187"/>
      <c r="AM156" s="187"/>
      <c r="AN156" s="187"/>
      <c r="AO156" s="187"/>
      <c r="AP156" s="187"/>
      <c r="AQ156" s="187"/>
      <c r="AR156" s="187"/>
      <c r="AS156" s="187"/>
      <c r="AT156" s="187"/>
      <c r="AU156" s="187"/>
      <c r="AV156" s="187"/>
      <c r="AW156" s="187"/>
      <c r="AX156" s="187"/>
      <c r="AY156" s="187"/>
      <c r="AZ156" s="187"/>
      <c r="BA156" s="187"/>
      <c r="BB156" s="187"/>
      <c r="BC156" s="187"/>
      <c r="BD156" s="187"/>
      <c r="BE156" s="187"/>
      <c r="BF156" s="187"/>
      <c r="BG156" s="187"/>
      <c r="BH156" s="187"/>
      <c r="BI156" s="187"/>
      <c r="BJ156" s="187"/>
      <c r="BK156" s="187"/>
      <c r="BL156" s="187"/>
      <c r="BM156" s="187"/>
      <c r="BN156" s="187"/>
      <c r="BO156" s="187"/>
      <c r="BP156" s="187"/>
      <c r="BQ156" s="187"/>
      <c r="BR156" s="187"/>
      <c r="BS156" s="187"/>
      <c r="BT156" s="187"/>
      <c r="BU156" s="187"/>
      <c r="BV156" s="187"/>
      <c r="BW156" s="187"/>
      <c r="BX156" s="187"/>
      <c r="BY156" s="187"/>
      <c r="BZ156" s="187"/>
      <c r="CA156" s="187"/>
      <c r="CB156" s="187"/>
      <c r="CC156" s="187"/>
      <c r="CD156" s="187"/>
      <c r="CE156" s="187"/>
      <c r="CF156" s="187"/>
      <c r="CG156" s="187"/>
      <c r="CH156" s="187"/>
      <c r="CI156" s="187"/>
      <c r="CJ156" s="187"/>
      <c r="CK156" s="187"/>
      <c r="CL156" s="187"/>
      <c r="CM156" s="187"/>
      <c r="CN156" s="187"/>
      <c r="CO156" s="187"/>
      <c r="CP156" s="187"/>
      <c r="CQ156" s="187"/>
      <c r="CR156" s="187"/>
      <c r="CS156" s="187"/>
      <c r="CT156" s="187"/>
      <c r="CU156" s="187"/>
      <c r="CV156" s="187"/>
      <c r="CW156" s="187"/>
      <c r="CX156" s="187"/>
      <c r="CY156" s="187"/>
      <c r="CZ156" s="187"/>
      <c r="DA156" s="187"/>
      <c r="DB156" s="187"/>
      <c r="DC156" s="187"/>
      <c r="DD156" s="187"/>
      <c r="DE156" s="187"/>
      <c r="DF156" s="187"/>
      <c r="DG156" s="187"/>
      <c r="DH156" s="187"/>
      <c r="DI156" s="187"/>
      <c r="DJ156" s="187"/>
      <c r="DK156" s="187"/>
      <c r="DL156" s="187"/>
      <c r="DM156" s="187"/>
      <c r="DN156" s="187"/>
      <c r="DO156" s="187"/>
      <c r="DP156" s="187"/>
      <c r="DQ156" s="187"/>
      <c r="DR156" s="187"/>
      <c r="DS156" s="187"/>
      <c r="DT156" s="187"/>
      <c r="DU156" s="187"/>
      <c r="DV156" s="187"/>
      <c r="DW156" s="187"/>
      <c r="DX156" s="187"/>
      <c r="DY156" s="187"/>
      <c r="DZ156" s="187"/>
      <c r="EA156" s="187"/>
      <c r="EB156" s="187"/>
      <c r="EC156" s="187"/>
      <c r="ED156" s="187"/>
      <c r="EE156" s="187"/>
      <c r="EF156" s="187"/>
      <c r="EG156" s="187"/>
      <c r="EH156" s="187"/>
      <c r="EI156" s="187"/>
      <c r="EJ156" s="187"/>
      <c r="EK156" s="187"/>
      <c r="EL156" s="187"/>
      <c r="EM156" s="187"/>
      <c r="EN156" s="187"/>
      <c r="EO156" s="187"/>
      <c r="EP156" s="187"/>
      <c r="EQ156" s="187"/>
      <c r="ER156" s="187"/>
      <c r="ES156" s="187"/>
      <c r="ET156" s="187"/>
      <c r="EU156" s="187"/>
      <c r="EV156" s="187"/>
      <c r="EW156" s="187"/>
      <c r="EX156" s="187"/>
      <c r="EY156" s="187"/>
      <c r="EZ156" s="187"/>
      <c r="FA156" s="187"/>
      <c r="FB156" s="187"/>
      <c r="FC156" s="187"/>
    </row>
    <row r="157" spans="1:159" ht="15" x14ac:dyDescent="0.25">
      <c r="A157" s="187" t="s">
        <v>370</v>
      </c>
      <c r="B157" s="187" t="s">
        <v>371</v>
      </c>
      <c r="C157" s="187">
        <v>13740</v>
      </c>
      <c r="D157" s="187">
        <v>8</v>
      </c>
      <c r="E157" s="187">
        <v>1508</v>
      </c>
      <c r="F157" s="187">
        <v>3037</v>
      </c>
      <c r="G157" s="187">
        <v>1715</v>
      </c>
      <c r="H157" s="187">
        <v>20008</v>
      </c>
      <c r="I157" s="187">
        <v>18293</v>
      </c>
      <c r="J157" s="187">
        <v>70</v>
      </c>
      <c r="K157" s="187">
        <v>89.93</v>
      </c>
      <c r="L157" s="187">
        <v>88.29</v>
      </c>
      <c r="M157" s="187">
        <v>7.19</v>
      </c>
      <c r="N157" s="187">
        <v>94.52</v>
      </c>
      <c r="O157" s="187">
        <v>11356</v>
      </c>
      <c r="P157" s="187">
        <v>101.82</v>
      </c>
      <c r="Q157" s="187">
        <v>78.12</v>
      </c>
      <c r="R157" s="187">
        <v>55.94</v>
      </c>
      <c r="S157" s="187">
        <v>155.91999999999999</v>
      </c>
      <c r="T157" s="187">
        <v>3459</v>
      </c>
      <c r="U157" s="187">
        <v>117.14</v>
      </c>
      <c r="V157" s="187">
        <v>1503</v>
      </c>
      <c r="W157" s="187">
        <v>220.34</v>
      </c>
      <c r="X157" s="187">
        <v>162</v>
      </c>
      <c r="Y157" s="187">
        <v>0</v>
      </c>
      <c r="Z157" s="187">
        <v>11</v>
      </c>
      <c r="AA157" s="187">
        <v>22</v>
      </c>
      <c r="AB157" s="187">
        <v>108</v>
      </c>
      <c r="AC157" s="187">
        <v>57</v>
      </c>
      <c r="AD157" s="187">
        <v>13325</v>
      </c>
      <c r="AE157" s="187">
        <v>120</v>
      </c>
      <c r="AF157" s="187">
        <v>70</v>
      </c>
      <c r="AG157" s="187">
        <v>190</v>
      </c>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7"/>
      <c r="BC157" s="187"/>
      <c r="BD157" s="187"/>
      <c r="BE157" s="187"/>
      <c r="BF157" s="187"/>
      <c r="BG157" s="187"/>
      <c r="BH157" s="187"/>
      <c r="BI157" s="187"/>
      <c r="BJ157" s="187"/>
      <c r="BK157" s="187"/>
      <c r="BL157" s="187"/>
      <c r="BM157" s="187"/>
      <c r="BN157" s="187"/>
      <c r="BO157" s="187"/>
      <c r="BP157" s="187"/>
      <c r="BQ157" s="187"/>
      <c r="BR157" s="187"/>
      <c r="BS157" s="187"/>
      <c r="BT157" s="187"/>
      <c r="BU157" s="187"/>
      <c r="BV157" s="187"/>
      <c r="BW157" s="187"/>
      <c r="BX157" s="187"/>
      <c r="BY157" s="187"/>
      <c r="BZ157" s="187"/>
      <c r="CA157" s="187"/>
      <c r="CB157" s="187"/>
      <c r="CC157" s="187"/>
      <c r="CD157" s="187"/>
      <c r="CE157" s="187"/>
      <c r="CF157" s="187"/>
      <c r="CG157" s="187"/>
      <c r="CH157" s="187"/>
      <c r="CI157" s="187"/>
      <c r="CJ157" s="187"/>
      <c r="CK157" s="187"/>
      <c r="CL157" s="187"/>
      <c r="CM157" s="187"/>
      <c r="CN157" s="187"/>
      <c r="CO157" s="187"/>
      <c r="CP157" s="187"/>
      <c r="CQ157" s="187"/>
      <c r="CR157" s="187"/>
      <c r="CS157" s="187"/>
      <c r="CT157" s="187"/>
      <c r="CU157" s="187"/>
      <c r="CV157" s="187"/>
      <c r="CW157" s="187"/>
      <c r="CX157" s="187"/>
      <c r="CY157" s="187"/>
      <c r="CZ157" s="187"/>
      <c r="DA157" s="187"/>
      <c r="DB157" s="187"/>
      <c r="DC157" s="187"/>
      <c r="DD157" s="187"/>
      <c r="DE157" s="187"/>
      <c r="DF157" s="187"/>
      <c r="DG157" s="187"/>
      <c r="DH157" s="187"/>
      <c r="DI157" s="187"/>
      <c r="DJ157" s="187"/>
      <c r="DK157" s="187"/>
      <c r="DL157" s="187"/>
      <c r="DM157" s="187"/>
      <c r="DN157" s="187"/>
      <c r="DO157" s="187"/>
      <c r="DP157" s="187"/>
      <c r="DQ157" s="187"/>
      <c r="DR157" s="187"/>
      <c r="DS157" s="187"/>
      <c r="DT157" s="187"/>
      <c r="DU157" s="187"/>
      <c r="DV157" s="187"/>
      <c r="DW157" s="187"/>
      <c r="DX157" s="187"/>
      <c r="DY157" s="187"/>
      <c r="DZ157" s="187"/>
      <c r="EA157" s="187"/>
      <c r="EB157" s="187"/>
      <c r="EC157" s="187"/>
      <c r="ED157" s="187"/>
      <c r="EE157" s="187"/>
      <c r="EF157" s="187"/>
      <c r="EG157" s="187"/>
      <c r="EH157" s="187"/>
      <c r="EI157" s="187"/>
      <c r="EJ157" s="187"/>
      <c r="EK157" s="187"/>
      <c r="EL157" s="187"/>
      <c r="EM157" s="187"/>
      <c r="EN157" s="187"/>
      <c r="EO157" s="187"/>
      <c r="EP157" s="187"/>
      <c r="EQ157" s="187"/>
      <c r="ER157" s="187"/>
      <c r="ES157" s="187"/>
      <c r="ET157" s="187"/>
      <c r="EU157" s="187"/>
      <c r="EV157" s="187"/>
      <c r="EW157" s="187"/>
      <c r="EX157" s="187"/>
      <c r="EY157" s="187"/>
      <c r="EZ157" s="187"/>
      <c r="FA157" s="187"/>
      <c r="FB157" s="187"/>
      <c r="FC157" s="187"/>
    </row>
    <row r="158" spans="1:159" ht="15" x14ac:dyDescent="0.25">
      <c r="A158" s="187" t="s">
        <v>372</v>
      </c>
      <c r="B158" s="187" t="s">
        <v>373</v>
      </c>
      <c r="C158" s="187">
        <v>8986</v>
      </c>
      <c r="D158" s="187">
        <v>0</v>
      </c>
      <c r="E158" s="187">
        <v>927</v>
      </c>
      <c r="F158" s="187">
        <v>997</v>
      </c>
      <c r="G158" s="187">
        <v>549</v>
      </c>
      <c r="H158" s="187">
        <v>11459</v>
      </c>
      <c r="I158" s="187">
        <v>10910</v>
      </c>
      <c r="J158" s="187">
        <v>85</v>
      </c>
      <c r="K158" s="187">
        <v>89.46</v>
      </c>
      <c r="L158" s="187">
        <v>88.43</v>
      </c>
      <c r="M158" s="187">
        <v>9.14</v>
      </c>
      <c r="N158" s="187">
        <v>95.95</v>
      </c>
      <c r="O158" s="187">
        <v>6958</v>
      </c>
      <c r="P158" s="187">
        <v>95.31</v>
      </c>
      <c r="Q158" s="187">
        <v>79.45</v>
      </c>
      <c r="R158" s="187">
        <v>66.290000000000006</v>
      </c>
      <c r="S158" s="187">
        <v>156.99</v>
      </c>
      <c r="T158" s="187">
        <v>1550</v>
      </c>
      <c r="U158" s="187">
        <v>120.79</v>
      </c>
      <c r="V158" s="187">
        <v>1153</v>
      </c>
      <c r="W158" s="187">
        <v>140.43</v>
      </c>
      <c r="X158" s="187">
        <v>86</v>
      </c>
      <c r="Y158" s="187">
        <v>259</v>
      </c>
      <c r="Z158" s="187">
        <v>12</v>
      </c>
      <c r="AA158" s="187">
        <v>10</v>
      </c>
      <c r="AB158" s="187">
        <v>2</v>
      </c>
      <c r="AC158" s="187">
        <v>22</v>
      </c>
      <c r="AD158" s="187">
        <v>8265</v>
      </c>
      <c r="AE158" s="187">
        <v>38</v>
      </c>
      <c r="AF158" s="187">
        <v>43</v>
      </c>
      <c r="AG158" s="187">
        <v>81</v>
      </c>
      <c r="AH158" s="187"/>
      <c r="AI158" s="187"/>
      <c r="AJ158" s="187"/>
      <c r="AK158" s="187"/>
      <c r="AL158" s="187"/>
      <c r="AM158" s="187"/>
      <c r="AN158" s="187"/>
      <c r="AO158" s="187"/>
      <c r="AP158" s="187"/>
      <c r="AQ158" s="187"/>
      <c r="AR158" s="187"/>
      <c r="AS158" s="187"/>
      <c r="AT158" s="187"/>
      <c r="AU158" s="187"/>
      <c r="AV158" s="187"/>
      <c r="AW158" s="187"/>
      <c r="AX158" s="187"/>
      <c r="AY158" s="187"/>
      <c r="AZ158" s="187"/>
      <c r="BA158" s="187"/>
      <c r="BB158" s="187"/>
      <c r="BC158" s="187"/>
      <c r="BD158" s="187"/>
      <c r="BE158" s="187"/>
      <c r="BF158" s="187"/>
      <c r="BG158" s="187"/>
      <c r="BH158" s="187"/>
      <c r="BI158" s="187"/>
      <c r="BJ158" s="187"/>
      <c r="BK158" s="187"/>
      <c r="BL158" s="187"/>
      <c r="BM158" s="187"/>
      <c r="BN158" s="187"/>
      <c r="BO158" s="187"/>
      <c r="BP158" s="187"/>
      <c r="BQ158" s="187"/>
      <c r="BR158" s="187"/>
      <c r="BS158" s="187"/>
      <c r="BT158" s="187"/>
      <c r="BU158" s="187"/>
      <c r="BV158" s="187"/>
      <c r="BW158" s="187"/>
      <c r="BX158" s="187"/>
      <c r="BY158" s="187"/>
      <c r="BZ158" s="187"/>
      <c r="CA158" s="187"/>
      <c r="CB158" s="187"/>
      <c r="CC158" s="187"/>
      <c r="CD158" s="187"/>
      <c r="CE158" s="187"/>
      <c r="CF158" s="187"/>
      <c r="CG158" s="187"/>
      <c r="CH158" s="187"/>
      <c r="CI158" s="187"/>
      <c r="CJ158" s="187"/>
      <c r="CK158" s="187"/>
      <c r="CL158" s="187"/>
      <c r="CM158" s="187"/>
      <c r="CN158" s="187"/>
      <c r="CO158" s="187"/>
      <c r="CP158" s="187"/>
      <c r="CQ158" s="187"/>
      <c r="CR158" s="187"/>
      <c r="CS158" s="187"/>
      <c r="CT158" s="187"/>
      <c r="CU158" s="187"/>
      <c r="CV158" s="187"/>
      <c r="CW158" s="187"/>
      <c r="CX158" s="187"/>
      <c r="CY158" s="187"/>
      <c r="CZ158" s="187"/>
      <c r="DA158" s="187"/>
      <c r="DB158" s="187"/>
      <c r="DC158" s="187"/>
      <c r="DD158" s="187"/>
      <c r="DE158" s="187"/>
      <c r="DF158" s="187"/>
      <c r="DG158" s="187"/>
      <c r="DH158" s="187"/>
      <c r="DI158" s="187"/>
      <c r="DJ158" s="187"/>
      <c r="DK158" s="187"/>
      <c r="DL158" s="187"/>
      <c r="DM158" s="187"/>
      <c r="DN158" s="187"/>
      <c r="DO158" s="187"/>
      <c r="DP158" s="187"/>
      <c r="DQ158" s="187"/>
      <c r="DR158" s="187"/>
      <c r="DS158" s="187"/>
      <c r="DT158" s="187"/>
      <c r="DU158" s="187"/>
      <c r="DV158" s="187"/>
      <c r="DW158" s="187"/>
      <c r="DX158" s="187"/>
      <c r="DY158" s="187"/>
      <c r="DZ158" s="187"/>
      <c r="EA158" s="187"/>
      <c r="EB158" s="187"/>
      <c r="EC158" s="187"/>
      <c r="ED158" s="187"/>
      <c r="EE158" s="187"/>
      <c r="EF158" s="187"/>
      <c r="EG158" s="187"/>
      <c r="EH158" s="187"/>
      <c r="EI158" s="187"/>
      <c r="EJ158" s="187"/>
      <c r="EK158" s="187"/>
      <c r="EL158" s="187"/>
      <c r="EM158" s="187"/>
      <c r="EN158" s="187"/>
      <c r="EO158" s="187"/>
      <c r="EP158" s="187"/>
      <c r="EQ158" s="187"/>
      <c r="ER158" s="187"/>
      <c r="ES158" s="187"/>
      <c r="ET158" s="187"/>
      <c r="EU158" s="187"/>
      <c r="EV158" s="187"/>
      <c r="EW158" s="187"/>
      <c r="EX158" s="187"/>
      <c r="EY158" s="187"/>
      <c r="EZ158" s="187"/>
      <c r="FA158" s="187"/>
      <c r="FB158" s="187"/>
      <c r="FC158" s="187"/>
    </row>
    <row r="159" spans="1:159" ht="15" x14ac:dyDescent="0.25">
      <c r="A159" s="187" t="s">
        <v>374</v>
      </c>
      <c r="B159" s="187" t="s">
        <v>375</v>
      </c>
      <c r="C159" s="187">
        <v>1247</v>
      </c>
      <c r="D159" s="187">
        <v>0</v>
      </c>
      <c r="E159" s="187">
        <v>156</v>
      </c>
      <c r="F159" s="187">
        <v>442</v>
      </c>
      <c r="G159" s="187">
        <v>729</v>
      </c>
      <c r="H159" s="187">
        <v>2574</v>
      </c>
      <c r="I159" s="187">
        <v>1845</v>
      </c>
      <c r="J159" s="187">
        <v>3</v>
      </c>
      <c r="K159" s="187">
        <v>100.41</v>
      </c>
      <c r="L159" s="187">
        <v>98.91</v>
      </c>
      <c r="M159" s="187">
        <v>10.07</v>
      </c>
      <c r="N159" s="187">
        <v>109.24</v>
      </c>
      <c r="O159" s="187">
        <v>867</v>
      </c>
      <c r="P159" s="187">
        <v>88.67</v>
      </c>
      <c r="Q159" s="187">
        <v>82.08</v>
      </c>
      <c r="R159" s="187">
        <v>59.32</v>
      </c>
      <c r="S159" s="187">
        <v>146.85</v>
      </c>
      <c r="T159" s="187">
        <v>312</v>
      </c>
      <c r="U159" s="187">
        <v>185.58</v>
      </c>
      <c r="V159" s="187">
        <v>330</v>
      </c>
      <c r="W159" s="187">
        <v>158.25</v>
      </c>
      <c r="X159" s="187">
        <v>9</v>
      </c>
      <c r="Y159" s="187">
        <v>9</v>
      </c>
      <c r="Z159" s="187">
        <v>0</v>
      </c>
      <c r="AA159" s="187">
        <v>1</v>
      </c>
      <c r="AB159" s="187">
        <v>106</v>
      </c>
      <c r="AC159" s="187">
        <v>7</v>
      </c>
      <c r="AD159" s="187">
        <v>1238</v>
      </c>
      <c r="AE159" s="187">
        <v>53</v>
      </c>
      <c r="AF159" s="187">
        <v>6</v>
      </c>
      <c r="AG159" s="187">
        <v>59</v>
      </c>
      <c r="AH159" s="187"/>
      <c r="AI159" s="187"/>
      <c r="AJ159" s="187"/>
      <c r="AK159" s="187"/>
      <c r="AL159" s="187"/>
      <c r="AM159" s="187"/>
      <c r="AN159" s="187"/>
      <c r="AO159" s="187"/>
      <c r="AP159" s="187"/>
      <c r="AQ159" s="187"/>
      <c r="AR159" s="187"/>
      <c r="AS159" s="187"/>
      <c r="AT159" s="187"/>
      <c r="AU159" s="187"/>
      <c r="AV159" s="187"/>
      <c r="AW159" s="187"/>
      <c r="AX159" s="187"/>
      <c r="AY159" s="187"/>
      <c r="AZ159" s="187"/>
      <c r="BA159" s="187"/>
      <c r="BB159" s="187"/>
      <c r="BC159" s="187"/>
      <c r="BD159" s="187"/>
      <c r="BE159" s="187"/>
      <c r="BF159" s="187"/>
      <c r="BG159" s="187"/>
      <c r="BH159" s="187"/>
      <c r="BI159" s="187"/>
      <c r="BJ159" s="187"/>
      <c r="BK159" s="187"/>
      <c r="BL159" s="187"/>
      <c r="BM159" s="187"/>
      <c r="BN159" s="187"/>
      <c r="BO159" s="187"/>
      <c r="BP159" s="187"/>
      <c r="BQ159" s="187"/>
      <c r="BR159" s="187"/>
      <c r="BS159" s="187"/>
      <c r="BT159" s="187"/>
      <c r="BU159" s="187"/>
      <c r="BV159" s="187"/>
      <c r="BW159" s="187"/>
      <c r="BX159" s="187"/>
      <c r="BY159" s="187"/>
      <c r="BZ159" s="187"/>
      <c r="CA159" s="187"/>
      <c r="CB159" s="187"/>
      <c r="CC159" s="187"/>
      <c r="CD159" s="187"/>
      <c r="CE159" s="187"/>
      <c r="CF159" s="187"/>
      <c r="CG159" s="187"/>
      <c r="CH159" s="187"/>
      <c r="CI159" s="187"/>
      <c r="CJ159" s="187"/>
      <c r="CK159" s="187"/>
      <c r="CL159" s="187"/>
      <c r="CM159" s="187"/>
      <c r="CN159" s="187"/>
      <c r="CO159" s="187"/>
      <c r="CP159" s="187"/>
      <c r="CQ159" s="187"/>
      <c r="CR159" s="187"/>
      <c r="CS159" s="187"/>
      <c r="CT159" s="187"/>
      <c r="CU159" s="187"/>
      <c r="CV159" s="187"/>
      <c r="CW159" s="187"/>
      <c r="CX159" s="187"/>
      <c r="CY159" s="187"/>
      <c r="CZ159" s="187"/>
      <c r="DA159" s="187"/>
      <c r="DB159" s="187"/>
      <c r="DC159" s="187"/>
      <c r="DD159" s="187"/>
      <c r="DE159" s="187"/>
      <c r="DF159" s="187"/>
      <c r="DG159" s="187"/>
      <c r="DH159" s="187"/>
      <c r="DI159" s="187"/>
      <c r="DJ159" s="187"/>
      <c r="DK159" s="187"/>
      <c r="DL159" s="187"/>
      <c r="DM159" s="187"/>
      <c r="DN159" s="187"/>
      <c r="DO159" s="187"/>
      <c r="DP159" s="187"/>
      <c r="DQ159" s="187"/>
      <c r="DR159" s="187"/>
      <c r="DS159" s="187"/>
      <c r="DT159" s="187"/>
      <c r="DU159" s="187"/>
      <c r="DV159" s="187"/>
      <c r="DW159" s="187"/>
      <c r="DX159" s="187"/>
      <c r="DY159" s="187"/>
      <c r="DZ159" s="187"/>
      <c r="EA159" s="187"/>
      <c r="EB159" s="187"/>
      <c r="EC159" s="187"/>
      <c r="ED159" s="187"/>
      <c r="EE159" s="187"/>
      <c r="EF159" s="187"/>
      <c r="EG159" s="187"/>
      <c r="EH159" s="187"/>
      <c r="EI159" s="187"/>
      <c r="EJ159" s="187"/>
      <c r="EK159" s="187"/>
      <c r="EL159" s="187"/>
      <c r="EM159" s="187"/>
      <c r="EN159" s="187"/>
      <c r="EO159" s="187"/>
      <c r="EP159" s="187"/>
      <c r="EQ159" s="187"/>
      <c r="ER159" s="187"/>
      <c r="ES159" s="187"/>
      <c r="ET159" s="187"/>
      <c r="EU159" s="187"/>
      <c r="EV159" s="187"/>
      <c r="EW159" s="187"/>
      <c r="EX159" s="187"/>
      <c r="EY159" s="187"/>
      <c r="EZ159" s="187"/>
      <c r="FA159" s="187"/>
      <c r="FB159" s="187"/>
      <c r="FC159" s="187"/>
    </row>
    <row r="160" spans="1:159" ht="15" x14ac:dyDescent="0.25">
      <c r="A160" s="187" t="s">
        <v>376</v>
      </c>
      <c r="B160" s="187" t="s">
        <v>377</v>
      </c>
      <c r="C160" s="187">
        <v>21047</v>
      </c>
      <c r="D160" s="187">
        <v>120</v>
      </c>
      <c r="E160" s="187">
        <v>1327</v>
      </c>
      <c r="F160" s="187">
        <v>815</v>
      </c>
      <c r="G160" s="187">
        <v>2005</v>
      </c>
      <c r="H160" s="187">
        <v>25314</v>
      </c>
      <c r="I160" s="187">
        <v>23309</v>
      </c>
      <c r="J160" s="187">
        <v>269</v>
      </c>
      <c r="K160" s="187">
        <v>117.5</v>
      </c>
      <c r="L160" s="187">
        <v>120.22</v>
      </c>
      <c r="M160" s="187">
        <v>12.21</v>
      </c>
      <c r="N160" s="187">
        <v>125.22</v>
      </c>
      <c r="O160" s="187">
        <v>18215</v>
      </c>
      <c r="P160" s="187">
        <v>112.88</v>
      </c>
      <c r="Q160" s="187">
        <v>106.05</v>
      </c>
      <c r="R160" s="187">
        <v>94.33</v>
      </c>
      <c r="S160" s="187">
        <v>201.82</v>
      </c>
      <c r="T160" s="187">
        <v>1767</v>
      </c>
      <c r="U160" s="187">
        <v>191.93</v>
      </c>
      <c r="V160" s="187">
        <v>1641</v>
      </c>
      <c r="W160" s="187">
        <v>308.25</v>
      </c>
      <c r="X160" s="187">
        <v>119</v>
      </c>
      <c r="Y160" s="187">
        <v>78</v>
      </c>
      <c r="Z160" s="187">
        <v>30</v>
      </c>
      <c r="AA160" s="187">
        <v>56</v>
      </c>
      <c r="AB160" s="187">
        <v>44</v>
      </c>
      <c r="AC160" s="187">
        <v>66</v>
      </c>
      <c r="AD160" s="187">
        <v>20036</v>
      </c>
      <c r="AE160" s="187">
        <v>193</v>
      </c>
      <c r="AF160" s="187">
        <v>107</v>
      </c>
      <c r="AG160" s="187">
        <v>300</v>
      </c>
      <c r="AH160" s="187"/>
      <c r="AI160" s="187"/>
      <c r="AJ160" s="187"/>
      <c r="AK160" s="187"/>
      <c r="AL160" s="187"/>
      <c r="AM160" s="187"/>
      <c r="AN160" s="187"/>
      <c r="AO160" s="187"/>
      <c r="AP160" s="187"/>
      <c r="AQ160" s="187"/>
      <c r="AR160" s="187"/>
      <c r="AS160" s="187"/>
      <c r="AT160" s="187"/>
      <c r="AU160" s="187"/>
      <c r="AV160" s="187"/>
      <c r="AW160" s="187"/>
      <c r="AX160" s="187"/>
      <c r="AY160" s="187"/>
      <c r="AZ160" s="187"/>
      <c r="BA160" s="187"/>
      <c r="BB160" s="187"/>
      <c r="BC160" s="187"/>
      <c r="BD160" s="187"/>
      <c r="BE160" s="187"/>
      <c r="BF160" s="187"/>
      <c r="BG160" s="187"/>
      <c r="BH160" s="187"/>
      <c r="BI160" s="187"/>
      <c r="BJ160" s="187"/>
      <c r="BK160" s="187"/>
      <c r="BL160" s="187"/>
      <c r="BM160" s="187"/>
      <c r="BN160" s="187"/>
      <c r="BO160" s="187"/>
      <c r="BP160" s="187"/>
      <c r="BQ160" s="187"/>
      <c r="BR160" s="187"/>
      <c r="BS160" s="187"/>
      <c r="BT160" s="187"/>
      <c r="BU160" s="187"/>
      <c r="BV160" s="187"/>
      <c r="BW160" s="187"/>
      <c r="BX160" s="187"/>
      <c r="BY160" s="187"/>
      <c r="BZ160" s="187"/>
      <c r="CA160" s="187"/>
      <c r="CB160" s="187"/>
      <c r="CC160" s="187"/>
      <c r="CD160" s="187"/>
      <c r="CE160" s="187"/>
      <c r="CF160" s="187"/>
      <c r="CG160" s="187"/>
      <c r="CH160" s="187"/>
      <c r="CI160" s="187"/>
      <c r="CJ160" s="187"/>
      <c r="CK160" s="187"/>
      <c r="CL160" s="187"/>
      <c r="CM160" s="187"/>
      <c r="CN160" s="187"/>
      <c r="CO160" s="187"/>
      <c r="CP160" s="187"/>
      <c r="CQ160" s="187"/>
      <c r="CR160" s="187"/>
      <c r="CS160" s="187"/>
      <c r="CT160" s="187"/>
      <c r="CU160" s="187"/>
      <c r="CV160" s="187"/>
      <c r="CW160" s="187"/>
      <c r="CX160" s="187"/>
      <c r="CY160" s="187"/>
      <c r="CZ160" s="187"/>
      <c r="DA160" s="187"/>
      <c r="DB160" s="187"/>
      <c r="DC160" s="187"/>
      <c r="DD160" s="187"/>
      <c r="DE160" s="187"/>
      <c r="DF160" s="187"/>
      <c r="DG160" s="187"/>
      <c r="DH160" s="187"/>
      <c r="DI160" s="187"/>
      <c r="DJ160" s="187"/>
      <c r="DK160" s="187"/>
      <c r="DL160" s="187"/>
      <c r="DM160" s="187"/>
      <c r="DN160" s="187"/>
      <c r="DO160" s="187"/>
      <c r="DP160" s="187"/>
      <c r="DQ160" s="187"/>
      <c r="DR160" s="187"/>
      <c r="DS160" s="187"/>
      <c r="DT160" s="187"/>
      <c r="DU160" s="187"/>
      <c r="DV160" s="187"/>
      <c r="DW160" s="187"/>
      <c r="DX160" s="187"/>
      <c r="DY160" s="187"/>
      <c r="DZ160" s="187"/>
      <c r="EA160" s="187"/>
      <c r="EB160" s="187"/>
      <c r="EC160" s="187"/>
      <c r="ED160" s="187"/>
      <c r="EE160" s="187"/>
      <c r="EF160" s="187"/>
      <c r="EG160" s="187"/>
      <c r="EH160" s="187"/>
      <c r="EI160" s="187"/>
      <c r="EJ160" s="187"/>
      <c r="EK160" s="187"/>
      <c r="EL160" s="187"/>
      <c r="EM160" s="187"/>
      <c r="EN160" s="187"/>
      <c r="EO160" s="187"/>
      <c r="EP160" s="187"/>
      <c r="EQ160" s="187"/>
      <c r="ER160" s="187"/>
      <c r="ES160" s="187"/>
      <c r="ET160" s="187"/>
      <c r="EU160" s="187"/>
      <c r="EV160" s="187"/>
      <c r="EW160" s="187"/>
      <c r="EX160" s="187"/>
      <c r="EY160" s="187"/>
      <c r="EZ160" s="187"/>
      <c r="FA160" s="187"/>
      <c r="FB160" s="187"/>
      <c r="FC160" s="187"/>
    </row>
    <row r="161" spans="1:159" ht="15" x14ac:dyDescent="0.25">
      <c r="A161" s="187" t="s">
        <v>378</v>
      </c>
      <c r="B161" s="187" t="s">
        <v>379</v>
      </c>
      <c r="C161" s="187">
        <v>5849</v>
      </c>
      <c r="D161" s="187">
        <v>0</v>
      </c>
      <c r="E161" s="187">
        <v>124</v>
      </c>
      <c r="F161" s="187">
        <v>298</v>
      </c>
      <c r="G161" s="187">
        <v>672</v>
      </c>
      <c r="H161" s="187">
        <v>6943</v>
      </c>
      <c r="I161" s="187">
        <v>6271</v>
      </c>
      <c r="J161" s="187">
        <v>1</v>
      </c>
      <c r="K161" s="187">
        <v>95.67</v>
      </c>
      <c r="L161" s="187">
        <v>92.06</v>
      </c>
      <c r="M161" s="187">
        <v>3.62</v>
      </c>
      <c r="N161" s="187">
        <v>98.4</v>
      </c>
      <c r="O161" s="187">
        <v>5189</v>
      </c>
      <c r="P161" s="187">
        <v>105.32</v>
      </c>
      <c r="Q161" s="187">
        <v>94.38</v>
      </c>
      <c r="R161" s="187">
        <v>37.79</v>
      </c>
      <c r="S161" s="187">
        <v>140.05000000000001</v>
      </c>
      <c r="T161" s="187">
        <v>421</v>
      </c>
      <c r="U161" s="187">
        <v>121.12</v>
      </c>
      <c r="V161" s="187">
        <v>578</v>
      </c>
      <c r="W161" s="187">
        <v>0</v>
      </c>
      <c r="X161" s="187">
        <v>0</v>
      </c>
      <c r="Y161" s="187">
        <v>0</v>
      </c>
      <c r="Z161" s="187">
        <v>6</v>
      </c>
      <c r="AA161" s="187">
        <v>11</v>
      </c>
      <c r="AB161" s="187">
        <v>129</v>
      </c>
      <c r="AC161" s="187">
        <v>17</v>
      </c>
      <c r="AD161" s="187">
        <v>5787</v>
      </c>
      <c r="AE161" s="187">
        <v>21</v>
      </c>
      <c r="AF161" s="187">
        <v>68</v>
      </c>
      <c r="AG161" s="187">
        <v>89</v>
      </c>
      <c r="AH161" s="187"/>
      <c r="AI161" s="187"/>
      <c r="AJ161" s="187"/>
      <c r="AK161" s="187"/>
      <c r="AL161" s="187"/>
      <c r="AM161" s="187"/>
      <c r="AN161" s="187"/>
      <c r="AO161" s="187"/>
      <c r="AP161" s="187"/>
      <c r="AQ161" s="187"/>
      <c r="AR161" s="187"/>
      <c r="AS161" s="187"/>
      <c r="AT161" s="187"/>
      <c r="AU161" s="187"/>
      <c r="AV161" s="187"/>
      <c r="AW161" s="187"/>
      <c r="AX161" s="187"/>
      <c r="AY161" s="187"/>
      <c r="AZ161" s="187"/>
      <c r="BA161" s="187"/>
      <c r="BB161" s="187"/>
      <c r="BC161" s="187"/>
      <c r="BD161" s="187"/>
      <c r="BE161" s="187"/>
      <c r="BF161" s="187"/>
      <c r="BG161" s="187"/>
      <c r="BH161" s="187"/>
      <c r="BI161" s="187"/>
      <c r="BJ161" s="187"/>
      <c r="BK161" s="187"/>
      <c r="BL161" s="187"/>
      <c r="BM161" s="187"/>
      <c r="BN161" s="187"/>
      <c r="BO161" s="187"/>
      <c r="BP161" s="187"/>
      <c r="BQ161" s="187"/>
      <c r="BR161" s="187"/>
      <c r="BS161" s="187"/>
      <c r="BT161" s="187"/>
      <c r="BU161" s="187"/>
      <c r="BV161" s="187"/>
      <c r="BW161" s="187"/>
      <c r="BX161" s="187"/>
      <c r="BY161" s="187"/>
      <c r="BZ161" s="187"/>
      <c r="CA161" s="187"/>
      <c r="CB161" s="187"/>
      <c r="CC161" s="187"/>
      <c r="CD161" s="187"/>
      <c r="CE161" s="187"/>
      <c r="CF161" s="187"/>
      <c r="CG161" s="187"/>
      <c r="CH161" s="187"/>
      <c r="CI161" s="187"/>
      <c r="CJ161" s="187"/>
      <c r="CK161" s="187"/>
      <c r="CL161" s="187"/>
      <c r="CM161" s="187"/>
      <c r="CN161" s="187"/>
      <c r="CO161" s="187"/>
      <c r="CP161" s="187"/>
      <c r="CQ161" s="187"/>
      <c r="CR161" s="187"/>
      <c r="CS161" s="187"/>
      <c r="CT161" s="187"/>
      <c r="CU161" s="187"/>
      <c r="CV161" s="187"/>
      <c r="CW161" s="187"/>
      <c r="CX161" s="187"/>
      <c r="CY161" s="187"/>
      <c r="CZ161" s="187"/>
      <c r="DA161" s="187"/>
      <c r="DB161" s="187"/>
      <c r="DC161" s="187"/>
      <c r="DD161" s="187"/>
      <c r="DE161" s="187"/>
      <c r="DF161" s="187"/>
      <c r="DG161" s="187"/>
      <c r="DH161" s="187"/>
      <c r="DI161" s="187"/>
      <c r="DJ161" s="187"/>
      <c r="DK161" s="187"/>
      <c r="DL161" s="187"/>
      <c r="DM161" s="187"/>
      <c r="DN161" s="187"/>
      <c r="DO161" s="187"/>
      <c r="DP161" s="187"/>
      <c r="DQ161" s="187"/>
      <c r="DR161" s="187"/>
      <c r="DS161" s="187"/>
      <c r="DT161" s="187"/>
      <c r="DU161" s="187"/>
      <c r="DV161" s="187"/>
      <c r="DW161" s="187"/>
      <c r="DX161" s="187"/>
      <c r="DY161" s="187"/>
      <c r="DZ161" s="187"/>
      <c r="EA161" s="187"/>
      <c r="EB161" s="187"/>
      <c r="EC161" s="187"/>
      <c r="ED161" s="187"/>
      <c r="EE161" s="187"/>
      <c r="EF161" s="187"/>
      <c r="EG161" s="187"/>
      <c r="EH161" s="187"/>
      <c r="EI161" s="187"/>
      <c r="EJ161" s="187"/>
      <c r="EK161" s="187"/>
      <c r="EL161" s="187"/>
      <c r="EM161" s="187"/>
      <c r="EN161" s="187"/>
      <c r="EO161" s="187"/>
      <c r="EP161" s="187"/>
      <c r="EQ161" s="187"/>
      <c r="ER161" s="187"/>
      <c r="ES161" s="187"/>
      <c r="ET161" s="187"/>
      <c r="EU161" s="187"/>
      <c r="EV161" s="187"/>
      <c r="EW161" s="187"/>
      <c r="EX161" s="187"/>
      <c r="EY161" s="187"/>
      <c r="EZ161" s="187"/>
      <c r="FA161" s="187"/>
      <c r="FB161" s="187"/>
      <c r="FC161" s="187"/>
    </row>
    <row r="162" spans="1:159" ht="15" x14ac:dyDescent="0.25">
      <c r="A162" s="187" t="s">
        <v>380</v>
      </c>
      <c r="B162" s="187" t="s">
        <v>381</v>
      </c>
      <c r="C162" s="187">
        <v>1353</v>
      </c>
      <c r="D162" s="187">
        <v>0</v>
      </c>
      <c r="E162" s="187">
        <v>483</v>
      </c>
      <c r="F162" s="187">
        <v>161</v>
      </c>
      <c r="G162" s="187">
        <v>291</v>
      </c>
      <c r="H162" s="187">
        <v>2288</v>
      </c>
      <c r="I162" s="187">
        <v>1997</v>
      </c>
      <c r="J162" s="187">
        <v>5</v>
      </c>
      <c r="K162" s="187">
        <v>85.99</v>
      </c>
      <c r="L162" s="187">
        <v>82.67</v>
      </c>
      <c r="M162" s="187">
        <v>9.36</v>
      </c>
      <c r="N162" s="187">
        <v>93.44</v>
      </c>
      <c r="O162" s="187">
        <v>1019</v>
      </c>
      <c r="P162" s="187">
        <v>95.93</v>
      </c>
      <c r="Q162" s="187">
        <v>77.61</v>
      </c>
      <c r="R162" s="187">
        <v>118.72</v>
      </c>
      <c r="S162" s="187">
        <v>214.65</v>
      </c>
      <c r="T162" s="187">
        <v>290</v>
      </c>
      <c r="U162" s="187">
        <v>108.57</v>
      </c>
      <c r="V162" s="187">
        <v>232</v>
      </c>
      <c r="W162" s="187">
        <v>315.37</v>
      </c>
      <c r="X162" s="187">
        <v>31</v>
      </c>
      <c r="Y162" s="187">
        <v>0</v>
      </c>
      <c r="Z162" s="187">
        <v>0</v>
      </c>
      <c r="AA162" s="187">
        <v>0</v>
      </c>
      <c r="AB162" s="187">
        <v>1</v>
      </c>
      <c r="AC162" s="187">
        <v>10</v>
      </c>
      <c r="AD162" s="187">
        <v>1320</v>
      </c>
      <c r="AE162" s="187">
        <v>7</v>
      </c>
      <c r="AF162" s="187">
        <v>24</v>
      </c>
      <c r="AG162" s="187">
        <v>31</v>
      </c>
      <c r="AH162" s="187"/>
      <c r="AI162" s="187"/>
      <c r="AJ162" s="187"/>
      <c r="AK162" s="187"/>
      <c r="AL162" s="187"/>
      <c r="AM162" s="187"/>
      <c r="AN162" s="187"/>
      <c r="AO162" s="187"/>
      <c r="AP162" s="187"/>
      <c r="AQ162" s="187"/>
      <c r="AR162" s="187"/>
      <c r="AS162" s="187"/>
      <c r="AT162" s="187"/>
      <c r="AU162" s="187"/>
      <c r="AV162" s="187"/>
      <c r="AW162" s="187"/>
      <c r="AX162" s="187"/>
      <c r="AY162" s="187"/>
      <c r="AZ162" s="187"/>
      <c r="BA162" s="187"/>
      <c r="BB162" s="187"/>
      <c r="BC162" s="187"/>
      <c r="BD162" s="187"/>
      <c r="BE162" s="187"/>
      <c r="BF162" s="187"/>
      <c r="BG162" s="187"/>
      <c r="BH162" s="187"/>
      <c r="BI162" s="187"/>
      <c r="BJ162" s="187"/>
      <c r="BK162" s="187"/>
      <c r="BL162" s="187"/>
      <c r="BM162" s="187"/>
      <c r="BN162" s="187"/>
      <c r="BO162" s="187"/>
      <c r="BP162" s="187"/>
      <c r="BQ162" s="187"/>
      <c r="BR162" s="187"/>
      <c r="BS162" s="187"/>
      <c r="BT162" s="187"/>
      <c r="BU162" s="187"/>
      <c r="BV162" s="187"/>
      <c r="BW162" s="187"/>
      <c r="BX162" s="187"/>
      <c r="BY162" s="187"/>
      <c r="BZ162" s="187"/>
      <c r="CA162" s="187"/>
      <c r="CB162" s="187"/>
      <c r="CC162" s="187"/>
      <c r="CD162" s="187"/>
      <c r="CE162" s="187"/>
      <c r="CF162" s="187"/>
      <c r="CG162" s="187"/>
      <c r="CH162" s="187"/>
      <c r="CI162" s="187"/>
      <c r="CJ162" s="187"/>
      <c r="CK162" s="187"/>
      <c r="CL162" s="187"/>
      <c r="CM162" s="187"/>
      <c r="CN162" s="187"/>
      <c r="CO162" s="187"/>
      <c r="CP162" s="187"/>
      <c r="CQ162" s="187"/>
      <c r="CR162" s="187"/>
      <c r="CS162" s="187"/>
      <c r="CT162" s="187"/>
      <c r="CU162" s="187"/>
      <c r="CV162" s="187"/>
      <c r="CW162" s="187"/>
      <c r="CX162" s="187"/>
      <c r="CY162" s="187"/>
      <c r="CZ162" s="187"/>
      <c r="DA162" s="187"/>
      <c r="DB162" s="187"/>
      <c r="DC162" s="187"/>
      <c r="DD162" s="187"/>
      <c r="DE162" s="187"/>
      <c r="DF162" s="187"/>
      <c r="DG162" s="187"/>
      <c r="DH162" s="187"/>
      <c r="DI162" s="187"/>
      <c r="DJ162" s="187"/>
      <c r="DK162" s="187"/>
      <c r="DL162" s="187"/>
      <c r="DM162" s="187"/>
      <c r="DN162" s="187"/>
      <c r="DO162" s="187"/>
      <c r="DP162" s="187"/>
      <c r="DQ162" s="187"/>
      <c r="DR162" s="187"/>
      <c r="DS162" s="187"/>
      <c r="DT162" s="187"/>
      <c r="DU162" s="187"/>
      <c r="DV162" s="187"/>
      <c r="DW162" s="187"/>
      <c r="DX162" s="187"/>
      <c r="DY162" s="187"/>
      <c r="DZ162" s="187"/>
      <c r="EA162" s="187"/>
      <c r="EB162" s="187"/>
      <c r="EC162" s="187"/>
      <c r="ED162" s="187"/>
      <c r="EE162" s="187"/>
      <c r="EF162" s="187"/>
      <c r="EG162" s="187"/>
      <c r="EH162" s="187"/>
      <c r="EI162" s="187"/>
      <c r="EJ162" s="187"/>
      <c r="EK162" s="187"/>
      <c r="EL162" s="187"/>
      <c r="EM162" s="187"/>
      <c r="EN162" s="187"/>
      <c r="EO162" s="187"/>
      <c r="EP162" s="187"/>
      <c r="EQ162" s="187"/>
      <c r="ER162" s="187"/>
      <c r="ES162" s="187"/>
      <c r="ET162" s="187"/>
      <c r="EU162" s="187"/>
      <c r="EV162" s="187"/>
      <c r="EW162" s="187"/>
      <c r="EX162" s="187"/>
      <c r="EY162" s="187"/>
      <c r="EZ162" s="187"/>
      <c r="FA162" s="187"/>
      <c r="FB162" s="187"/>
      <c r="FC162" s="187"/>
    </row>
    <row r="163" spans="1:159" ht="15" x14ac:dyDescent="0.25">
      <c r="A163" s="187" t="s">
        <v>382</v>
      </c>
      <c r="B163" s="187" t="s">
        <v>383</v>
      </c>
      <c r="C163" s="187">
        <v>52214</v>
      </c>
      <c r="D163" s="187">
        <v>16</v>
      </c>
      <c r="E163" s="187">
        <v>2490</v>
      </c>
      <c r="F163" s="187">
        <v>3780</v>
      </c>
      <c r="G163" s="187">
        <v>955</v>
      </c>
      <c r="H163" s="187">
        <v>59455</v>
      </c>
      <c r="I163" s="187">
        <v>58500</v>
      </c>
      <c r="J163" s="187">
        <v>41</v>
      </c>
      <c r="K163" s="187">
        <v>89.35</v>
      </c>
      <c r="L163" s="187">
        <v>88.83</v>
      </c>
      <c r="M163" s="187">
        <v>11.71</v>
      </c>
      <c r="N163" s="187">
        <v>92.3</v>
      </c>
      <c r="O163" s="187">
        <v>42925</v>
      </c>
      <c r="P163" s="187">
        <v>95.92</v>
      </c>
      <c r="Q163" s="187">
        <v>82.92</v>
      </c>
      <c r="R163" s="187">
        <v>54.6</v>
      </c>
      <c r="S163" s="187">
        <v>149.16999999999999</v>
      </c>
      <c r="T163" s="187">
        <v>5023</v>
      </c>
      <c r="U163" s="187">
        <v>110.86</v>
      </c>
      <c r="V163" s="187">
        <v>6272</v>
      </c>
      <c r="W163" s="187">
        <v>142.44</v>
      </c>
      <c r="X163" s="187">
        <v>171</v>
      </c>
      <c r="Y163" s="187">
        <v>0</v>
      </c>
      <c r="Z163" s="187">
        <v>240</v>
      </c>
      <c r="AA163" s="187">
        <v>30</v>
      </c>
      <c r="AB163" s="187">
        <v>28</v>
      </c>
      <c r="AC163" s="187">
        <v>22</v>
      </c>
      <c r="AD163" s="187">
        <v>49528</v>
      </c>
      <c r="AE163" s="187">
        <v>352</v>
      </c>
      <c r="AF163" s="187">
        <v>451</v>
      </c>
      <c r="AG163" s="187">
        <v>803</v>
      </c>
      <c r="AH163" s="187"/>
      <c r="AI163" s="187"/>
      <c r="AJ163" s="187"/>
      <c r="AK163" s="187"/>
      <c r="AL163" s="187"/>
      <c r="AM163" s="187"/>
      <c r="AN163" s="187"/>
      <c r="AO163" s="187"/>
      <c r="AP163" s="187"/>
      <c r="AQ163" s="187"/>
      <c r="AR163" s="187"/>
      <c r="AS163" s="187"/>
      <c r="AT163" s="187"/>
      <c r="AU163" s="187"/>
      <c r="AV163" s="187"/>
      <c r="AW163" s="187"/>
      <c r="AX163" s="187"/>
      <c r="AY163" s="187"/>
      <c r="AZ163" s="187"/>
      <c r="BA163" s="187"/>
      <c r="BB163" s="187"/>
      <c r="BC163" s="187"/>
      <c r="BD163" s="187"/>
      <c r="BE163" s="187"/>
      <c r="BF163" s="187"/>
      <c r="BG163" s="187"/>
      <c r="BH163" s="187"/>
      <c r="BI163" s="187"/>
      <c r="BJ163" s="187"/>
      <c r="BK163" s="187"/>
      <c r="BL163" s="187"/>
      <c r="BM163" s="187"/>
      <c r="BN163" s="187"/>
      <c r="BO163" s="187"/>
      <c r="BP163" s="187"/>
      <c r="BQ163" s="187"/>
      <c r="BR163" s="187"/>
      <c r="BS163" s="187"/>
      <c r="BT163" s="187"/>
      <c r="BU163" s="187"/>
      <c r="BV163" s="187"/>
      <c r="BW163" s="187"/>
      <c r="BX163" s="187"/>
      <c r="BY163" s="187"/>
      <c r="BZ163" s="187"/>
      <c r="CA163" s="187"/>
      <c r="CB163" s="187"/>
      <c r="CC163" s="187"/>
      <c r="CD163" s="187"/>
      <c r="CE163" s="187"/>
      <c r="CF163" s="187"/>
      <c r="CG163" s="187"/>
      <c r="CH163" s="187"/>
      <c r="CI163" s="187"/>
      <c r="CJ163" s="187"/>
      <c r="CK163" s="187"/>
      <c r="CL163" s="187"/>
      <c r="CM163" s="187"/>
      <c r="CN163" s="187"/>
      <c r="CO163" s="187"/>
      <c r="CP163" s="187"/>
      <c r="CQ163" s="187"/>
      <c r="CR163" s="187"/>
      <c r="CS163" s="187"/>
      <c r="CT163" s="187"/>
      <c r="CU163" s="187"/>
      <c r="CV163" s="187"/>
      <c r="CW163" s="187"/>
      <c r="CX163" s="187"/>
      <c r="CY163" s="187"/>
      <c r="CZ163" s="187"/>
      <c r="DA163" s="187"/>
      <c r="DB163" s="187"/>
      <c r="DC163" s="187"/>
      <c r="DD163" s="187"/>
      <c r="DE163" s="187"/>
      <c r="DF163" s="187"/>
      <c r="DG163" s="187"/>
      <c r="DH163" s="187"/>
      <c r="DI163" s="187"/>
      <c r="DJ163" s="187"/>
      <c r="DK163" s="187"/>
      <c r="DL163" s="187"/>
      <c r="DM163" s="187"/>
      <c r="DN163" s="187"/>
      <c r="DO163" s="187"/>
      <c r="DP163" s="187"/>
      <c r="DQ163" s="187"/>
      <c r="DR163" s="187"/>
      <c r="DS163" s="187"/>
      <c r="DT163" s="187"/>
      <c r="DU163" s="187"/>
      <c r="DV163" s="187"/>
      <c r="DW163" s="187"/>
      <c r="DX163" s="187"/>
      <c r="DY163" s="187"/>
      <c r="DZ163" s="187"/>
      <c r="EA163" s="187"/>
      <c r="EB163" s="187"/>
      <c r="EC163" s="187"/>
      <c r="ED163" s="187"/>
      <c r="EE163" s="187"/>
      <c r="EF163" s="187"/>
      <c r="EG163" s="187"/>
      <c r="EH163" s="187"/>
      <c r="EI163" s="187"/>
      <c r="EJ163" s="187"/>
      <c r="EK163" s="187"/>
      <c r="EL163" s="187"/>
      <c r="EM163" s="187"/>
      <c r="EN163" s="187"/>
      <c r="EO163" s="187"/>
      <c r="EP163" s="187"/>
      <c r="EQ163" s="187"/>
      <c r="ER163" s="187"/>
      <c r="ES163" s="187"/>
      <c r="ET163" s="187"/>
      <c r="EU163" s="187"/>
      <c r="EV163" s="187"/>
      <c r="EW163" s="187"/>
      <c r="EX163" s="187"/>
      <c r="EY163" s="187"/>
      <c r="EZ163" s="187"/>
      <c r="FA163" s="187"/>
      <c r="FB163" s="187"/>
      <c r="FC163" s="187"/>
    </row>
    <row r="164" spans="1:159" ht="15" x14ac:dyDescent="0.25">
      <c r="A164" s="187" t="s">
        <v>384</v>
      </c>
      <c r="B164" s="187" t="s">
        <v>385</v>
      </c>
      <c r="C164" s="187">
        <v>3871</v>
      </c>
      <c r="D164" s="187">
        <v>175</v>
      </c>
      <c r="E164" s="187">
        <v>261</v>
      </c>
      <c r="F164" s="187">
        <v>393</v>
      </c>
      <c r="G164" s="187">
        <v>318</v>
      </c>
      <c r="H164" s="187">
        <v>5018</v>
      </c>
      <c r="I164" s="187">
        <v>4700</v>
      </c>
      <c r="J164" s="187">
        <v>10</v>
      </c>
      <c r="K164" s="187">
        <v>107.39</v>
      </c>
      <c r="L164" s="187">
        <v>104.73</v>
      </c>
      <c r="M164" s="187">
        <v>6.77</v>
      </c>
      <c r="N164" s="187">
        <v>112.54</v>
      </c>
      <c r="O164" s="187">
        <v>2778</v>
      </c>
      <c r="P164" s="187">
        <v>108.23</v>
      </c>
      <c r="Q164" s="187">
        <v>101.61</v>
      </c>
      <c r="R164" s="187">
        <v>48.09</v>
      </c>
      <c r="S164" s="187">
        <v>153.69999999999999</v>
      </c>
      <c r="T164" s="187">
        <v>423</v>
      </c>
      <c r="U164" s="187">
        <v>152.09</v>
      </c>
      <c r="V164" s="187">
        <v>625</v>
      </c>
      <c r="W164" s="187">
        <v>147.57</v>
      </c>
      <c r="X164" s="187">
        <v>13</v>
      </c>
      <c r="Y164" s="187">
        <v>0</v>
      </c>
      <c r="Z164" s="187">
        <v>3</v>
      </c>
      <c r="AA164" s="187">
        <v>15</v>
      </c>
      <c r="AB164" s="187">
        <v>2</v>
      </c>
      <c r="AC164" s="187">
        <v>7</v>
      </c>
      <c r="AD164" s="187">
        <v>3532</v>
      </c>
      <c r="AE164" s="187">
        <v>12</v>
      </c>
      <c r="AF164" s="187">
        <v>18</v>
      </c>
      <c r="AG164" s="187">
        <v>30</v>
      </c>
      <c r="AH164" s="187"/>
      <c r="AI164" s="187"/>
      <c r="AJ164" s="187"/>
      <c r="AK164" s="187"/>
      <c r="AL164" s="187"/>
      <c r="AM164" s="187"/>
      <c r="AN164" s="187"/>
      <c r="AO164" s="187"/>
      <c r="AP164" s="187"/>
      <c r="AQ164" s="187"/>
      <c r="AR164" s="187"/>
      <c r="AS164" s="187"/>
      <c r="AT164" s="187"/>
      <c r="AU164" s="187"/>
      <c r="AV164" s="187"/>
      <c r="AW164" s="187"/>
      <c r="AX164" s="187"/>
      <c r="AY164" s="187"/>
      <c r="AZ164" s="187"/>
      <c r="BA164" s="187"/>
      <c r="BB164" s="187"/>
      <c r="BC164" s="187"/>
      <c r="BD164" s="187"/>
      <c r="BE164" s="187"/>
      <c r="BF164" s="187"/>
      <c r="BG164" s="187"/>
      <c r="BH164" s="187"/>
      <c r="BI164" s="187"/>
      <c r="BJ164" s="187"/>
      <c r="BK164" s="187"/>
      <c r="BL164" s="187"/>
      <c r="BM164" s="187"/>
      <c r="BN164" s="187"/>
      <c r="BO164" s="187"/>
      <c r="BP164" s="187"/>
      <c r="BQ164" s="187"/>
      <c r="BR164" s="187"/>
      <c r="BS164" s="187"/>
      <c r="BT164" s="187"/>
      <c r="BU164" s="187"/>
      <c r="BV164" s="187"/>
      <c r="BW164" s="187"/>
      <c r="BX164" s="187"/>
      <c r="BY164" s="187"/>
      <c r="BZ164" s="187"/>
      <c r="CA164" s="187"/>
      <c r="CB164" s="187"/>
      <c r="CC164" s="187"/>
      <c r="CD164" s="187"/>
      <c r="CE164" s="187"/>
      <c r="CF164" s="187"/>
      <c r="CG164" s="187"/>
      <c r="CH164" s="187"/>
      <c r="CI164" s="187"/>
      <c r="CJ164" s="187"/>
      <c r="CK164" s="187"/>
      <c r="CL164" s="187"/>
      <c r="CM164" s="187"/>
      <c r="CN164" s="187"/>
      <c r="CO164" s="187"/>
      <c r="CP164" s="187"/>
      <c r="CQ164" s="187"/>
      <c r="CR164" s="187"/>
      <c r="CS164" s="187"/>
      <c r="CT164" s="187"/>
      <c r="CU164" s="187"/>
      <c r="CV164" s="187"/>
      <c r="CW164" s="187"/>
      <c r="CX164" s="187"/>
      <c r="CY164" s="187"/>
      <c r="CZ164" s="187"/>
      <c r="DA164" s="187"/>
      <c r="DB164" s="187"/>
      <c r="DC164" s="187"/>
      <c r="DD164" s="187"/>
      <c r="DE164" s="187"/>
      <c r="DF164" s="187"/>
      <c r="DG164" s="187"/>
      <c r="DH164" s="187"/>
      <c r="DI164" s="187"/>
      <c r="DJ164" s="187"/>
      <c r="DK164" s="187"/>
      <c r="DL164" s="187"/>
      <c r="DM164" s="187"/>
      <c r="DN164" s="187"/>
      <c r="DO164" s="187"/>
      <c r="DP164" s="187"/>
      <c r="DQ164" s="187"/>
      <c r="DR164" s="187"/>
      <c r="DS164" s="187"/>
      <c r="DT164" s="187"/>
      <c r="DU164" s="187"/>
      <c r="DV164" s="187"/>
      <c r="DW164" s="187"/>
      <c r="DX164" s="187"/>
      <c r="DY164" s="187"/>
      <c r="DZ164" s="187"/>
      <c r="EA164" s="187"/>
      <c r="EB164" s="187"/>
      <c r="EC164" s="187"/>
      <c r="ED164" s="187"/>
      <c r="EE164" s="187"/>
      <c r="EF164" s="187"/>
      <c r="EG164" s="187"/>
      <c r="EH164" s="187"/>
      <c r="EI164" s="187"/>
      <c r="EJ164" s="187"/>
      <c r="EK164" s="187"/>
      <c r="EL164" s="187"/>
      <c r="EM164" s="187"/>
      <c r="EN164" s="187"/>
      <c r="EO164" s="187"/>
      <c r="EP164" s="187"/>
      <c r="EQ164" s="187"/>
      <c r="ER164" s="187"/>
      <c r="ES164" s="187"/>
      <c r="ET164" s="187"/>
      <c r="EU164" s="187"/>
      <c r="EV164" s="187"/>
      <c r="EW164" s="187"/>
      <c r="EX164" s="187"/>
      <c r="EY164" s="187"/>
      <c r="EZ164" s="187"/>
      <c r="FA164" s="187"/>
      <c r="FB164" s="187"/>
      <c r="FC164" s="187"/>
    </row>
    <row r="165" spans="1:159" ht="15" x14ac:dyDescent="0.25">
      <c r="A165" s="187" t="s">
        <v>386</v>
      </c>
      <c r="B165" s="187" t="s">
        <v>387</v>
      </c>
      <c r="C165" s="187">
        <v>8622</v>
      </c>
      <c r="D165" s="187">
        <v>0</v>
      </c>
      <c r="E165" s="187">
        <v>324</v>
      </c>
      <c r="F165" s="187">
        <v>1144</v>
      </c>
      <c r="G165" s="187">
        <v>1345</v>
      </c>
      <c r="H165" s="187">
        <v>11435</v>
      </c>
      <c r="I165" s="187">
        <v>10090</v>
      </c>
      <c r="J165" s="187">
        <v>148</v>
      </c>
      <c r="K165" s="187">
        <v>103.15</v>
      </c>
      <c r="L165" s="187">
        <v>101.78</v>
      </c>
      <c r="M165" s="187">
        <v>7.4</v>
      </c>
      <c r="N165" s="187">
        <v>108.78</v>
      </c>
      <c r="O165" s="187">
        <v>6052</v>
      </c>
      <c r="P165" s="187">
        <v>99.27</v>
      </c>
      <c r="Q165" s="187">
        <v>92.68</v>
      </c>
      <c r="R165" s="187">
        <v>30.92</v>
      </c>
      <c r="S165" s="187">
        <v>128.94</v>
      </c>
      <c r="T165" s="187">
        <v>1331</v>
      </c>
      <c r="U165" s="187">
        <v>172.74</v>
      </c>
      <c r="V165" s="187">
        <v>2206</v>
      </c>
      <c r="W165" s="187">
        <v>124.23</v>
      </c>
      <c r="X165" s="187">
        <v>13</v>
      </c>
      <c r="Y165" s="187">
        <v>0</v>
      </c>
      <c r="Z165" s="187">
        <v>11</v>
      </c>
      <c r="AA165" s="187">
        <v>3</v>
      </c>
      <c r="AB165" s="187">
        <v>135</v>
      </c>
      <c r="AC165" s="187">
        <v>17</v>
      </c>
      <c r="AD165" s="187">
        <v>8090</v>
      </c>
      <c r="AE165" s="187">
        <v>138</v>
      </c>
      <c r="AF165" s="187">
        <v>14</v>
      </c>
      <c r="AG165" s="187">
        <v>152</v>
      </c>
      <c r="AH165" s="187"/>
      <c r="AI165" s="187"/>
      <c r="AJ165" s="187"/>
      <c r="AK165" s="187"/>
      <c r="AL165" s="187"/>
      <c r="AM165" s="187"/>
      <c r="AN165" s="187"/>
      <c r="AO165" s="187"/>
      <c r="AP165" s="187"/>
      <c r="AQ165" s="187"/>
      <c r="AR165" s="187"/>
      <c r="AS165" s="187"/>
      <c r="AT165" s="187"/>
      <c r="AU165" s="187"/>
      <c r="AV165" s="187"/>
      <c r="AW165" s="187"/>
      <c r="AX165" s="187"/>
      <c r="AY165" s="187"/>
      <c r="AZ165" s="187"/>
      <c r="BA165" s="187"/>
      <c r="BB165" s="187"/>
      <c r="BC165" s="187"/>
      <c r="BD165" s="187"/>
      <c r="BE165" s="187"/>
      <c r="BF165" s="187"/>
      <c r="BG165" s="187"/>
      <c r="BH165" s="187"/>
      <c r="BI165" s="187"/>
      <c r="BJ165" s="187"/>
      <c r="BK165" s="187"/>
      <c r="BL165" s="187"/>
      <c r="BM165" s="187"/>
      <c r="BN165" s="187"/>
      <c r="BO165" s="187"/>
      <c r="BP165" s="187"/>
      <c r="BQ165" s="187"/>
      <c r="BR165" s="187"/>
      <c r="BS165" s="187"/>
      <c r="BT165" s="187"/>
      <c r="BU165" s="187"/>
      <c r="BV165" s="187"/>
      <c r="BW165" s="187"/>
      <c r="BX165" s="187"/>
      <c r="BY165" s="187"/>
      <c r="BZ165" s="187"/>
      <c r="CA165" s="187"/>
      <c r="CB165" s="187"/>
      <c r="CC165" s="187"/>
      <c r="CD165" s="187"/>
      <c r="CE165" s="187"/>
      <c r="CF165" s="187"/>
      <c r="CG165" s="187"/>
      <c r="CH165" s="187"/>
      <c r="CI165" s="187"/>
      <c r="CJ165" s="187"/>
      <c r="CK165" s="187"/>
      <c r="CL165" s="187"/>
      <c r="CM165" s="187"/>
      <c r="CN165" s="187"/>
      <c r="CO165" s="187"/>
      <c r="CP165" s="187"/>
      <c r="CQ165" s="187"/>
      <c r="CR165" s="187"/>
      <c r="CS165" s="187"/>
      <c r="CT165" s="187"/>
      <c r="CU165" s="187"/>
      <c r="CV165" s="187"/>
      <c r="CW165" s="187"/>
      <c r="CX165" s="187"/>
      <c r="CY165" s="187"/>
      <c r="CZ165" s="187"/>
      <c r="DA165" s="187"/>
      <c r="DB165" s="187"/>
      <c r="DC165" s="187"/>
      <c r="DD165" s="187"/>
      <c r="DE165" s="187"/>
      <c r="DF165" s="187"/>
      <c r="DG165" s="187"/>
      <c r="DH165" s="187"/>
      <c r="DI165" s="187"/>
      <c r="DJ165" s="187"/>
      <c r="DK165" s="187"/>
      <c r="DL165" s="187"/>
      <c r="DM165" s="187"/>
      <c r="DN165" s="187"/>
      <c r="DO165" s="187"/>
      <c r="DP165" s="187"/>
      <c r="DQ165" s="187"/>
      <c r="DR165" s="187"/>
      <c r="DS165" s="187"/>
      <c r="DT165" s="187"/>
      <c r="DU165" s="187"/>
      <c r="DV165" s="187"/>
      <c r="DW165" s="187"/>
      <c r="DX165" s="187"/>
      <c r="DY165" s="187"/>
      <c r="DZ165" s="187"/>
      <c r="EA165" s="187"/>
      <c r="EB165" s="187"/>
      <c r="EC165" s="187"/>
      <c r="ED165" s="187"/>
      <c r="EE165" s="187"/>
      <c r="EF165" s="187"/>
      <c r="EG165" s="187"/>
      <c r="EH165" s="187"/>
      <c r="EI165" s="187"/>
      <c r="EJ165" s="187"/>
      <c r="EK165" s="187"/>
      <c r="EL165" s="187"/>
      <c r="EM165" s="187"/>
      <c r="EN165" s="187"/>
      <c r="EO165" s="187"/>
      <c r="EP165" s="187"/>
      <c r="EQ165" s="187"/>
      <c r="ER165" s="187"/>
      <c r="ES165" s="187"/>
      <c r="ET165" s="187"/>
      <c r="EU165" s="187"/>
      <c r="EV165" s="187"/>
      <c r="EW165" s="187"/>
      <c r="EX165" s="187"/>
      <c r="EY165" s="187"/>
      <c r="EZ165" s="187"/>
      <c r="FA165" s="187"/>
      <c r="FB165" s="187"/>
      <c r="FC165" s="187"/>
    </row>
    <row r="166" spans="1:159" ht="15" x14ac:dyDescent="0.25">
      <c r="A166" s="187" t="s">
        <v>388</v>
      </c>
      <c r="B166" s="187" t="s">
        <v>389</v>
      </c>
      <c r="C166" s="187">
        <v>2584</v>
      </c>
      <c r="D166" s="187">
        <v>0</v>
      </c>
      <c r="E166" s="187">
        <v>31</v>
      </c>
      <c r="F166" s="187">
        <v>795</v>
      </c>
      <c r="G166" s="187">
        <v>241</v>
      </c>
      <c r="H166" s="187">
        <v>3651</v>
      </c>
      <c r="I166" s="187">
        <v>3410</v>
      </c>
      <c r="J166" s="187">
        <v>10</v>
      </c>
      <c r="K166" s="187">
        <v>110.02</v>
      </c>
      <c r="L166" s="187">
        <v>108.98</v>
      </c>
      <c r="M166" s="187">
        <v>5.33</v>
      </c>
      <c r="N166" s="187">
        <v>113.43</v>
      </c>
      <c r="O166" s="187">
        <v>2003</v>
      </c>
      <c r="P166" s="187">
        <v>94.35</v>
      </c>
      <c r="Q166" s="187">
        <v>92.16</v>
      </c>
      <c r="R166" s="187">
        <v>16.190000000000001</v>
      </c>
      <c r="S166" s="187">
        <v>109.48</v>
      </c>
      <c r="T166" s="187">
        <v>766</v>
      </c>
      <c r="U166" s="187">
        <v>158.28</v>
      </c>
      <c r="V166" s="187">
        <v>553</v>
      </c>
      <c r="W166" s="187">
        <v>117.4</v>
      </c>
      <c r="X166" s="187">
        <v>1</v>
      </c>
      <c r="Y166" s="187">
        <v>0</v>
      </c>
      <c r="Z166" s="187">
        <v>1</v>
      </c>
      <c r="AA166" s="187">
        <v>0</v>
      </c>
      <c r="AB166" s="187">
        <v>25</v>
      </c>
      <c r="AC166" s="187">
        <v>3</v>
      </c>
      <c r="AD166" s="187">
        <v>2548</v>
      </c>
      <c r="AE166" s="187">
        <v>20</v>
      </c>
      <c r="AF166" s="187">
        <v>15</v>
      </c>
      <c r="AG166" s="187">
        <v>35</v>
      </c>
      <c r="AH166" s="187"/>
      <c r="AI166" s="187"/>
      <c r="AJ166" s="187"/>
      <c r="AK166" s="187"/>
      <c r="AL166" s="187"/>
      <c r="AM166" s="187"/>
      <c r="AN166" s="187"/>
      <c r="AO166" s="187"/>
      <c r="AP166" s="187"/>
      <c r="AQ166" s="187"/>
      <c r="AR166" s="187"/>
      <c r="AS166" s="187"/>
      <c r="AT166" s="187"/>
      <c r="AU166" s="187"/>
      <c r="AV166" s="187"/>
      <c r="AW166" s="187"/>
      <c r="AX166" s="187"/>
      <c r="AY166" s="187"/>
      <c r="AZ166" s="187"/>
      <c r="BA166" s="187"/>
      <c r="BB166" s="187"/>
      <c r="BC166" s="187"/>
      <c r="BD166" s="187"/>
      <c r="BE166" s="187"/>
      <c r="BF166" s="187"/>
      <c r="BG166" s="187"/>
      <c r="BH166" s="187"/>
      <c r="BI166" s="187"/>
      <c r="BJ166" s="187"/>
      <c r="BK166" s="187"/>
      <c r="BL166" s="187"/>
      <c r="BM166" s="187"/>
      <c r="BN166" s="187"/>
      <c r="BO166" s="187"/>
      <c r="BP166" s="187"/>
      <c r="BQ166" s="187"/>
      <c r="BR166" s="187"/>
      <c r="BS166" s="187"/>
      <c r="BT166" s="187"/>
      <c r="BU166" s="187"/>
      <c r="BV166" s="187"/>
      <c r="BW166" s="187"/>
      <c r="BX166" s="187"/>
      <c r="BY166" s="187"/>
      <c r="BZ166" s="187"/>
      <c r="CA166" s="187"/>
      <c r="CB166" s="187"/>
      <c r="CC166" s="187"/>
      <c r="CD166" s="187"/>
      <c r="CE166" s="187"/>
      <c r="CF166" s="187"/>
      <c r="CG166" s="187"/>
      <c r="CH166" s="187"/>
      <c r="CI166" s="187"/>
      <c r="CJ166" s="187"/>
      <c r="CK166" s="187"/>
      <c r="CL166" s="187"/>
      <c r="CM166" s="187"/>
      <c r="CN166" s="187"/>
      <c r="CO166" s="187"/>
      <c r="CP166" s="187"/>
      <c r="CQ166" s="187"/>
      <c r="CR166" s="187"/>
      <c r="CS166" s="187"/>
      <c r="CT166" s="187"/>
      <c r="CU166" s="187"/>
      <c r="CV166" s="187"/>
      <c r="CW166" s="187"/>
      <c r="CX166" s="187"/>
      <c r="CY166" s="187"/>
      <c r="CZ166" s="187"/>
      <c r="DA166" s="187"/>
      <c r="DB166" s="187"/>
      <c r="DC166" s="187"/>
      <c r="DD166" s="187"/>
      <c r="DE166" s="187"/>
      <c r="DF166" s="187"/>
      <c r="DG166" s="187"/>
      <c r="DH166" s="187"/>
      <c r="DI166" s="187"/>
      <c r="DJ166" s="187"/>
      <c r="DK166" s="187"/>
      <c r="DL166" s="187"/>
      <c r="DM166" s="187"/>
      <c r="DN166" s="187"/>
      <c r="DO166" s="187"/>
      <c r="DP166" s="187"/>
      <c r="DQ166" s="187"/>
      <c r="DR166" s="187"/>
      <c r="DS166" s="187"/>
      <c r="DT166" s="187"/>
      <c r="DU166" s="187"/>
      <c r="DV166" s="187"/>
      <c r="DW166" s="187"/>
      <c r="DX166" s="187"/>
      <c r="DY166" s="187"/>
      <c r="DZ166" s="187"/>
      <c r="EA166" s="187"/>
      <c r="EB166" s="187"/>
      <c r="EC166" s="187"/>
      <c r="ED166" s="187"/>
      <c r="EE166" s="187"/>
      <c r="EF166" s="187"/>
      <c r="EG166" s="187"/>
      <c r="EH166" s="187"/>
      <c r="EI166" s="187"/>
      <c r="EJ166" s="187"/>
      <c r="EK166" s="187"/>
      <c r="EL166" s="187"/>
      <c r="EM166" s="187"/>
      <c r="EN166" s="187"/>
      <c r="EO166" s="187"/>
      <c r="EP166" s="187"/>
      <c r="EQ166" s="187"/>
      <c r="ER166" s="187"/>
      <c r="ES166" s="187"/>
      <c r="ET166" s="187"/>
      <c r="EU166" s="187"/>
      <c r="EV166" s="187"/>
      <c r="EW166" s="187"/>
      <c r="EX166" s="187"/>
      <c r="EY166" s="187"/>
      <c r="EZ166" s="187"/>
      <c r="FA166" s="187"/>
      <c r="FB166" s="187"/>
      <c r="FC166" s="187"/>
    </row>
    <row r="167" spans="1:159" ht="15" x14ac:dyDescent="0.25">
      <c r="A167" s="187" t="s">
        <v>390</v>
      </c>
      <c r="B167" s="187" t="s">
        <v>391</v>
      </c>
      <c r="C167" s="187">
        <v>4721</v>
      </c>
      <c r="D167" s="187">
        <v>0</v>
      </c>
      <c r="E167" s="187">
        <v>78</v>
      </c>
      <c r="F167" s="187">
        <v>594</v>
      </c>
      <c r="G167" s="187">
        <v>540</v>
      </c>
      <c r="H167" s="187">
        <v>5933</v>
      </c>
      <c r="I167" s="187">
        <v>5393</v>
      </c>
      <c r="J167" s="187">
        <v>21</v>
      </c>
      <c r="K167" s="187">
        <v>103.22</v>
      </c>
      <c r="L167" s="187">
        <v>102.79</v>
      </c>
      <c r="M167" s="187">
        <v>4.16</v>
      </c>
      <c r="N167" s="187">
        <v>107.02</v>
      </c>
      <c r="O167" s="187">
        <v>4210</v>
      </c>
      <c r="P167" s="187">
        <v>97.9</v>
      </c>
      <c r="Q167" s="187">
        <v>96.99</v>
      </c>
      <c r="R167" s="187">
        <v>32.64</v>
      </c>
      <c r="S167" s="187">
        <v>130.38</v>
      </c>
      <c r="T167" s="187">
        <v>608</v>
      </c>
      <c r="U167" s="187">
        <v>127.18</v>
      </c>
      <c r="V167" s="187">
        <v>429</v>
      </c>
      <c r="W167" s="187">
        <v>205.96</v>
      </c>
      <c r="X167" s="187">
        <v>60</v>
      </c>
      <c r="Y167" s="187">
        <v>0</v>
      </c>
      <c r="Z167" s="187">
        <v>6</v>
      </c>
      <c r="AA167" s="187">
        <v>1</v>
      </c>
      <c r="AB167" s="187">
        <v>38</v>
      </c>
      <c r="AC167" s="187">
        <v>7</v>
      </c>
      <c r="AD167" s="187">
        <v>4709</v>
      </c>
      <c r="AE167" s="187">
        <v>28</v>
      </c>
      <c r="AF167" s="187">
        <v>2</v>
      </c>
      <c r="AG167" s="187">
        <v>30</v>
      </c>
      <c r="AH167" s="187"/>
      <c r="AI167" s="187"/>
      <c r="AJ167" s="187"/>
      <c r="AK167" s="187"/>
      <c r="AL167" s="187"/>
      <c r="AM167" s="187"/>
      <c r="AN167" s="187"/>
      <c r="AO167" s="187"/>
      <c r="AP167" s="187"/>
      <c r="AQ167" s="187"/>
      <c r="AR167" s="187"/>
      <c r="AS167" s="187"/>
      <c r="AT167" s="187"/>
      <c r="AU167" s="187"/>
      <c r="AV167" s="187"/>
      <c r="AW167" s="187"/>
      <c r="AX167" s="187"/>
      <c r="AY167" s="187"/>
      <c r="AZ167" s="187"/>
      <c r="BA167" s="187"/>
      <c r="BB167" s="187"/>
      <c r="BC167" s="187"/>
      <c r="BD167" s="187"/>
      <c r="BE167" s="187"/>
      <c r="BF167" s="187"/>
      <c r="BG167" s="187"/>
      <c r="BH167" s="187"/>
      <c r="BI167" s="187"/>
      <c r="BJ167" s="187"/>
      <c r="BK167" s="187"/>
      <c r="BL167" s="187"/>
      <c r="BM167" s="187"/>
      <c r="BN167" s="187"/>
      <c r="BO167" s="187"/>
      <c r="BP167" s="187"/>
      <c r="BQ167" s="187"/>
      <c r="BR167" s="187"/>
      <c r="BS167" s="187"/>
      <c r="BT167" s="187"/>
      <c r="BU167" s="187"/>
      <c r="BV167" s="187"/>
      <c r="BW167" s="187"/>
      <c r="BX167" s="187"/>
      <c r="BY167" s="187"/>
      <c r="BZ167" s="187"/>
      <c r="CA167" s="187"/>
      <c r="CB167" s="187"/>
      <c r="CC167" s="187"/>
      <c r="CD167" s="187"/>
      <c r="CE167" s="187"/>
      <c r="CF167" s="187"/>
      <c r="CG167" s="187"/>
      <c r="CH167" s="187"/>
      <c r="CI167" s="187"/>
      <c r="CJ167" s="187"/>
      <c r="CK167" s="187"/>
      <c r="CL167" s="187"/>
      <c r="CM167" s="187"/>
      <c r="CN167" s="187"/>
      <c r="CO167" s="187"/>
      <c r="CP167" s="187"/>
      <c r="CQ167" s="187"/>
      <c r="CR167" s="187"/>
      <c r="CS167" s="187"/>
      <c r="CT167" s="187"/>
      <c r="CU167" s="187"/>
      <c r="CV167" s="187"/>
      <c r="CW167" s="187"/>
      <c r="CX167" s="187"/>
      <c r="CY167" s="187"/>
      <c r="CZ167" s="187"/>
      <c r="DA167" s="187"/>
      <c r="DB167" s="187"/>
      <c r="DC167" s="187"/>
      <c r="DD167" s="187"/>
      <c r="DE167" s="187"/>
      <c r="DF167" s="187"/>
      <c r="DG167" s="187"/>
      <c r="DH167" s="187"/>
      <c r="DI167" s="187"/>
      <c r="DJ167" s="187"/>
      <c r="DK167" s="187"/>
      <c r="DL167" s="187"/>
      <c r="DM167" s="187"/>
      <c r="DN167" s="187"/>
      <c r="DO167" s="187"/>
      <c r="DP167" s="187"/>
      <c r="DQ167" s="187"/>
      <c r="DR167" s="187"/>
      <c r="DS167" s="187"/>
      <c r="DT167" s="187"/>
      <c r="DU167" s="187"/>
      <c r="DV167" s="187"/>
      <c r="DW167" s="187"/>
      <c r="DX167" s="187"/>
      <c r="DY167" s="187"/>
      <c r="DZ167" s="187"/>
      <c r="EA167" s="187"/>
      <c r="EB167" s="187"/>
      <c r="EC167" s="187"/>
      <c r="ED167" s="187"/>
      <c r="EE167" s="187"/>
      <c r="EF167" s="187"/>
      <c r="EG167" s="187"/>
      <c r="EH167" s="187"/>
      <c r="EI167" s="187"/>
      <c r="EJ167" s="187"/>
      <c r="EK167" s="187"/>
      <c r="EL167" s="187"/>
      <c r="EM167" s="187"/>
      <c r="EN167" s="187"/>
      <c r="EO167" s="187"/>
      <c r="EP167" s="187"/>
      <c r="EQ167" s="187"/>
      <c r="ER167" s="187"/>
      <c r="ES167" s="187"/>
      <c r="ET167" s="187"/>
      <c r="EU167" s="187"/>
      <c r="EV167" s="187"/>
      <c r="EW167" s="187"/>
      <c r="EX167" s="187"/>
      <c r="EY167" s="187"/>
      <c r="EZ167" s="187"/>
      <c r="FA167" s="187"/>
      <c r="FB167" s="187"/>
      <c r="FC167" s="187"/>
    </row>
    <row r="168" spans="1:159" ht="15" x14ac:dyDescent="0.25">
      <c r="A168" s="187" t="s">
        <v>392</v>
      </c>
      <c r="B168" s="187" t="s">
        <v>393</v>
      </c>
      <c r="C168" s="187">
        <v>46165</v>
      </c>
      <c r="D168" s="187">
        <v>66</v>
      </c>
      <c r="E168" s="187">
        <v>1785</v>
      </c>
      <c r="F168" s="187">
        <v>3343</v>
      </c>
      <c r="G168" s="187">
        <v>1737</v>
      </c>
      <c r="H168" s="187">
        <v>53096</v>
      </c>
      <c r="I168" s="187">
        <v>51359</v>
      </c>
      <c r="J168" s="187">
        <v>83</v>
      </c>
      <c r="K168" s="187">
        <v>86.93</v>
      </c>
      <c r="L168" s="187">
        <v>88.85</v>
      </c>
      <c r="M168" s="187">
        <v>5.51</v>
      </c>
      <c r="N168" s="187">
        <v>89.11</v>
      </c>
      <c r="O168" s="187">
        <v>41944</v>
      </c>
      <c r="P168" s="187">
        <v>85.76</v>
      </c>
      <c r="Q168" s="187">
        <v>80.3</v>
      </c>
      <c r="R168" s="187">
        <v>45.92</v>
      </c>
      <c r="S168" s="187">
        <v>128.41</v>
      </c>
      <c r="T168" s="187">
        <v>4743</v>
      </c>
      <c r="U168" s="187">
        <v>119.59</v>
      </c>
      <c r="V168" s="187">
        <v>3311</v>
      </c>
      <c r="W168" s="187">
        <v>135.19</v>
      </c>
      <c r="X168" s="187">
        <v>124</v>
      </c>
      <c r="Y168" s="187">
        <v>2</v>
      </c>
      <c r="Z168" s="187">
        <v>266</v>
      </c>
      <c r="AA168" s="187">
        <v>9</v>
      </c>
      <c r="AB168" s="187">
        <v>124</v>
      </c>
      <c r="AC168" s="187">
        <v>62</v>
      </c>
      <c r="AD168" s="187">
        <v>45659</v>
      </c>
      <c r="AE168" s="187">
        <v>207</v>
      </c>
      <c r="AF168" s="187">
        <v>339</v>
      </c>
      <c r="AG168" s="187">
        <v>546</v>
      </c>
      <c r="AH168" s="187"/>
      <c r="AI168" s="187"/>
      <c r="AJ168" s="187"/>
      <c r="AK168" s="187"/>
      <c r="AL168" s="187"/>
      <c r="AM168" s="187"/>
      <c r="AN168" s="187"/>
      <c r="AO168" s="187"/>
      <c r="AP168" s="187"/>
      <c r="AQ168" s="187"/>
      <c r="AR168" s="187"/>
      <c r="AS168" s="187"/>
      <c r="AT168" s="187"/>
      <c r="AU168" s="187"/>
      <c r="AV168" s="187"/>
      <c r="AW168" s="187"/>
      <c r="AX168" s="187"/>
      <c r="AY168" s="187"/>
      <c r="AZ168" s="187"/>
      <c r="BA168" s="187"/>
      <c r="BB168" s="187"/>
      <c r="BC168" s="187"/>
      <c r="BD168" s="187"/>
      <c r="BE168" s="187"/>
      <c r="BF168" s="187"/>
      <c r="BG168" s="187"/>
      <c r="BH168" s="187"/>
      <c r="BI168" s="187"/>
      <c r="BJ168" s="187"/>
      <c r="BK168" s="187"/>
      <c r="BL168" s="187"/>
      <c r="BM168" s="187"/>
      <c r="BN168" s="187"/>
      <c r="BO168" s="187"/>
      <c r="BP168" s="187"/>
      <c r="BQ168" s="187"/>
      <c r="BR168" s="187"/>
      <c r="BS168" s="187"/>
      <c r="BT168" s="187"/>
      <c r="BU168" s="187"/>
      <c r="BV168" s="187"/>
      <c r="BW168" s="187"/>
      <c r="BX168" s="187"/>
      <c r="BY168" s="187"/>
      <c r="BZ168" s="187"/>
      <c r="CA168" s="187"/>
      <c r="CB168" s="187"/>
      <c r="CC168" s="187"/>
      <c r="CD168" s="187"/>
      <c r="CE168" s="187"/>
      <c r="CF168" s="187"/>
      <c r="CG168" s="187"/>
      <c r="CH168" s="187"/>
      <c r="CI168" s="187"/>
      <c r="CJ168" s="187"/>
      <c r="CK168" s="187"/>
      <c r="CL168" s="187"/>
      <c r="CM168" s="187"/>
      <c r="CN168" s="187"/>
      <c r="CO168" s="187"/>
      <c r="CP168" s="187"/>
      <c r="CQ168" s="187"/>
      <c r="CR168" s="187"/>
      <c r="CS168" s="187"/>
      <c r="CT168" s="187"/>
      <c r="CU168" s="187"/>
      <c r="CV168" s="187"/>
      <c r="CW168" s="187"/>
      <c r="CX168" s="187"/>
      <c r="CY168" s="187"/>
      <c r="CZ168" s="187"/>
      <c r="DA168" s="187"/>
      <c r="DB168" s="187"/>
      <c r="DC168" s="187"/>
      <c r="DD168" s="187"/>
      <c r="DE168" s="187"/>
      <c r="DF168" s="187"/>
      <c r="DG168" s="187"/>
      <c r="DH168" s="187"/>
      <c r="DI168" s="187"/>
      <c r="DJ168" s="187"/>
      <c r="DK168" s="187"/>
      <c r="DL168" s="187"/>
      <c r="DM168" s="187"/>
      <c r="DN168" s="187"/>
      <c r="DO168" s="187"/>
      <c r="DP168" s="187"/>
      <c r="DQ168" s="187"/>
      <c r="DR168" s="187"/>
      <c r="DS168" s="187"/>
      <c r="DT168" s="187"/>
      <c r="DU168" s="187"/>
      <c r="DV168" s="187"/>
      <c r="DW168" s="187"/>
      <c r="DX168" s="187"/>
      <c r="DY168" s="187"/>
      <c r="DZ168" s="187"/>
      <c r="EA168" s="187"/>
      <c r="EB168" s="187"/>
      <c r="EC168" s="187"/>
      <c r="ED168" s="187"/>
      <c r="EE168" s="187"/>
      <c r="EF168" s="187"/>
      <c r="EG168" s="187"/>
      <c r="EH168" s="187"/>
      <c r="EI168" s="187"/>
      <c r="EJ168" s="187"/>
      <c r="EK168" s="187"/>
      <c r="EL168" s="187"/>
      <c r="EM168" s="187"/>
      <c r="EN168" s="187"/>
      <c r="EO168" s="187"/>
      <c r="EP168" s="187"/>
      <c r="EQ168" s="187"/>
      <c r="ER168" s="187"/>
      <c r="ES168" s="187"/>
      <c r="ET168" s="187"/>
      <c r="EU168" s="187"/>
      <c r="EV168" s="187"/>
      <c r="EW168" s="187"/>
      <c r="EX168" s="187"/>
      <c r="EY168" s="187"/>
      <c r="EZ168" s="187"/>
      <c r="FA168" s="187"/>
      <c r="FB168" s="187"/>
      <c r="FC168" s="187"/>
    </row>
    <row r="169" spans="1:159" ht="15" x14ac:dyDescent="0.25">
      <c r="A169" s="187" t="s">
        <v>394</v>
      </c>
      <c r="B169" s="187" t="s">
        <v>395</v>
      </c>
      <c r="C169" s="187">
        <v>1731</v>
      </c>
      <c r="D169" s="187">
        <v>0</v>
      </c>
      <c r="E169" s="187">
        <v>330</v>
      </c>
      <c r="F169" s="187">
        <v>237</v>
      </c>
      <c r="G169" s="187">
        <v>138</v>
      </c>
      <c r="H169" s="187">
        <v>2436</v>
      </c>
      <c r="I169" s="187">
        <v>2298</v>
      </c>
      <c r="J169" s="187">
        <v>9</v>
      </c>
      <c r="K169" s="187">
        <v>87.31</v>
      </c>
      <c r="L169" s="187">
        <v>84.43</v>
      </c>
      <c r="M169" s="187">
        <v>6.76</v>
      </c>
      <c r="N169" s="187">
        <v>90.48</v>
      </c>
      <c r="O169" s="187">
        <v>1627</v>
      </c>
      <c r="P169" s="187">
        <v>121.51</v>
      </c>
      <c r="Q169" s="187">
        <v>81.89</v>
      </c>
      <c r="R169" s="187">
        <v>87.63</v>
      </c>
      <c r="S169" s="187">
        <v>205.32</v>
      </c>
      <c r="T169" s="187">
        <v>368</v>
      </c>
      <c r="U169" s="187">
        <v>104.29</v>
      </c>
      <c r="V169" s="187">
        <v>99</v>
      </c>
      <c r="W169" s="187">
        <v>0</v>
      </c>
      <c r="X169" s="187">
        <v>0</v>
      </c>
      <c r="Y169" s="187">
        <v>0</v>
      </c>
      <c r="Z169" s="187">
        <v>0</v>
      </c>
      <c r="AA169" s="187">
        <v>2</v>
      </c>
      <c r="AB169" s="187">
        <v>13</v>
      </c>
      <c r="AC169" s="187">
        <v>2</v>
      </c>
      <c r="AD169" s="187">
        <v>1731</v>
      </c>
      <c r="AE169" s="187">
        <v>3</v>
      </c>
      <c r="AF169" s="187">
        <v>4</v>
      </c>
      <c r="AG169" s="187">
        <v>7</v>
      </c>
      <c r="AH169" s="187"/>
      <c r="AI169" s="187"/>
      <c r="AJ169" s="187"/>
      <c r="AK169" s="187"/>
      <c r="AL169" s="187"/>
      <c r="AM169" s="187"/>
      <c r="AN169" s="187"/>
      <c r="AO169" s="187"/>
      <c r="AP169" s="187"/>
      <c r="AQ169" s="187"/>
      <c r="AR169" s="187"/>
      <c r="AS169" s="187"/>
      <c r="AT169" s="187"/>
      <c r="AU169" s="187"/>
      <c r="AV169" s="187"/>
      <c r="AW169" s="187"/>
      <c r="AX169" s="187"/>
      <c r="AY169" s="187"/>
      <c r="AZ169" s="187"/>
      <c r="BA169" s="187"/>
      <c r="BB169" s="187"/>
      <c r="BC169" s="187"/>
      <c r="BD169" s="187"/>
      <c r="BE169" s="187"/>
      <c r="BF169" s="187"/>
      <c r="BG169" s="187"/>
      <c r="BH169" s="187"/>
      <c r="BI169" s="187"/>
      <c r="BJ169" s="187"/>
      <c r="BK169" s="187"/>
      <c r="BL169" s="187"/>
      <c r="BM169" s="187"/>
      <c r="BN169" s="187"/>
      <c r="BO169" s="187"/>
      <c r="BP169" s="187"/>
      <c r="BQ169" s="187"/>
      <c r="BR169" s="187"/>
      <c r="BS169" s="187"/>
      <c r="BT169" s="187"/>
      <c r="BU169" s="187"/>
      <c r="BV169" s="187"/>
      <c r="BW169" s="187"/>
      <c r="BX169" s="187"/>
      <c r="BY169" s="187"/>
      <c r="BZ169" s="187"/>
      <c r="CA169" s="187"/>
      <c r="CB169" s="187"/>
      <c r="CC169" s="187"/>
      <c r="CD169" s="187"/>
      <c r="CE169" s="187"/>
      <c r="CF169" s="187"/>
      <c r="CG169" s="187"/>
      <c r="CH169" s="187"/>
      <c r="CI169" s="187"/>
      <c r="CJ169" s="187"/>
      <c r="CK169" s="187"/>
      <c r="CL169" s="187"/>
      <c r="CM169" s="187"/>
      <c r="CN169" s="187"/>
      <c r="CO169" s="187"/>
      <c r="CP169" s="187"/>
      <c r="CQ169" s="187"/>
      <c r="CR169" s="187"/>
      <c r="CS169" s="187"/>
      <c r="CT169" s="187"/>
      <c r="CU169" s="187"/>
      <c r="CV169" s="187"/>
      <c r="CW169" s="187"/>
      <c r="CX169" s="187"/>
      <c r="CY169" s="187"/>
      <c r="CZ169" s="187"/>
      <c r="DA169" s="187"/>
      <c r="DB169" s="187"/>
      <c r="DC169" s="187"/>
      <c r="DD169" s="187"/>
      <c r="DE169" s="187"/>
      <c r="DF169" s="187"/>
      <c r="DG169" s="187"/>
      <c r="DH169" s="187"/>
      <c r="DI169" s="187"/>
      <c r="DJ169" s="187"/>
      <c r="DK169" s="187"/>
      <c r="DL169" s="187"/>
      <c r="DM169" s="187"/>
      <c r="DN169" s="187"/>
      <c r="DO169" s="187"/>
      <c r="DP169" s="187"/>
      <c r="DQ169" s="187"/>
      <c r="DR169" s="187"/>
      <c r="DS169" s="187"/>
      <c r="DT169" s="187"/>
      <c r="DU169" s="187"/>
      <c r="DV169" s="187"/>
      <c r="DW169" s="187"/>
      <c r="DX169" s="187"/>
      <c r="DY169" s="187"/>
      <c r="DZ169" s="187"/>
      <c r="EA169" s="187"/>
      <c r="EB169" s="187"/>
      <c r="EC169" s="187"/>
      <c r="ED169" s="187"/>
      <c r="EE169" s="187"/>
      <c r="EF169" s="187"/>
      <c r="EG169" s="187"/>
      <c r="EH169" s="187"/>
      <c r="EI169" s="187"/>
      <c r="EJ169" s="187"/>
      <c r="EK169" s="187"/>
      <c r="EL169" s="187"/>
      <c r="EM169" s="187"/>
      <c r="EN169" s="187"/>
      <c r="EO169" s="187"/>
      <c r="EP169" s="187"/>
      <c r="EQ169" s="187"/>
      <c r="ER169" s="187"/>
      <c r="ES169" s="187"/>
      <c r="ET169" s="187"/>
      <c r="EU169" s="187"/>
      <c r="EV169" s="187"/>
      <c r="EW169" s="187"/>
      <c r="EX169" s="187"/>
      <c r="EY169" s="187"/>
      <c r="EZ169" s="187"/>
      <c r="FA169" s="187"/>
      <c r="FB169" s="187"/>
      <c r="FC169" s="187"/>
    </row>
    <row r="170" spans="1:159" ht="15" x14ac:dyDescent="0.25">
      <c r="A170" s="187" t="s">
        <v>396</v>
      </c>
      <c r="B170" s="187" t="s">
        <v>397</v>
      </c>
      <c r="C170" s="187">
        <v>4094</v>
      </c>
      <c r="D170" s="187">
        <v>0</v>
      </c>
      <c r="E170" s="187">
        <v>379</v>
      </c>
      <c r="F170" s="187">
        <v>951</v>
      </c>
      <c r="G170" s="187">
        <v>1421</v>
      </c>
      <c r="H170" s="187">
        <v>6845</v>
      </c>
      <c r="I170" s="187">
        <v>5424</v>
      </c>
      <c r="J170" s="187">
        <v>19</v>
      </c>
      <c r="K170" s="187">
        <v>106.73</v>
      </c>
      <c r="L170" s="187">
        <v>103.58</v>
      </c>
      <c r="M170" s="187">
        <v>8.98</v>
      </c>
      <c r="N170" s="187">
        <v>114.08</v>
      </c>
      <c r="O170" s="187">
        <v>2838</v>
      </c>
      <c r="P170" s="187">
        <v>103.63</v>
      </c>
      <c r="Q170" s="187">
        <v>90.7</v>
      </c>
      <c r="R170" s="187">
        <v>45.13</v>
      </c>
      <c r="S170" s="187">
        <v>147.11000000000001</v>
      </c>
      <c r="T170" s="187">
        <v>1093</v>
      </c>
      <c r="U170" s="187">
        <v>145.13999999999999</v>
      </c>
      <c r="V170" s="187">
        <v>904</v>
      </c>
      <c r="W170" s="187">
        <v>145.71</v>
      </c>
      <c r="X170" s="187">
        <v>55</v>
      </c>
      <c r="Y170" s="187">
        <v>0</v>
      </c>
      <c r="Z170" s="187">
        <v>1</v>
      </c>
      <c r="AA170" s="187">
        <v>5</v>
      </c>
      <c r="AB170" s="187">
        <v>25</v>
      </c>
      <c r="AC170" s="187">
        <v>31</v>
      </c>
      <c r="AD170" s="187">
        <v>3707</v>
      </c>
      <c r="AE170" s="187">
        <v>62</v>
      </c>
      <c r="AF170" s="187">
        <v>16</v>
      </c>
      <c r="AG170" s="187">
        <v>78</v>
      </c>
      <c r="AH170" s="187"/>
      <c r="AI170" s="187"/>
      <c r="AJ170" s="187"/>
      <c r="AK170" s="187"/>
      <c r="AL170" s="187"/>
      <c r="AM170" s="187"/>
      <c r="AN170" s="187"/>
      <c r="AO170" s="187"/>
      <c r="AP170" s="187"/>
      <c r="AQ170" s="187"/>
      <c r="AR170" s="187"/>
      <c r="AS170" s="187"/>
      <c r="AT170" s="187"/>
      <c r="AU170" s="187"/>
      <c r="AV170" s="187"/>
      <c r="AW170" s="187"/>
      <c r="AX170" s="187"/>
      <c r="AY170" s="187"/>
      <c r="AZ170" s="187"/>
      <c r="BA170" s="187"/>
      <c r="BB170" s="187"/>
      <c r="BC170" s="187"/>
      <c r="BD170" s="187"/>
      <c r="BE170" s="187"/>
      <c r="BF170" s="187"/>
      <c r="BG170" s="187"/>
      <c r="BH170" s="187"/>
      <c r="BI170" s="187"/>
      <c r="BJ170" s="187"/>
      <c r="BK170" s="187"/>
      <c r="BL170" s="187"/>
      <c r="BM170" s="187"/>
      <c r="BN170" s="187"/>
      <c r="BO170" s="187"/>
      <c r="BP170" s="187"/>
      <c r="BQ170" s="187"/>
      <c r="BR170" s="187"/>
      <c r="BS170" s="187"/>
      <c r="BT170" s="187"/>
      <c r="BU170" s="187"/>
      <c r="BV170" s="187"/>
      <c r="BW170" s="187"/>
      <c r="BX170" s="187"/>
      <c r="BY170" s="187"/>
      <c r="BZ170" s="187"/>
      <c r="CA170" s="187"/>
      <c r="CB170" s="187"/>
      <c r="CC170" s="187"/>
      <c r="CD170" s="187"/>
      <c r="CE170" s="187"/>
      <c r="CF170" s="187"/>
      <c r="CG170" s="187"/>
      <c r="CH170" s="187"/>
      <c r="CI170" s="187"/>
      <c r="CJ170" s="187"/>
      <c r="CK170" s="187"/>
      <c r="CL170" s="187"/>
      <c r="CM170" s="187"/>
      <c r="CN170" s="187"/>
      <c r="CO170" s="187"/>
      <c r="CP170" s="187"/>
      <c r="CQ170" s="187"/>
      <c r="CR170" s="187"/>
      <c r="CS170" s="187"/>
      <c r="CT170" s="187"/>
      <c r="CU170" s="187"/>
      <c r="CV170" s="187"/>
      <c r="CW170" s="187"/>
      <c r="CX170" s="187"/>
      <c r="CY170" s="187"/>
      <c r="CZ170" s="187"/>
      <c r="DA170" s="187"/>
      <c r="DB170" s="187"/>
      <c r="DC170" s="187"/>
      <c r="DD170" s="187"/>
      <c r="DE170" s="187"/>
      <c r="DF170" s="187"/>
      <c r="DG170" s="187"/>
      <c r="DH170" s="187"/>
      <c r="DI170" s="187"/>
      <c r="DJ170" s="187"/>
      <c r="DK170" s="187"/>
      <c r="DL170" s="187"/>
      <c r="DM170" s="187"/>
      <c r="DN170" s="187"/>
      <c r="DO170" s="187"/>
      <c r="DP170" s="187"/>
      <c r="DQ170" s="187"/>
      <c r="DR170" s="187"/>
      <c r="DS170" s="187"/>
      <c r="DT170" s="187"/>
      <c r="DU170" s="187"/>
      <c r="DV170" s="187"/>
      <c r="DW170" s="187"/>
      <c r="DX170" s="187"/>
      <c r="DY170" s="187"/>
      <c r="DZ170" s="187"/>
      <c r="EA170" s="187"/>
      <c r="EB170" s="187"/>
      <c r="EC170" s="187"/>
      <c r="ED170" s="187"/>
      <c r="EE170" s="187"/>
      <c r="EF170" s="187"/>
      <c r="EG170" s="187"/>
      <c r="EH170" s="187"/>
      <c r="EI170" s="187"/>
      <c r="EJ170" s="187"/>
      <c r="EK170" s="187"/>
      <c r="EL170" s="187"/>
      <c r="EM170" s="187"/>
      <c r="EN170" s="187"/>
      <c r="EO170" s="187"/>
      <c r="EP170" s="187"/>
      <c r="EQ170" s="187"/>
      <c r="ER170" s="187"/>
      <c r="ES170" s="187"/>
      <c r="ET170" s="187"/>
      <c r="EU170" s="187"/>
      <c r="EV170" s="187"/>
      <c r="EW170" s="187"/>
      <c r="EX170" s="187"/>
      <c r="EY170" s="187"/>
      <c r="EZ170" s="187"/>
      <c r="FA170" s="187"/>
      <c r="FB170" s="187"/>
      <c r="FC170" s="187"/>
    </row>
    <row r="171" spans="1:159" ht="15" x14ac:dyDescent="0.25">
      <c r="A171" s="187" t="s">
        <v>398</v>
      </c>
      <c r="B171" s="187" t="s">
        <v>399</v>
      </c>
      <c r="C171" s="187">
        <v>708</v>
      </c>
      <c r="D171" s="187">
        <v>0</v>
      </c>
      <c r="E171" s="187">
        <v>52</v>
      </c>
      <c r="F171" s="187">
        <v>77</v>
      </c>
      <c r="G171" s="187">
        <v>288</v>
      </c>
      <c r="H171" s="187">
        <v>1125</v>
      </c>
      <c r="I171" s="187">
        <v>837</v>
      </c>
      <c r="J171" s="187">
        <v>2</v>
      </c>
      <c r="K171" s="187">
        <v>97.91</v>
      </c>
      <c r="L171" s="187">
        <v>95.53</v>
      </c>
      <c r="M171" s="187">
        <v>2.95</v>
      </c>
      <c r="N171" s="187">
        <v>100.18</v>
      </c>
      <c r="O171" s="187">
        <v>382</v>
      </c>
      <c r="P171" s="187">
        <v>97.38</v>
      </c>
      <c r="Q171" s="187">
        <v>84.45</v>
      </c>
      <c r="R171" s="187">
        <v>69.69</v>
      </c>
      <c r="S171" s="187">
        <v>165.87</v>
      </c>
      <c r="T171" s="187">
        <v>116</v>
      </c>
      <c r="U171" s="187">
        <v>122.56</v>
      </c>
      <c r="V171" s="187">
        <v>304</v>
      </c>
      <c r="W171" s="187">
        <v>0</v>
      </c>
      <c r="X171" s="187">
        <v>0</v>
      </c>
      <c r="Y171" s="187">
        <v>0</v>
      </c>
      <c r="Z171" s="187">
        <v>0</v>
      </c>
      <c r="AA171" s="187">
        <v>0</v>
      </c>
      <c r="AB171" s="187">
        <v>8</v>
      </c>
      <c r="AC171" s="187">
        <v>6</v>
      </c>
      <c r="AD171" s="187">
        <v>708</v>
      </c>
      <c r="AE171" s="187">
        <v>34</v>
      </c>
      <c r="AF171" s="187">
        <v>3</v>
      </c>
      <c r="AG171" s="187">
        <v>37</v>
      </c>
      <c r="AH171" s="187"/>
      <c r="AI171" s="187"/>
      <c r="AJ171" s="187"/>
      <c r="AK171" s="187"/>
      <c r="AL171" s="187"/>
      <c r="AM171" s="187"/>
      <c r="AN171" s="187"/>
      <c r="AO171" s="187"/>
      <c r="AP171" s="187"/>
      <c r="AQ171" s="187"/>
      <c r="AR171" s="187"/>
      <c r="AS171" s="187"/>
      <c r="AT171" s="187"/>
      <c r="AU171" s="187"/>
      <c r="AV171" s="187"/>
      <c r="AW171" s="187"/>
      <c r="AX171" s="187"/>
      <c r="AY171" s="187"/>
      <c r="AZ171" s="187"/>
      <c r="BA171" s="187"/>
      <c r="BB171" s="187"/>
      <c r="BC171" s="187"/>
      <c r="BD171" s="187"/>
      <c r="BE171" s="187"/>
      <c r="BF171" s="187"/>
      <c r="BG171" s="187"/>
      <c r="BH171" s="187"/>
      <c r="BI171" s="187"/>
      <c r="BJ171" s="187"/>
      <c r="BK171" s="187"/>
      <c r="BL171" s="187"/>
      <c r="BM171" s="187"/>
      <c r="BN171" s="187"/>
      <c r="BO171" s="187"/>
      <c r="BP171" s="187"/>
      <c r="BQ171" s="187"/>
      <c r="BR171" s="187"/>
      <c r="BS171" s="187"/>
      <c r="BT171" s="187"/>
      <c r="BU171" s="187"/>
      <c r="BV171" s="187"/>
      <c r="BW171" s="187"/>
      <c r="BX171" s="187"/>
      <c r="BY171" s="187"/>
      <c r="BZ171" s="187"/>
      <c r="CA171" s="187"/>
      <c r="CB171" s="187"/>
      <c r="CC171" s="187"/>
      <c r="CD171" s="187"/>
      <c r="CE171" s="187"/>
      <c r="CF171" s="187"/>
      <c r="CG171" s="187"/>
      <c r="CH171" s="187"/>
      <c r="CI171" s="187"/>
      <c r="CJ171" s="187"/>
      <c r="CK171" s="187"/>
      <c r="CL171" s="187"/>
      <c r="CM171" s="187"/>
      <c r="CN171" s="187"/>
      <c r="CO171" s="187"/>
      <c r="CP171" s="187"/>
      <c r="CQ171" s="187"/>
      <c r="CR171" s="187"/>
      <c r="CS171" s="187"/>
      <c r="CT171" s="187"/>
      <c r="CU171" s="187"/>
      <c r="CV171" s="187"/>
      <c r="CW171" s="187"/>
      <c r="CX171" s="187"/>
      <c r="CY171" s="187"/>
      <c r="CZ171" s="187"/>
      <c r="DA171" s="187"/>
      <c r="DB171" s="187"/>
      <c r="DC171" s="187"/>
      <c r="DD171" s="187"/>
      <c r="DE171" s="187"/>
      <c r="DF171" s="187"/>
      <c r="DG171" s="187"/>
      <c r="DH171" s="187"/>
      <c r="DI171" s="187"/>
      <c r="DJ171" s="187"/>
      <c r="DK171" s="187"/>
      <c r="DL171" s="187"/>
      <c r="DM171" s="187"/>
      <c r="DN171" s="187"/>
      <c r="DO171" s="187"/>
      <c r="DP171" s="187"/>
      <c r="DQ171" s="187"/>
      <c r="DR171" s="187"/>
      <c r="DS171" s="187"/>
      <c r="DT171" s="187"/>
      <c r="DU171" s="187"/>
      <c r="DV171" s="187"/>
      <c r="DW171" s="187"/>
      <c r="DX171" s="187"/>
      <c r="DY171" s="187"/>
      <c r="DZ171" s="187"/>
      <c r="EA171" s="187"/>
      <c r="EB171" s="187"/>
      <c r="EC171" s="187"/>
      <c r="ED171" s="187"/>
      <c r="EE171" s="187"/>
      <c r="EF171" s="187"/>
      <c r="EG171" s="187"/>
      <c r="EH171" s="187"/>
      <c r="EI171" s="187"/>
      <c r="EJ171" s="187"/>
      <c r="EK171" s="187"/>
      <c r="EL171" s="187"/>
      <c r="EM171" s="187"/>
      <c r="EN171" s="187"/>
      <c r="EO171" s="187"/>
      <c r="EP171" s="187"/>
      <c r="EQ171" s="187"/>
      <c r="ER171" s="187"/>
      <c r="ES171" s="187"/>
      <c r="ET171" s="187"/>
      <c r="EU171" s="187"/>
      <c r="EV171" s="187"/>
      <c r="EW171" s="187"/>
      <c r="EX171" s="187"/>
      <c r="EY171" s="187"/>
      <c r="EZ171" s="187"/>
      <c r="FA171" s="187"/>
      <c r="FB171" s="187"/>
      <c r="FC171" s="187"/>
    </row>
    <row r="172" spans="1:159" ht="15" x14ac:dyDescent="0.25">
      <c r="A172" s="187" t="s">
        <v>400</v>
      </c>
      <c r="B172" s="187" t="s">
        <v>401</v>
      </c>
      <c r="C172" s="187">
        <v>5270</v>
      </c>
      <c r="D172" s="187">
        <v>0</v>
      </c>
      <c r="E172" s="187">
        <v>296</v>
      </c>
      <c r="F172" s="187">
        <v>1013</v>
      </c>
      <c r="G172" s="187">
        <v>672</v>
      </c>
      <c r="H172" s="187">
        <v>7251</v>
      </c>
      <c r="I172" s="187">
        <v>6579</v>
      </c>
      <c r="J172" s="187">
        <v>4</v>
      </c>
      <c r="K172" s="187">
        <v>99.93</v>
      </c>
      <c r="L172" s="187">
        <v>99.03</v>
      </c>
      <c r="M172" s="187">
        <v>5.08</v>
      </c>
      <c r="N172" s="187">
        <v>102.65</v>
      </c>
      <c r="O172" s="187">
        <v>4428</v>
      </c>
      <c r="P172" s="187">
        <v>92.71</v>
      </c>
      <c r="Q172" s="187">
        <v>88.75</v>
      </c>
      <c r="R172" s="187">
        <v>32.46</v>
      </c>
      <c r="S172" s="187">
        <v>124.78</v>
      </c>
      <c r="T172" s="187">
        <v>1102</v>
      </c>
      <c r="U172" s="187">
        <v>127.47</v>
      </c>
      <c r="V172" s="187">
        <v>762</v>
      </c>
      <c r="W172" s="187">
        <v>116.33</v>
      </c>
      <c r="X172" s="187">
        <v>48</v>
      </c>
      <c r="Y172" s="187">
        <v>0</v>
      </c>
      <c r="Z172" s="187">
        <v>7</v>
      </c>
      <c r="AA172" s="187">
        <v>18</v>
      </c>
      <c r="AB172" s="187">
        <v>62</v>
      </c>
      <c r="AC172" s="187">
        <v>15</v>
      </c>
      <c r="AD172" s="187">
        <v>5200</v>
      </c>
      <c r="AE172" s="187">
        <v>10</v>
      </c>
      <c r="AF172" s="187">
        <v>37</v>
      </c>
      <c r="AG172" s="187">
        <v>47</v>
      </c>
      <c r="AH172" s="187"/>
      <c r="AI172" s="187"/>
      <c r="AJ172" s="187"/>
      <c r="AK172" s="187"/>
      <c r="AL172" s="187"/>
      <c r="AM172" s="187"/>
      <c r="AN172" s="187"/>
      <c r="AO172" s="187"/>
      <c r="AP172" s="187"/>
      <c r="AQ172" s="187"/>
      <c r="AR172" s="187"/>
      <c r="AS172" s="187"/>
      <c r="AT172" s="187"/>
      <c r="AU172" s="187"/>
      <c r="AV172" s="187"/>
      <c r="AW172" s="187"/>
      <c r="AX172" s="187"/>
      <c r="AY172" s="187"/>
      <c r="AZ172" s="187"/>
      <c r="BA172" s="187"/>
      <c r="BB172" s="187"/>
      <c r="BC172" s="187"/>
      <c r="BD172" s="187"/>
      <c r="BE172" s="187"/>
      <c r="BF172" s="187"/>
      <c r="BG172" s="187"/>
      <c r="BH172" s="187"/>
      <c r="BI172" s="187"/>
      <c r="BJ172" s="187"/>
      <c r="BK172" s="187"/>
      <c r="BL172" s="187"/>
      <c r="BM172" s="187"/>
      <c r="BN172" s="187"/>
      <c r="BO172" s="187"/>
      <c r="BP172" s="187"/>
      <c r="BQ172" s="187"/>
      <c r="BR172" s="187"/>
      <c r="BS172" s="187"/>
      <c r="BT172" s="187"/>
      <c r="BU172" s="187"/>
      <c r="BV172" s="187"/>
      <c r="BW172" s="187"/>
      <c r="BX172" s="187"/>
      <c r="BY172" s="187"/>
      <c r="BZ172" s="187"/>
      <c r="CA172" s="187"/>
      <c r="CB172" s="187"/>
      <c r="CC172" s="187"/>
      <c r="CD172" s="187"/>
      <c r="CE172" s="187"/>
      <c r="CF172" s="187"/>
      <c r="CG172" s="187"/>
      <c r="CH172" s="187"/>
      <c r="CI172" s="187"/>
      <c r="CJ172" s="187"/>
      <c r="CK172" s="187"/>
      <c r="CL172" s="187"/>
      <c r="CM172" s="187"/>
      <c r="CN172" s="187"/>
      <c r="CO172" s="187"/>
      <c r="CP172" s="187"/>
      <c r="CQ172" s="187"/>
      <c r="CR172" s="187"/>
      <c r="CS172" s="187"/>
      <c r="CT172" s="187"/>
      <c r="CU172" s="187"/>
      <c r="CV172" s="187"/>
      <c r="CW172" s="187"/>
      <c r="CX172" s="187"/>
      <c r="CY172" s="187"/>
      <c r="CZ172" s="187"/>
      <c r="DA172" s="187"/>
      <c r="DB172" s="187"/>
      <c r="DC172" s="187"/>
      <c r="DD172" s="187"/>
      <c r="DE172" s="187"/>
      <c r="DF172" s="187"/>
      <c r="DG172" s="187"/>
      <c r="DH172" s="187"/>
      <c r="DI172" s="187"/>
      <c r="DJ172" s="187"/>
      <c r="DK172" s="187"/>
      <c r="DL172" s="187"/>
      <c r="DM172" s="187"/>
      <c r="DN172" s="187"/>
      <c r="DO172" s="187"/>
      <c r="DP172" s="187"/>
      <c r="DQ172" s="187"/>
      <c r="DR172" s="187"/>
      <c r="DS172" s="187"/>
      <c r="DT172" s="187"/>
      <c r="DU172" s="187"/>
      <c r="DV172" s="187"/>
      <c r="DW172" s="187"/>
      <c r="DX172" s="187"/>
      <c r="DY172" s="187"/>
      <c r="DZ172" s="187"/>
      <c r="EA172" s="187"/>
      <c r="EB172" s="187"/>
      <c r="EC172" s="187"/>
      <c r="ED172" s="187"/>
      <c r="EE172" s="187"/>
      <c r="EF172" s="187"/>
      <c r="EG172" s="187"/>
      <c r="EH172" s="187"/>
      <c r="EI172" s="187"/>
      <c r="EJ172" s="187"/>
      <c r="EK172" s="187"/>
      <c r="EL172" s="187"/>
      <c r="EM172" s="187"/>
      <c r="EN172" s="187"/>
      <c r="EO172" s="187"/>
      <c r="EP172" s="187"/>
      <c r="EQ172" s="187"/>
      <c r="ER172" s="187"/>
      <c r="ES172" s="187"/>
      <c r="ET172" s="187"/>
      <c r="EU172" s="187"/>
      <c r="EV172" s="187"/>
      <c r="EW172" s="187"/>
      <c r="EX172" s="187"/>
      <c r="EY172" s="187"/>
      <c r="EZ172" s="187"/>
      <c r="FA172" s="187"/>
      <c r="FB172" s="187"/>
      <c r="FC172" s="187"/>
    </row>
    <row r="173" spans="1:159" ht="15" x14ac:dyDescent="0.25">
      <c r="A173" s="187" t="s">
        <v>402</v>
      </c>
      <c r="B173" s="187" t="s">
        <v>403</v>
      </c>
      <c r="C173" s="187">
        <v>10279</v>
      </c>
      <c r="D173" s="187">
        <v>31</v>
      </c>
      <c r="E173" s="187">
        <v>382</v>
      </c>
      <c r="F173" s="187">
        <v>696</v>
      </c>
      <c r="G173" s="187">
        <v>1068</v>
      </c>
      <c r="H173" s="187">
        <v>12456</v>
      </c>
      <c r="I173" s="187">
        <v>11388</v>
      </c>
      <c r="J173" s="187">
        <v>43</v>
      </c>
      <c r="K173" s="187">
        <v>122.05</v>
      </c>
      <c r="L173" s="187">
        <v>122.48</v>
      </c>
      <c r="M173" s="187">
        <v>9.1300000000000008</v>
      </c>
      <c r="N173" s="187">
        <v>128.5</v>
      </c>
      <c r="O173" s="187">
        <v>8970</v>
      </c>
      <c r="P173" s="187">
        <v>115.32</v>
      </c>
      <c r="Q173" s="187">
        <v>109.1</v>
      </c>
      <c r="R173" s="187">
        <v>41.61</v>
      </c>
      <c r="S173" s="187">
        <v>156.55000000000001</v>
      </c>
      <c r="T173" s="187">
        <v>861</v>
      </c>
      <c r="U173" s="187">
        <v>173.81</v>
      </c>
      <c r="V173" s="187">
        <v>1117</v>
      </c>
      <c r="W173" s="187">
        <v>191.38</v>
      </c>
      <c r="X173" s="187">
        <v>6</v>
      </c>
      <c r="Y173" s="187">
        <v>0</v>
      </c>
      <c r="Z173" s="187">
        <v>39</v>
      </c>
      <c r="AA173" s="187">
        <v>10</v>
      </c>
      <c r="AB173" s="187">
        <v>102</v>
      </c>
      <c r="AC173" s="187">
        <v>33</v>
      </c>
      <c r="AD173" s="187">
        <v>10161</v>
      </c>
      <c r="AE173" s="187">
        <v>129</v>
      </c>
      <c r="AF173" s="187">
        <v>180</v>
      </c>
      <c r="AG173" s="187">
        <v>309</v>
      </c>
      <c r="AH173" s="187"/>
      <c r="AI173" s="187"/>
      <c r="AJ173" s="187"/>
      <c r="AK173" s="187"/>
      <c r="AL173" s="187"/>
      <c r="AM173" s="187"/>
      <c r="AN173" s="187"/>
      <c r="AO173" s="187"/>
      <c r="AP173" s="187"/>
      <c r="AQ173" s="187"/>
      <c r="AR173" s="187"/>
      <c r="AS173" s="187"/>
      <c r="AT173" s="187"/>
      <c r="AU173" s="187"/>
      <c r="AV173" s="187"/>
      <c r="AW173" s="187"/>
      <c r="AX173" s="187"/>
      <c r="AY173" s="187"/>
      <c r="AZ173" s="187"/>
      <c r="BA173" s="187"/>
      <c r="BB173" s="187"/>
      <c r="BC173" s="187"/>
      <c r="BD173" s="187"/>
      <c r="BE173" s="187"/>
      <c r="BF173" s="187"/>
      <c r="BG173" s="187"/>
      <c r="BH173" s="187"/>
      <c r="BI173" s="187"/>
      <c r="BJ173" s="187"/>
      <c r="BK173" s="187"/>
      <c r="BL173" s="187"/>
      <c r="BM173" s="187"/>
      <c r="BN173" s="187"/>
      <c r="BO173" s="187"/>
      <c r="BP173" s="187"/>
      <c r="BQ173" s="187"/>
      <c r="BR173" s="187"/>
      <c r="BS173" s="187"/>
      <c r="BT173" s="187"/>
      <c r="BU173" s="187"/>
      <c r="BV173" s="187"/>
      <c r="BW173" s="187"/>
      <c r="BX173" s="187"/>
      <c r="BY173" s="187"/>
      <c r="BZ173" s="187"/>
      <c r="CA173" s="187"/>
      <c r="CB173" s="187"/>
      <c r="CC173" s="187"/>
      <c r="CD173" s="187"/>
      <c r="CE173" s="187"/>
      <c r="CF173" s="187"/>
      <c r="CG173" s="187"/>
      <c r="CH173" s="187"/>
      <c r="CI173" s="187"/>
      <c r="CJ173" s="187"/>
      <c r="CK173" s="187"/>
      <c r="CL173" s="187"/>
      <c r="CM173" s="187"/>
      <c r="CN173" s="187"/>
      <c r="CO173" s="187"/>
      <c r="CP173" s="187"/>
      <c r="CQ173" s="187"/>
      <c r="CR173" s="187"/>
      <c r="CS173" s="187"/>
      <c r="CT173" s="187"/>
      <c r="CU173" s="187"/>
      <c r="CV173" s="187"/>
      <c r="CW173" s="187"/>
      <c r="CX173" s="187"/>
      <c r="CY173" s="187"/>
      <c r="CZ173" s="187"/>
      <c r="DA173" s="187"/>
      <c r="DB173" s="187"/>
      <c r="DC173" s="187"/>
      <c r="DD173" s="187"/>
      <c r="DE173" s="187"/>
      <c r="DF173" s="187"/>
      <c r="DG173" s="187"/>
      <c r="DH173" s="187"/>
      <c r="DI173" s="187"/>
      <c r="DJ173" s="187"/>
      <c r="DK173" s="187"/>
      <c r="DL173" s="187"/>
      <c r="DM173" s="187"/>
      <c r="DN173" s="187"/>
      <c r="DO173" s="187"/>
      <c r="DP173" s="187"/>
      <c r="DQ173" s="187"/>
      <c r="DR173" s="187"/>
      <c r="DS173" s="187"/>
      <c r="DT173" s="187"/>
      <c r="DU173" s="187"/>
      <c r="DV173" s="187"/>
      <c r="DW173" s="187"/>
      <c r="DX173" s="187"/>
      <c r="DY173" s="187"/>
      <c r="DZ173" s="187"/>
      <c r="EA173" s="187"/>
      <c r="EB173" s="187"/>
      <c r="EC173" s="187"/>
      <c r="ED173" s="187"/>
      <c r="EE173" s="187"/>
      <c r="EF173" s="187"/>
      <c r="EG173" s="187"/>
      <c r="EH173" s="187"/>
      <c r="EI173" s="187"/>
      <c r="EJ173" s="187"/>
      <c r="EK173" s="187"/>
      <c r="EL173" s="187"/>
      <c r="EM173" s="187"/>
      <c r="EN173" s="187"/>
      <c r="EO173" s="187"/>
      <c r="EP173" s="187"/>
      <c r="EQ173" s="187"/>
      <c r="ER173" s="187"/>
      <c r="ES173" s="187"/>
      <c r="ET173" s="187"/>
      <c r="EU173" s="187"/>
      <c r="EV173" s="187"/>
      <c r="EW173" s="187"/>
      <c r="EX173" s="187"/>
      <c r="EY173" s="187"/>
      <c r="EZ173" s="187"/>
      <c r="FA173" s="187"/>
      <c r="FB173" s="187"/>
      <c r="FC173" s="187"/>
    </row>
    <row r="174" spans="1:159" ht="15" x14ac:dyDescent="0.25">
      <c r="A174" s="187" t="s">
        <v>404</v>
      </c>
      <c r="B174" s="187" t="s">
        <v>405</v>
      </c>
      <c r="C174" s="187">
        <v>1228</v>
      </c>
      <c r="D174" s="187">
        <v>0</v>
      </c>
      <c r="E174" s="187">
        <v>76</v>
      </c>
      <c r="F174" s="187">
        <v>282</v>
      </c>
      <c r="G174" s="187">
        <v>306</v>
      </c>
      <c r="H174" s="187">
        <v>1892</v>
      </c>
      <c r="I174" s="187">
        <v>1586</v>
      </c>
      <c r="J174" s="187">
        <v>0</v>
      </c>
      <c r="K174" s="187">
        <v>94.03</v>
      </c>
      <c r="L174" s="187">
        <v>90.22</v>
      </c>
      <c r="M174" s="187">
        <v>5.93</v>
      </c>
      <c r="N174" s="187">
        <v>99.21</v>
      </c>
      <c r="O174" s="187">
        <v>844</v>
      </c>
      <c r="P174" s="187">
        <v>85.45</v>
      </c>
      <c r="Q174" s="187">
        <v>77.209999999999994</v>
      </c>
      <c r="R174" s="187">
        <v>20.83</v>
      </c>
      <c r="S174" s="187">
        <v>106.18</v>
      </c>
      <c r="T174" s="187">
        <v>213</v>
      </c>
      <c r="U174" s="187">
        <v>135.24</v>
      </c>
      <c r="V174" s="187">
        <v>325</v>
      </c>
      <c r="W174" s="187">
        <v>0</v>
      </c>
      <c r="X174" s="187">
        <v>0</v>
      </c>
      <c r="Y174" s="187">
        <v>0</v>
      </c>
      <c r="Z174" s="187">
        <v>0</v>
      </c>
      <c r="AA174" s="187">
        <v>0</v>
      </c>
      <c r="AB174" s="187">
        <v>12</v>
      </c>
      <c r="AC174" s="187">
        <v>5</v>
      </c>
      <c r="AD174" s="187">
        <v>1190</v>
      </c>
      <c r="AE174" s="187">
        <v>5</v>
      </c>
      <c r="AF174" s="187">
        <v>3</v>
      </c>
      <c r="AG174" s="187">
        <v>8</v>
      </c>
      <c r="AH174" s="187"/>
      <c r="AI174" s="187"/>
      <c r="AJ174" s="187"/>
      <c r="AK174" s="187"/>
      <c r="AL174" s="187"/>
      <c r="AM174" s="187"/>
      <c r="AN174" s="187"/>
      <c r="AO174" s="187"/>
      <c r="AP174" s="187"/>
      <c r="AQ174" s="187"/>
      <c r="AR174" s="187"/>
      <c r="AS174" s="187"/>
      <c r="AT174" s="187"/>
      <c r="AU174" s="187"/>
      <c r="AV174" s="187"/>
      <c r="AW174" s="187"/>
      <c r="AX174" s="187"/>
      <c r="AY174" s="187"/>
      <c r="AZ174" s="187"/>
      <c r="BA174" s="187"/>
      <c r="BB174" s="187"/>
      <c r="BC174" s="187"/>
      <c r="BD174" s="187"/>
      <c r="BE174" s="187"/>
      <c r="BF174" s="187"/>
      <c r="BG174" s="187"/>
      <c r="BH174" s="187"/>
      <c r="BI174" s="187"/>
      <c r="BJ174" s="187"/>
      <c r="BK174" s="187"/>
      <c r="BL174" s="187"/>
      <c r="BM174" s="187"/>
      <c r="BN174" s="187"/>
      <c r="BO174" s="187"/>
      <c r="BP174" s="187"/>
      <c r="BQ174" s="187"/>
      <c r="BR174" s="187"/>
      <c r="BS174" s="187"/>
      <c r="BT174" s="187"/>
      <c r="BU174" s="187"/>
      <c r="BV174" s="187"/>
      <c r="BW174" s="187"/>
      <c r="BX174" s="187"/>
      <c r="BY174" s="187"/>
      <c r="BZ174" s="187"/>
      <c r="CA174" s="187"/>
      <c r="CB174" s="187"/>
      <c r="CC174" s="187"/>
      <c r="CD174" s="187"/>
      <c r="CE174" s="187"/>
      <c r="CF174" s="187"/>
      <c r="CG174" s="187"/>
      <c r="CH174" s="187"/>
      <c r="CI174" s="187"/>
      <c r="CJ174" s="187"/>
      <c r="CK174" s="187"/>
      <c r="CL174" s="187"/>
      <c r="CM174" s="187"/>
      <c r="CN174" s="187"/>
      <c r="CO174" s="187"/>
      <c r="CP174" s="187"/>
      <c r="CQ174" s="187"/>
      <c r="CR174" s="187"/>
      <c r="CS174" s="187"/>
      <c r="CT174" s="187"/>
      <c r="CU174" s="187"/>
      <c r="CV174" s="187"/>
      <c r="CW174" s="187"/>
      <c r="CX174" s="187"/>
      <c r="CY174" s="187"/>
      <c r="CZ174" s="187"/>
      <c r="DA174" s="187"/>
      <c r="DB174" s="187"/>
      <c r="DC174" s="187"/>
      <c r="DD174" s="187"/>
      <c r="DE174" s="187"/>
      <c r="DF174" s="187"/>
      <c r="DG174" s="187"/>
      <c r="DH174" s="187"/>
      <c r="DI174" s="187"/>
      <c r="DJ174" s="187"/>
      <c r="DK174" s="187"/>
      <c r="DL174" s="187"/>
      <c r="DM174" s="187"/>
      <c r="DN174" s="187"/>
      <c r="DO174" s="187"/>
      <c r="DP174" s="187"/>
      <c r="DQ174" s="187"/>
      <c r="DR174" s="187"/>
      <c r="DS174" s="187"/>
      <c r="DT174" s="187"/>
      <c r="DU174" s="187"/>
      <c r="DV174" s="187"/>
      <c r="DW174" s="187"/>
      <c r="DX174" s="187"/>
      <c r="DY174" s="187"/>
      <c r="DZ174" s="187"/>
      <c r="EA174" s="187"/>
      <c r="EB174" s="187"/>
      <c r="EC174" s="187"/>
      <c r="ED174" s="187"/>
      <c r="EE174" s="187"/>
      <c r="EF174" s="187"/>
      <c r="EG174" s="187"/>
      <c r="EH174" s="187"/>
      <c r="EI174" s="187"/>
      <c r="EJ174" s="187"/>
      <c r="EK174" s="187"/>
      <c r="EL174" s="187"/>
      <c r="EM174" s="187"/>
      <c r="EN174" s="187"/>
      <c r="EO174" s="187"/>
      <c r="EP174" s="187"/>
      <c r="EQ174" s="187"/>
      <c r="ER174" s="187"/>
      <c r="ES174" s="187"/>
      <c r="ET174" s="187"/>
      <c r="EU174" s="187"/>
      <c r="EV174" s="187"/>
      <c r="EW174" s="187"/>
      <c r="EX174" s="187"/>
      <c r="EY174" s="187"/>
      <c r="EZ174" s="187"/>
      <c r="FA174" s="187"/>
      <c r="FB174" s="187"/>
      <c r="FC174" s="187"/>
    </row>
    <row r="175" spans="1:159" ht="15" x14ac:dyDescent="0.25">
      <c r="A175" s="187" t="s">
        <v>406</v>
      </c>
      <c r="B175" s="187" t="s">
        <v>407</v>
      </c>
      <c r="C175" s="187">
        <v>1916</v>
      </c>
      <c r="D175" s="187">
        <v>0</v>
      </c>
      <c r="E175" s="187">
        <v>115</v>
      </c>
      <c r="F175" s="187">
        <v>202</v>
      </c>
      <c r="G175" s="187">
        <v>663</v>
      </c>
      <c r="H175" s="187">
        <v>2896</v>
      </c>
      <c r="I175" s="187">
        <v>2233</v>
      </c>
      <c r="J175" s="187">
        <v>26</v>
      </c>
      <c r="K175" s="187">
        <v>98.95</v>
      </c>
      <c r="L175" s="187">
        <v>97.16</v>
      </c>
      <c r="M175" s="187">
        <v>5.35</v>
      </c>
      <c r="N175" s="187">
        <v>102.97</v>
      </c>
      <c r="O175" s="187">
        <v>957</v>
      </c>
      <c r="P175" s="187">
        <v>88.55</v>
      </c>
      <c r="Q175" s="187">
        <v>82.24</v>
      </c>
      <c r="R175" s="187">
        <v>45.49</v>
      </c>
      <c r="S175" s="187">
        <v>133.72999999999999</v>
      </c>
      <c r="T175" s="187">
        <v>295</v>
      </c>
      <c r="U175" s="187">
        <v>129.66</v>
      </c>
      <c r="V175" s="187">
        <v>892</v>
      </c>
      <c r="W175" s="187">
        <v>122.98</v>
      </c>
      <c r="X175" s="187">
        <v>1</v>
      </c>
      <c r="Y175" s="187">
        <v>8</v>
      </c>
      <c r="Z175" s="187">
        <v>0</v>
      </c>
      <c r="AA175" s="187">
        <v>0</v>
      </c>
      <c r="AB175" s="187">
        <v>130</v>
      </c>
      <c r="AC175" s="187">
        <v>17</v>
      </c>
      <c r="AD175" s="187">
        <v>1905</v>
      </c>
      <c r="AE175" s="187">
        <v>26</v>
      </c>
      <c r="AF175" s="187">
        <v>14</v>
      </c>
      <c r="AG175" s="187">
        <v>40</v>
      </c>
      <c r="AH175" s="187"/>
      <c r="AI175" s="187"/>
      <c r="AJ175" s="187"/>
      <c r="AK175" s="187"/>
      <c r="AL175" s="187"/>
      <c r="AM175" s="187"/>
      <c r="AN175" s="187"/>
      <c r="AO175" s="187"/>
      <c r="AP175" s="187"/>
      <c r="AQ175" s="187"/>
      <c r="AR175" s="187"/>
      <c r="AS175" s="187"/>
      <c r="AT175" s="187"/>
      <c r="AU175" s="187"/>
      <c r="AV175" s="187"/>
      <c r="AW175" s="187"/>
      <c r="AX175" s="187"/>
      <c r="AY175" s="187"/>
      <c r="AZ175" s="187"/>
      <c r="BA175" s="187"/>
      <c r="BB175" s="187"/>
      <c r="BC175" s="187"/>
      <c r="BD175" s="187"/>
      <c r="BE175" s="187"/>
      <c r="BF175" s="187"/>
      <c r="BG175" s="187"/>
      <c r="BH175" s="187"/>
      <c r="BI175" s="187"/>
      <c r="BJ175" s="187"/>
      <c r="BK175" s="187"/>
      <c r="BL175" s="187"/>
      <c r="BM175" s="187"/>
      <c r="BN175" s="187"/>
      <c r="BO175" s="187"/>
      <c r="BP175" s="187"/>
      <c r="BQ175" s="187"/>
      <c r="BR175" s="187"/>
      <c r="BS175" s="187"/>
      <c r="BT175" s="187"/>
      <c r="BU175" s="187"/>
      <c r="BV175" s="187"/>
      <c r="BW175" s="187"/>
      <c r="BX175" s="187"/>
      <c r="BY175" s="187"/>
      <c r="BZ175" s="187"/>
      <c r="CA175" s="187"/>
      <c r="CB175" s="187"/>
      <c r="CC175" s="187"/>
      <c r="CD175" s="187"/>
      <c r="CE175" s="187"/>
      <c r="CF175" s="187"/>
      <c r="CG175" s="187"/>
      <c r="CH175" s="187"/>
      <c r="CI175" s="187"/>
      <c r="CJ175" s="187"/>
      <c r="CK175" s="187"/>
      <c r="CL175" s="187"/>
      <c r="CM175" s="187"/>
      <c r="CN175" s="187"/>
      <c r="CO175" s="187"/>
      <c r="CP175" s="187"/>
      <c r="CQ175" s="187"/>
      <c r="CR175" s="187"/>
      <c r="CS175" s="187"/>
      <c r="CT175" s="187"/>
      <c r="CU175" s="187"/>
      <c r="CV175" s="187"/>
      <c r="CW175" s="187"/>
      <c r="CX175" s="187"/>
      <c r="CY175" s="187"/>
      <c r="CZ175" s="187"/>
      <c r="DA175" s="187"/>
      <c r="DB175" s="187"/>
      <c r="DC175" s="187"/>
      <c r="DD175" s="187"/>
      <c r="DE175" s="187"/>
      <c r="DF175" s="187"/>
      <c r="DG175" s="187"/>
      <c r="DH175" s="187"/>
      <c r="DI175" s="187"/>
      <c r="DJ175" s="187"/>
      <c r="DK175" s="187"/>
      <c r="DL175" s="187"/>
      <c r="DM175" s="187"/>
      <c r="DN175" s="187"/>
      <c r="DO175" s="187"/>
      <c r="DP175" s="187"/>
      <c r="DQ175" s="187"/>
      <c r="DR175" s="187"/>
      <c r="DS175" s="187"/>
      <c r="DT175" s="187"/>
      <c r="DU175" s="187"/>
      <c r="DV175" s="187"/>
      <c r="DW175" s="187"/>
      <c r="DX175" s="187"/>
      <c r="DY175" s="187"/>
      <c r="DZ175" s="187"/>
      <c r="EA175" s="187"/>
      <c r="EB175" s="187"/>
      <c r="EC175" s="187"/>
      <c r="ED175" s="187"/>
      <c r="EE175" s="187"/>
      <c r="EF175" s="187"/>
      <c r="EG175" s="187"/>
      <c r="EH175" s="187"/>
      <c r="EI175" s="187"/>
      <c r="EJ175" s="187"/>
      <c r="EK175" s="187"/>
      <c r="EL175" s="187"/>
      <c r="EM175" s="187"/>
      <c r="EN175" s="187"/>
      <c r="EO175" s="187"/>
      <c r="EP175" s="187"/>
      <c r="EQ175" s="187"/>
      <c r="ER175" s="187"/>
      <c r="ES175" s="187"/>
      <c r="ET175" s="187"/>
      <c r="EU175" s="187"/>
      <c r="EV175" s="187"/>
      <c r="EW175" s="187"/>
      <c r="EX175" s="187"/>
      <c r="EY175" s="187"/>
      <c r="EZ175" s="187"/>
      <c r="FA175" s="187"/>
      <c r="FB175" s="187"/>
      <c r="FC175" s="187"/>
    </row>
    <row r="176" spans="1:159" ht="15" x14ac:dyDescent="0.25">
      <c r="A176" s="187" t="s">
        <v>408</v>
      </c>
      <c r="B176" s="187" t="s">
        <v>409</v>
      </c>
      <c r="C176" s="187">
        <v>6648</v>
      </c>
      <c r="D176" s="187">
        <v>3</v>
      </c>
      <c r="E176" s="187">
        <v>115</v>
      </c>
      <c r="F176" s="187">
        <v>901</v>
      </c>
      <c r="G176" s="187">
        <v>843</v>
      </c>
      <c r="H176" s="187">
        <v>8510</v>
      </c>
      <c r="I176" s="187">
        <v>7667</v>
      </c>
      <c r="J176" s="187">
        <v>36</v>
      </c>
      <c r="K176" s="187">
        <v>122.81</v>
      </c>
      <c r="L176" s="187">
        <v>118.88</v>
      </c>
      <c r="M176" s="187">
        <v>6.24</v>
      </c>
      <c r="N176" s="187">
        <v>127.76</v>
      </c>
      <c r="O176" s="187">
        <v>4132</v>
      </c>
      <c r="P176" s="187">
        <v>107.64</v>
      </c>
      <c r="Q176" s="187">
        <v>99.59</v>
      </c>
      <c r="R176" s="187">
        <v>48.4</v>
      </c>
      <c r="S176" s="187">
        <v>154.53</v>
      </c>
      <c r="T176" s="187">
        <v>769</v>
      </c>
      <c r="U176" s="187">
        <v>187.17</v>
      </c>
      <c r="V176" s="187">
        <v>2065</v>
      </c>
      <c r="W176" s="187">
        <v>171.82</v>
      </c>
      <c r="X176" s="187">
        <v>35</v>
      </c>
      <c r="Y176" s="187">
        <v>18</v>
      </c>
      <c r="Z176" s="187">
        <v>2</v>
      </c>
      <c r="AA176" s="187">
        <v>4</v>
      </c>
      <c r="AB176" s="187">
        <v>84</v>
      </c>
      <c r="AC176" s="187">
        <v>21</v>
      </c>
      <c r="AD176" s="187">
        <v>6327</v>
      </c>
      <c r="AE176" s="187">
        <v>152</v>
      </c>
      <c r="AF176" s="187">
        <v>15</v>
      </c>
      <c r="AG176" s="187">
        <v>167</v>
      </c>
      <c r="AH176" s="187"/>
      <c r="AI176" s="187"/>
      <c r="AJ176" s="187"/>
      <c r="AK176" s="187"/>
      <c r="AL176" s="187"/>
      <c r="AM176" s="187"/>
      <c r="AN176" s="187"/>
      <c r="AO176" s="187"/>
      <c r="AP176" s="187"/>
      <c r="AQ176" s="187"/>
      <c r="AR176" s="187"/>
      <c r="AS176" s="187"/>
      <c r="AT176" s="187"/>
      <c r="AU176" s="187"/>
      <c r="AV176" s="187"/>
      <c r="AW176" s="187"/>
      <c r="AX176" s="187"/>
      <c r="AY176" s="187"/>
      <c r="AZ176" s="187"/>
      <c r="BA176" s="187"/>
      <c r="BB176" s="187"/>
      <c r="BC176" s="187"/>
      <c r="BD176" s="187"/>
      <c r="BE176" s="187"/>
      <c r="BF176" s="187"/>
      <c r="BG176" s="187"/>
      <c r="BH176" s="187"/>
      <c r="BI176" s="187"/>
      <c r="BJ176" s="187"/>
      <c r="BK176" s="187"/>
      <c r="BL176" s="187"/>
      <c r="BM176" s="187"/>
      <c r="BN176" s="187"/>
      <c r="BO176" s="187"/>
      <c r="BP176" s="187"/>
      <c r="BQ176" s="187"/>
      <c r="BR176" s="187"/>
      <c r="BS176" s="187"/>
      <c r="BT176" s="187"/>
      <c r="BU176" s="187"/>
      <c r="BV176" s="187"/>
      <c r="BW176" s="187"/>
      <c r="BX176" s="187"/>
      <c r="BY176" s="187"/>
      <c r="BZ176" s="187"/>
      <c r="CA176" s="187"/>
      <c r="CB176" s="187"/>
      <c r="CC176" s="187"/>
      <c r="CD176" s="187"/>
      <c r="CE176" s="187"/>
      <c r="CF176" s="187"/>
      <c r="CG176" s="187"/>
      <c r="CH176" s="187"/>
      <c r="CI176" s="187"/>
      <c r="CJ176" s="187"/>
      <c r="CK176" s="187"/>
      <c r="CL176" s="187"/>
      <c r="CM176" s="187"/>
      <c r="CN176" s="187"/>
      <c r="CO176" s="187"/>
      <c r="CP176" s="187"/>
      <c r="CQ176" s="187"/>
      <c r="CR176" s="187"/>
      <c r="CS176" s="187"/>
      <c r="CT176" s="187"/>
      <c r="CU176" s="187"/>
      <c r="CV176" s="187"/>
      <c r="CW176" s="187"/>
      <c r="CX176" s="187"/>
      <c r="CY176" s="187"/>
      <c r="CZ176" s="187"/>
      <c r="DA176" s="187"/>
      <c r="DB176" s="187"/>
      <c r="DC176" s="187"/>
      <c r="DD176" s="187"/>
      <c r="DE176" s="187"/>
      <c r="DF176" s="187"/>
      <c r="DG176" s="187"/>
      <c r="DH176" s="187"/>
      <c r="DI176" s="187"/>
      <c r="DJ176" s="187"/>
      <c r="DK176" s="187"/>
      <c r="DL176" s="187"/>
      <c r="DM176" s="187"/>
      <c r="DN176" s="187"/>
      <c r="DO176" s="187"/>
      <c r="DP176" s="187"/>
      <c r="DQ176" s="187"/>
      <c r="DR176" s="187"/>
      <c r="DS176" s="187"/>
      <c r="DT176" s="187"/>
      <c r="DU176" s="187"/>
      <c r="DV176" s="187"/>
      <c r="DW176" s="187"/>
      <c r="DX176" s="187"/>
      <c r="DY176" s="187"/>
      <c r="DZ176" s="187"/>
      <c r="EA176" s="187"/>
      <c r="EB176" s="187"/>
      <c r="EC176" s="187"/>
      <c r="ED176" s="187"/>
      <c r="EE176" s="187"/>
      <c r="EF176" s="187"/>
      <c r="EG176" s="187"/>
      <c r="EH176" s="187"/>
      <c r="EI176" s="187"/>
      <c r="EJ176" s="187"/>
      <c r="EK176" s="187"/>
      <c r="EL176" s="187"/>
      <c r="EM176" s="187"/>
      <c r="EN176" s="187"/>
      <c r="EO176" s="187"/>
      <c r="EP176" s="187"/>
      <c r="EQ176" s="187"/>
      <c r="ER176" s="187"/>
      <c r="ES176" s="187"/>
      <c r="ET176" s="187"/>
      <c r="EU176" s="187"/>
      <c r="EV176" s="187"/>
      <c r="EW176" s="187"/>
      <c r="EX176" s="187"/>
      <c r="EY176" s="187"/>
      <c r="EZ176" s="187"/>
      <c r="FA176" s="187"/>
      <c r="FB176" s="187"/>
      <c r="FC176" s="187"/>
    </row>
    <row r="177" spans="1:159" ht="15" x14ac:dyDescent="0.25">
      <c r="A177" s="187" t="s">
        <v>410</v>
      </c>
      <c r="B177" s="187" t="s">
        <v>411</v>
      </c>
      <c r="C177" s="187">
        <v>13166</v>
      </c>
      <c r="D177" s="187">
        <v>2</v>
      </c>
      <c r="E177" s="187">
        <v>568</v>
      </c>
      <c r="F177" s="187">
        <v>1381</v>
      </c>
      <c r="G177" s="187">
        <v>342</v>
      </c>
      <c r="H177" s="187">
        <v>15459</v>
      </c>
      <c r="I177" s="187">
        <v>15117</v>
      </c>
      <c r="J177" s="187">
        <v>19</v>
      </c>
      <c r="K177" s="187">
        <v>91.61</v>
      </c>
      <c r="L177" s="187">
        <v>87.85</v>
      </c>
      <c r="M177" s="187">
        <v>8.86</v>
      </c>
      <c r="N177" s="187">
        <v>94.48</v>
      </c>
      <c r="O177" s="187">
        <v>12126</v>
      </c>
      <c r="P177" s="187">
        <v>93.48</v>
      </c>
      <c r="Q177" s="187">
        <v>83.55</v>
      </c>
      <c r="R177" s="187">
        <v>63.86</v>
      </c>
      <c r="S177" s="187">
        <v>143.08000000000001</v>
      </c>
      <c r="T177" s="187">
        <v>1764</v>
      </c>
      <c r="U177" s="187">
        <v>109.49</v>
      </c>
      <c r="V177" s="187">
        <v>947</v>
      </c>
      <c r="W177" s="187">
        <v>172.71</v>
      </c>
      <c r="X177" s="187">
        <v>101</v>
      </c>
      <c r="Y177" s="187">
        <v>0</v>
      </c>
      <c r="Z177" s="187">
        <v>45</v>
      </c>
      <c r="AA177" s="187">
        <v>4</v>
      </c>
      <c r="AB177" s="187">
        <v>25</v>
      </c>
      <c r="AC177" s="187">
        <v>6</v>
      </c>
      <c r="AD177" s="187">
        <v>13136</v>
      </c>
      <c r="AE177" s="187">
        <v>76</v>
      </c>
      <c r="AF177" s="187">
        <v>432</v>
      </c>
      <c r="AG177" s="187">
        <v>508</v>
      </c>
      <c r="AH177" s="187"/>
      <c r="AI177" s="187"/>
      <c r="AJ177" s="187"/>
      <c r="AK177" s="187"/>
      <c r="AL177" s="187"/>
      <c r="AM177" s="187"/>
      <c r="AN177" s="187"/>
      <c r="AO177" s="187"/>
      <c r="AP177" s="187"/>
      <c r="AQ177" s="187"/>
      <c r="AR177" s="187"/>
      <c r="AS177" s="187"/>
      <c r="AT177" s="187"/>
      <c r="AU177" s="187"/>
      <c r="AV177" s="187"/>
      <c r="AW177" s="187"/>
      <c r="AX177" s="187"/>
      <c r="AY177" s="187"/>
      <c r="AZ177" s="187"/>
      <c r="BA177" s="187"/>
      <c r="BB177" s="187"/>
      <c r="BC177" s="187"/>
      <c r="BD177" s="187"/>
      <c r="BE177" s="187"/>
      <c r="BF177" s="187"/>
      <c r="BG177" s="187"/>
      <c r="BH177" s="187"/>
      <c r="BI177" s="187"/>
      <c r="BJ177" s="187"/>
      <c r="BK177" s="187"/>
      <c r="BL177" s="187"/>
      <c r="BM177" s="187"/>
      <c r="BN177" s="187"/>
      <c r="BO177" s="187"/>
      <c r="BP177" s="187"/>
      <c r="BQ177" s="187"/>
      <c r="BR177" s="187"/>
      <c r="BS177" s="187"/>
      <c r="BT177" s="187"/>
      <c r="BU177" s="187"/>
      <c r="BV177" s="187"/>
      <c r="BW177" s="187"/>
      <c r="BX177" s="187"/>
      <c r="BY177" s="187"/>
      <c r="BZ177" s="187"/>
      <c r="CA177" s="187"/>
      <c r="CB177" s="187"/>
      <c r="CC177" s="187"/>
      <c r="CD177" s="187"/>
      <c r="CE177" s="187"/>
      <c r="CF177" s="187"/>
      <c r="CG177" s="187"/>
      <c r="CH177" s="187"/>
      <c r="CI177" s="187"/>
      <c r="CJ177" s="187"/>
      <c r="CK177" s="187"/>
      <c r="CL177" s="187"/>
      <c r="CM177" s="187"/>
      <c r="CN177" s="187"/>
      <c r="CO177" s="187"/>
      <c r="CP177" s="187"/>
      <c r="CQ177" s="187"/>
      <c r="CR177" s="187"/>
      <c r="CS177" s="187"/>
      <c r="CT177" s="187"/>
      <c r="CU177" s="187"/>
      <c r="CV177" s="187"/>
      <c r="CW177" s="187"/>
      <c r="CX177" s="187"/>
      <c r="CY177" s="187"/>
      <c r="CZ177" s="187"/>
      <c r="DA177" s="187"/>
      <c r="DB177" s="187"/>
      <c r="DC177" s="187"/>
      <c r="DD177" s="187"/>
      <c r="DE177" s="187"/>
      <c r="DF177" s="187"/>
      <c r="DG177" s="187"/>
      <c r="DH177" s="187"/>
      <c r="DI177" s="187"/>
      <c r="DJ177" s="187"/>
      <c r="DK177" s="187"/>
      <c r="DL177" s="187"/>
      <c r="DM177" s="187"/>
      <c r="DN177" s="187"/>
      <c r="DO177" s="187"/>
      <c r="DP177" s="187"/>
      <c r="DQ177" s="187"/>
      <c r="DR177" s="187"/>
      <c r="DS177" s="187"/>
      <c r="DT177" s="187"/>
      <c r="DU177" s="187"/>
      <c r="DV177" s="187"/>
      <c r="DW177" s="187"/>
      <c r="DX177" s="187"/>
      <c r="DY177" s="187"/>
      <c r="DZ177" s="187"/>
      <c r="EA177" s="187"/>
      <c r="EB177" s="187"/>
      <c r="EC177" s="187"/>
      <c r="ED177" s="187"/>
      <c r="EE177" s="187"/>
      <c r="EF177" s="187"/>
      <c r="EG177" s="187"/>
      <c r="EH177" s="187"/>
      <c r="EI177" s="187"/>
      <c r="EJ177" s="187"/>
      <c r="EK177" s="187"/>
      <c r="EL177" s="187"/>
      <c r="EM177" s="187"/>
      <c r="EN177" s="187"/>
      <c r="EO177" s="187"/>
      <c r="EP177" s="187"/>
      <c r="EQ177" s="187"/>
      <c r="ER177" s="187"/>
      <c r="ES177" s="187"/>
      <c r="ET177" s="187"/>
      <c r="EU177" s="187"/>
      <c r="EV177" s="187"/>
      <c r="EW177" s="187"/>
      <c r="EX177" s="187"/>
      <c r="EY177" s="187"/>
      <c r="EZ177" s="187"/>
      <c r="FA177" s="187"/>
      <c r="FB177" s="187"/>
      <c r="FC177" s="187"/>
    </row>
    <row r="178" spans="1:159" ht="15" x14ac:dyDescent="0.25">
      <c r="A178" s="187" t="s">
        <v>412</v>
      </c>
      <c r="B178" s="187" t="s">
        <v>413</v>
      </c>
      <c r="C178" s="187">
        <v>9459</v>
      </c>
      <c r="D178" s="187">
        <v>162</v>
      </c>
      <c r="E178" s="187">
        <v>616</v>
      </c>
      <c r="F178" s="187">
        <v>585</v>
      </c>
      <c r="G178" s="187">
        <v>6145</v>
      </c>
      <c r="H178" s="187">
        <v>16967</v>
      </c>
      <c r="I178" s="187">
        <v>10822</v>
      </c>
      <c r="J178" s="187">
        <v>64</v>
      </c>
      <c r="K178" s="187">
        <v>105.95</v>
      </c>
      <c r="L178" s="187">
        <v>103.09</v>
      </c>
      <c r="M178" s="187">
        <v>7.74</v>
      </c>
      <c r="N178" s="187">
        <v>111.19</v>
      </c>
      <c r="O178" s="187">
        <v>6616</v>
      </c>
      <c r="P178" s="187">
        <v>112.67</v>
      </c>
      <c r="Q178" s="187">
        <v>99.9</v>
      </c>
      <c r="R178" s="187">
        <v>49.51</v>
      </c>
      <c r="S178" s="187">
        <v>162.02000000000001</v>
      </c>
      <c r="T178" s="187">
        <v>883</v>
      </c>
      <c r="U178" s="187">
        <v>170.94</v>
      </c>
      <c r="V178" s="187">
        <v>2156</v>
      </c>
      <c r="W178" s="187">
        <v>203.73</v>
      </c>
      <c r="X178" s="187">
        <v>210</v>
      </c>
      <c r="Y178" s="187">
        <v>46</v>
      </c>
      <c r="Z178" s="187">
        <v>3</v>
      </c>
      <c r="AA178" s="187">
        <v>1</v>
      </c>
      <c r="AB178" s="187">
        <v>312</v>
      </c>
      <c r="AC178" s="187">
        <v>95</v>
      </c>
      <c r="AD178" s="187">
        <v>9061</v>
      </c>
      <c r="AE178" s="187">
        <v>96</v>
      </c>
      <c r="AF178" s="187">
        <v>26</v>
      </c>
      <c r="AG178" s="187">
        <v>122</v>
      </c>
      <c r="AH178" s="187"/>
      <c r="AI178" s="187"/>
      <c r="AJ178" s="187"/>
      <c r="AK178" s="187"/>
      <c r="AL178" s="187"/>
      <c r="AM178" s="187"/>
      <c r="AN178" s="187"/>
      <c r="AO178" s="187"/>
      <c r="AP178" s="187"/>
      <c r="AQ178" s="187"/>
      <c r="AR178" s="187"/>
      <c r="AS178" s="187"/>
      <c r="AT178" s="187"/>
      <c r="AU178" s="187"/>
      <c r="AV178" s="187"/>
      <c r="AW178" s="187"/>
      <c r="AX178" s="187"/>
      <c r="AY178" s="187"/>
      <c r="AZ178" s="187"/>
      <c r="BA178" s="187"/>
      <c r="BB178" s="187"/>
      <c r="BC178" s="187"/>
      <c r="BD178" s="187"/>
      <c r="BE178" s="187"/>
      <c r="BF178" s="187"/>
      <c r="BG178" s="187"/>
      <c r="BH178" s="187"/>
      <c r="BI178" s="187"/>
      <c r="BJ178" s="187"/>
      <c r="BK178" s="187"/>
      <c r="BL178" s="187"/>
      <c r="BM178" s="187"/>
      <c r="BN178" s="187"/>
      <c r="BO178" s="187"/>
      <c r="BP178" s="187"/>
      <c r="BQ178" s="187"/>
      <c r="BR178" s="187"/>
      <c r="BS178" s="187"/>
      <c r="BT178" s="187"/>
      <c r="BU178" s="187"/>
      <c r="BV178" s="187"/>
      <c r="BW178" s="187"/>
      <c r="BX178" s="187"/>
      <c r="BY178" s="187"/>
      <c r="BZ178" s="187"/>
      <c r="CA178" s="187"/>
      <c r="CB178" s="187"/>
      <c r="CC178" s="187"/>
      <c r="CD178" s="187"/>
      <c r="CE178" s="187"/>
      <c r="CF178" s="187"/>
      <c r="CG178" s="187"/>
      <c r="CH178" s="187"/>
      <c r="CI178" s="187"/>
      <c r="CJ178" s="187"/>
      <c r="CK178" s="187"/>
      <c r="CL178" s="187"/>
      <c r="CM178" s="187"/>
      <c r="CN178" s="187"/>
      <c r="CO178" s="187"/>
      <c r="CP178" s="187"/>
      <c r="CQ178" s="187"/>
      <c r="CR178" s="187"/>
      <c r="CS178" s="187"/>
      <c r="CT178" s="187"/>
      <c r="CU178" s="187"/>
      <c r="CV178" s="187"/>
      <c r="CW178" s="187"/>
      <c r="CX178" s="187"/>
      <c r="CY178" s="187"/>
      <c r="CZ178" s="187"/>
      <c r="DA178" s="187"/>
      <c r="DB178" s="187"/>
      <c r="DC178" s="187"/>
      <c r="DD178" s="187"/>
      <c r="DE178" s="187"/>
      <c r="DF178" s="187"/>
      <c r="DG178" s="187"/>
      <c r="DH178" s="187"/>
      <c r="DI178" s="187"/>
      <c r="DJ178" s="187"/>
      <c r="DK178" s="187"/>
      <c r="DL178" s="187"/>
      <c r="DM178" s="187"/>
      <c r="DN178" s="187"/>
      <c r="DO178" s="187"/>
      <c r="DP178" s="187"/>
      <c r="DQ178" s="187"/>
      <c r="DR178" s="187"/>
      <c r="DS178" s="187"/>
      <c r="DT178" s="187"/>
      <c r="DU178" s="187"/>
      <c r="DV178" s="187"/>
      <c r="DW178" s="187"/>
      <c r="DX178" s="187"/>
      <c r="DY178" s="187"/>
      <c r="DZ178" s="187"/>
      <c r="EA178" s="187"/>
      <c r="EB178" s="187"/>
      <c r="EC178" s="187"/>
      <c r="ED178" s="187"/>
      <c r="EE178" s="187"/>
      <c r="EF178" s="187"/>
      <c r="EG178" s="187"/>
      <c r="EH178" s="187"/>
      <c r="EI178" s="187"/>
      <c r="EJ178" s="187"/>
      <c r="EK178" s="187"/>
      <c r="EL178" s="187"/>
      <c r="EM178" s="187"/>
      <c r="EN178" s="187"/>
      <c r="EO178" s="187"/>
      <c r="EP178" s="187"/>
      <c r="EQ178" s="187"/>
      <c r="ER178" s="187"/>
      <c r="ES178" s="187"/>
      <c r="ET178" s="187"/>
      <c r="EU178" s="187"/>
      <c r="EV178" s="187"/>
      <c r="EW178" s="187"/>
      <c r="EX178" s="187"/>
      <c r="EY178" s="187"/>
      <c r="EZ178" s="187"/>
      <c r="FA178" s="187"/>
      <c r="FB178" s="187"/>
      <c r="FC178" s="187"/>
    </row>
    <row r="179" spans="1:159" ht="15" x14ac:dyDescent="0.25">
      <c r="A179" s="187" t="s">
        <v>414</v>
      </c>
      <c r="B179" s="187" t="s">
        <v>415</v>
      </c>
      <c r="C179" s="187">
        <v>3534</v>
      </c>
      <c r="D179" s="187">
        <v>11</v>
      </c>
      <c r="E179" s="187">
        <v>242</v>
      </c>
      <c r="F179" s="187">
        <v>629</v>
      </c>
      <c r="G179" s="187">
        <v>322</v>
      </c>
      <c r="H179" s="187">
        <v>4738</v>
      </c>
      <c r="I179" s="187">
        <v>4416</v>
      </c>
      <c r="J179" s="187">
        <v>22</v>
      </c>
      <c r="K179" s="187">
        <v>119.97</v>
      </c>
      <c r="L179" s="187">
        <v>121.53</v>
      </c>
      <c r="M179" s="187">
        <v>6.3</v>
      </c>
      <c r="N179" s="187">
        <v>124.57</v>
      </c>
      <c r="O179" s="187">
        <v>3015</v>
      </c>
      <c r="P179" s="187">
        <v>108.39</v>
      </c>
      <c r="Q179" s="187">
        <v>100.68</v>
      </c>
      <c r="R179" s="187">
        <v>46.19</v>
      </c>
      <c r="S179" s="187">
        <v>154.31</v>
      </c>
      <c r="T179" s="187">
        <v>695</v>
      </c>
      <c r="U179" s="187">
        <v>176.35</v>
      </c>
      <c r="V179" s="187">
        <v>489</v>
      </c>
      <c r="W179" s="187">
        <v>0</v>
      </c>
      <c r="X179" s="187">
        <v>0</v>
      </c>
      <c r="Y179" s="187">
        <v>55</v>
      </c>
      <c r="Z179" s="187">
        <v>4</v>
      </c>
      <c r="AA179" s="187">
        <v>1</v>
      </c>
      <c r="AB179" s="187">
        <v>0</v>
      </c>
      <c r="AC179" s="187">
        <v>8</v>
      </c>
      <c r="AD179" s="187">
        <v>3528</v>
      </c>
      <c r="AE179" s="187">
        <v>90</v>
      </c>
      <c r="AF179" s="187">
        <v>49</v>
      </c>
      <c r="AG179" s="187">
        <v>139</v>
      </c>
      <c r="AH179" s="187"/>
      <c r="AI179" s="187"/>
      <c r="AJ179" s="187"/>
      <c r="AK179" s="187"/>
      <c r="AL179" s="187"/>
      <c r="AM179" s="187"/>
      <c r="AN179" s="187"/>
      <c r="AO179" s="187"/>
      <c r="AP179" s="187"/>
      <c r="AQ179" s="187"/>
      <c r="AR179" s="187"/>
      <c r="AS179" s="187"/>
      <c r="AT179" s="187"/>
      <c r="AU179" s="187"/>
      <c r="AV179" s="187"/>
      <c r="AW179" s="187"/>
      <c r="AX179" s="187"/>
      <c r="AY179" s="187"/>
      <c r="AZ179" s="187"/>
      <c r="BA179" s="187"/>
      <c r="BB179" s="187"/>
      <c r="BC179" s="187"/>
      <c r="BD179" s="187"/>
      <c r="BE179" s="187"/>
      <c r="BF179" s="187"/>
      <c r="BG179" s="187"/>
      <c r="BH179" s="187"/>
      <c r="BI179" s="187"/>
      <c r="BJ179" s="187"/>
      <c r="BK179" s="187"/>
      <c r="BL179" s="187"/>
      <c r="BM179" s="187"/>
      <c r="BN179" s="187"/>
      <c r="BO179" s="187"/>
      <c r="BP179" s="187"/>
      <c r="BQ179" s="187"/>
      <c r="BR179" s="187"/>
      <c r="BS179" s="187"/>
      <c r="BT179" s="187"/>
      <c r="BU179" s="187"/>
      <c r="BV179" s="187"/>
      <c r="BW179" s="187"/>
      <c r="BX179" s="187"/>
      <c r="BY179" s="187"/>
      <c r="BZ179" s="187"/>
      <c r="CA179" s="187"/>
      <c r="CB179" s="187"/>
      <c r="CC179" s="187"/>
      <c r="CD179" s="187"/>
      <c r="CE179" s="187"/>
      <c r="CF179" s="187"/>
      <c r="CG179" s="187"/>
      <c r="CH179" s="187"/>
      <c r="CI179" s="187"/>
      <c r="CJ179" s="187"/>
      <c r="CK179" s="187"/>
      <c r="CL179" s="187"/>
      <c r="CM179" s="187"/>
      <c r="CN179" s="187"/>
      <c r="CO179" s="187"/>
      <c r="CP179" s="187"/>
      <c r="CQ179" s="187"/>
      <c r="CR179" s="187"/>
      <c r="CS179" s="187"/>
      <c r="CT179" s="187"/>
      <c r="CU179" s="187"/>
      <c r="CV179" s="187"/>
      <c r="CW179" s="187"/>
      <c r="CX179" s="187"/>
      <c r="CY179" s="187"/>
      <c r="CZ179" s="187"/>
      <c r="DA179" s="187"/>
      <c r="DB179" s="187"/>
      <c r="DC179" s="187"/>
      <c r="DD179" s="187"/>
      <c r="DE179" s="187"/>
      <c r="DF179" s="187"/>
      <c r="DG179" s="187"/>
      <c r="DH179" s="187"/>
      <c r="DI179" s="187"/>
      <c r="DJ179" s="187"/>
      <c r="DK179" s="187"/>
      <c r="DL179" s="187"/>
      <c r="DM179" s="187"/>
      <c r="DN179" s="187"/>
      <c r="DO179" s="187"/>
      <c r="DP179" s="187"/>
      <c r="DQ179" s="187"/>
      <c r="DR179" s="187"/>
      <c r="DS179" s="187"/>
      <c r="DT179" s="187"/>
      <c r="DU179" s="187"/>
      <c r="DV179" s="187"/>
      <c r="DW179" s="187"/>
      <c r="DX179" s="187"/>
      <c r="DY179" s="187"/>
      <c r="DZ179" s="187"/>
      <c r="EA179" s="187"/>
      <c r="EB179" s="187"/>
      <c r="EC179" s="187"/>
      <c r="ED179" s="187"/>
      <c r="EE179" s="187"/>
      <c r="EF179" s="187"/>
      <c r="EG179" s="187"/>
      <c r="EH179" s="187"/>
      <c r="EI179" s="187"/>
      <c r="EJ179" s="187"/>
      <c r="EK179" s="187"/>
      <c r="EL179" s="187"/>
      <c r="EM179" s="187"/>
      <c r="EN179" s="187"/>
      <c r="EO179" s="187"/>
      <c r="EP179" s="187"/>
      <c r="EQ179" s="187"/>
      <c r="ER179" s="187"/>
      <c r="ES179" s="187"/>
      <c r="ET179" s="187"/>
      <c r="EU179" s="187"/>
      <c r="EV179" s="187"/>
      <c r="EW179" s="187"/>
      <c r="EX179" s="187"/>
      <c r="EY179" s="187"/>
      <c r="EZ179" s="187"/>
      <c r="FA179" s="187"/>
      <c r="FB179" s="187"/>
      <c r="FC179" s="187"/>
    </row>
    <row r="180" spans="1:159" ht="15" x14ac:dyDescent="0.25">
      <c r="A180" s="187" t="s">
        <v>416</v>
      </c>
      <c r="B180" s="187" t="s">
        <v>417</v>
      </c>
      <c r="C180" s="187">
        <v>2891</v>
      </c>
      <c r="D180" s="187">
        <v>8</v>
      </c>
      <c r="E180" s="187">
        <v>177</v>
      </c>
      <c r="F180" s="187">
        <v>402</v>
      </c>
      <c r="G180" s="187">
        <v>422</v>
      </c>
      <c r="H180" s="187">
        <v>3900</v>
      </c>
      <c r="I180" s="187">
        <v>3478</v>
      </c>
      <c r="J180" s="187">
        <v>6</v>
      </c>
      <c r="K180" s="187">
        <v>119.98</v>
      </c>
      <c r="L180" s="187">
        <v>117.16</v>
      </c>
      <c r="M180" s="187">
        <v>4.87</v>
      </c>
      <c r="N180" s="187">
        <v>123.83</v>
      </c>
      <c r="O180" s="187">
        <v>2462</v>
      </c>
      <c r="P180" s="187">
        <v>109.9</v>
      </c>
      <c r="Q180" s="187">
        <v>93.79</v>
      </c>
      <c r="R180" s="187">
        <v>40.71</v>
      </c>
      <c r="S180" s="187">
        <v>148.31</v>
      </c>
      <c r="T180" s="187">
        <v>460</v>
      </c>
      <c r="U180" s="187">
        <v>157.62</v>
      </c>
      <c r="V180" s="187">
        <v>317</v>
      </c>
      <c r="W180" s="187">
        <v>150.59</v>
      </c>
      <c r="X180" s="187">
        <v>4</v>
      </c>
      <c r="Y180" s="187">
        <v>0</v>
      </c>
      <c r="Z180" s="187">
        <v>1</v>
      </c>
      <c r="AA180" s="187">
        <v>1</v>
      </c>
      <c r="AB180" s="187">
        <v>20</v>
      </c>
      <c r="AC180" s="187">
        <v>12</v>
      </c>
      <c r="AD180" s="187">
        <v>2846</v>
      </c>
      <c r="AE180" s="187">
        <v>5</v>
      </c>
      <c r="AF180" s="187">
        <v>16</v>
      </c>
      <c r="AG180" s="187">
        <v>21</v>
      </c>
      <c r="AH180" s="187"/>
      <c r="AI180" s="187"/>
      <c r="AJ180" s="187"/>
      <c r="AK180" s="187"/>
      <c r="AL180" s="187"/>
      <c r="AM180" s="187"/>
      <c r="AN180" s="187"/>
      <c r="AO180" s="187"/>
      <c r="AP180" s="187"/>
      <c r="AQ180" s="187"/>
      <c r="AR180" s="187"/>
      <c r="AS180" s="187"/>
      <c r="AT180" s="187"/>
      <c r="AU180" s="187"/>
      <c r="AV180" s="187"/>
      <c r="AW180" s="187"/>
      <c r="AX180" s="187"/>
      <c r="AY180" s="187"/>
      <c r="AZ180" s="187"/>
      <c r="BA180" s="187"/>
      <c r="BB180" s="187"/>
      <c r="BC180" s="187"/>
      <c r="BD180" s="187"/>
      <c r="BE180" s="187"/>
      <c r="BF180" s="187"/>
      <c r="BG180" s="187"/>
      <c r="BH180" s="187"/>
      <c r="BI180" s="187"/>
      <c r="BJ180" s="187"/>
      <c r="BK180" s="187"/>
      <c r="BL180" s="187"/>
      <c r="BM180" s="187"/>
      <c r="BN180" s="187"/>
      <c r="BO180" s="187"/>
      <c r="BP180" s="187"/>
      <c r="BQ180" s="187"/>
      <c r="BR180" s="187"/>
      <c r="BS180" s="187"/>
      <c r="BT180" s="187"/>
      <c r="BU180" s="187"/>
      <c r="BV180" s="187"/>
      <c r="BW180" s="187"/>
      <c r="BX180" s="187"/>
      <c r="BY180" s="187"/>
      <c r="BZ180" s="187"/>
      <c r="CA180" s="187"/>
      <c r="CB180" s="187"/>
      <c r="CC180" s="187"/>
      <c r="CD180" s="187"/>
      <c r="CE180" s="187"/>
      <c r="CF180" s="187"/>
      <c r="CG180" s="187"/>
      <c r="CH180" s="187"/>
      <c r="CI180" s="187"/>
      <c r="CJ180" s="187"/>
      <c r="CK180" s="187"/>
      <c r="CL180" s="187"/>
      <c r="CM180" s="187"/>
      <c r="CN180" s="187"/>
      <c r="CO180" s="187"/>
      <c r="CP180" s="187"/>
      <c r="CQ180" s="187"/>
      <c r="CR180" s="187"/>
      <c r="CS180" s="187"/>
      <c r="CT180" s="187"/>
      <c r="CU180" s="187"/>
      <c r="CV180" s="187"/>
      <c r="CW180" s="187"/>
      <c r="CX180" s="187"/>
      <c r="CY180" s="187"/>
      <c r="CZ180" s="187"/>
      <c r="DA180" s="187"/>
      <c r="DB180" s="187"/>
      <c r="DC180" s="187"/>
      <c r="DD180" s="187"/>
      <c r="DE180" s="187"/>
      <c r="DF180" s="187"/>
      <c r="DG180" s="187"/>
      <c r="DH180" s="187"/>
      <c r="DI180" s="187"/>
      <c r="DJ180" s="187"/>
      <c r="DK180" s="187"/>
      <c r="DL180" s="187"/>
      <c r="DM180" s="187"/>
      <c r="DN180" s="187"/>
      <c r="DO180" s="187"/>
      <c r="DP180" s="187"/>
      <c r="DQ180" s="187"/>
      <c r="DR180" s="187"/>
      <c r="DS180" s="187"/>
      <c r="DT180" s="187"/>
      <c r="DU180" s="187"/>
      <c r="DV180" s="187"/>
      <c r="DW180" s="187"/>
      <c r="DX180" s="187"/>
      <c r="DY180" s="187"/>
      <c r="DZ180" s="187"/>
      <c r="EA180" s="187"/>
      <c r="EB180" s="187"/>
      <c r="EC180" s="187"/>
      <c r="ED180" s="187"/>
      <c r="EE180" s="187"/>
      <c r="EF180" s="187"/>
      <c r="EG180" s="187"/>
      <c r="EH180" s="187"/>
      <c r="EI180" s="187"/>
      <c r="EJ180" s="187"/>
      <c r="EK180" s="187"/>
      <c r="EL180" s="187"/>
      <c r="EM180" s="187"/>
      <c r="EN180" s="187"/>
      <c r="EO180" s="187"/>
      <c r="EP180" s="187"/>
      <c r="EQ180" s="187"/>
      <c r="ER180" s="187"/>
      <c r="ES180" s="187"/>
      <c r="ET180" s="187"/>
      <c r="EU180" s="187"/>
      <c r="EV180" s="187"/>
      <c r="EW180" s="187"/>
      <c r="EX180" s="187"/>
      <c r="EY180" s="187"/>
      <c r="EZ180" s="187"/>
      <c r="FA180" s="187"/>
      <c r="FB180" s="187"/>
      <c r="FC180" s="187"/>
    </row>
    <row r="181" spans="1:159" ht="15" x14ac:dyDescent="0.25">
      <c r="A181" s="187" t="s">
        <v>418</v>
      </c>
      <c r="B181" s="187" t="s">
        <v>419</v>
      </c>
      <c r="C181" s="187">
        <v>2026</v>
      </c>
      <c r="D181" s="187">
        <v>0</v>
      </c>
      <c r="E181" s="187">
        <v>334</v>
      </c>
      <c r="F181" s="187">
        <v>268</v>
      </c>
      <c r="G181" s="187">
        <v>410</v>
      </c>
      <c r="H181" s="187">
        <v>3038</v>
      </c>
      <c r="I181" s="187">
        <v>2628</v>
      </c>
      <c r="J181" s="187">
        <v>3</v>
      </c>
      <c r="K181" s="187">
        <v>93.36</v>
      </c>
      <c r="L181" s="187">
        <v>89.91</v>
      </c>
      <c r="M181" s="187">
        <v>5.07</v>
      </c>
      <c r="N181" s="187">
        <v>96.37</v>
      </c>
      <c r="O181" s="187">
        <v>1527</v>
      </c>
      <c r="P181" s="187">
        <v>120.16</v>
      </c>
      <c r="Q181" s="187">
        <v>81.8</v>
      </c>
      <c r="R181" s="187">
        <v>73.83</v>
      </c>
      <c r="S181" s="187">
        <v>193.82</v>
      </c>
      <c r="T181" s="187">
        <v>451</v>
      </c>
      <c r="U181" s="187">
        <v>105.83</v>
      </c>
      <c r="V181" s="187">
        <v>413</v>
      </c>
      <c r="W181" s="187">
        <v>170.67</v>
      </c>
      <c r="X181" s="187">
        <v>5</v>
      </c>
      <c r="Y181" s="187">
        <v>0</v>
      </c>
      <c r="Z181" s="187">
        <v>0</v>
      </c>
      <c r="AA181" s="187">
        <v>38</v>
      </c>
      <c r="AB181" s="187">
        <v>26</v>
      </c>
      <c r="AC181" s="187">
        <v>14</v>
      </c>
      <c r="AD181" s="187">
        <v>2026</v>
      </c>
      <c r="AE181" s="187">
        <v>9</v>
      </c>
      <c r="AF181" s="187">
        <v>5</v>
      </c>
      <c r="AG181" s="187">
        <v>14</v>
      </c>
      <c r="AH181" s="187"/>
      <c r="AI181" s="187"/>
      <c r="AJ181" s="187"/>
      <c r="AK181" s="187"/>
      <c r="AL181" s="187"/>
      <c r="AM181" s="187"/>
      <c r="AN181" s="187"/>
      <c r="AO181" s="187"/>
      <c r="AP181" s="187"/>
      <c r="AQ181" s="187"/>
      <c r="AR181" s="187"/>
      <c r="AS181" s="187"/>
      <c r="AT181" s="187"/>
      <c r="AU181" s="187"/>
      <c r="AV181" s="187"/>
      <c r="AW181" s="187"/>
      <c r="AX181" s="187"/>
      <c r="AY181" s="187"/>
      <c r="AZ181" s="187"/>
      <c r="BA181" s="187"/>
      <c r="BB181" s="187"/>
      <c r="BC181" s="187"/>
      <c r="BD181" s="187"/>
      <c r="BE181" s="187"/>
      <c r="BF181" s="187"/>
      <c r="BG181" s="187"/>
      <c r="BH181" s="187"/>
      <c r="BI181" s="187"/>
      <c r="BJ181" s="187"/>
      <c r="BK181" s="187"/>
      <c r="BL181" s="187"/>
      <c r="BM181" s="187"/>
      <c r="BN181" s="187"/>
      <c r="BO181" s="187"/>
      <c r="BP181" s="187"/>
      <c r="BQ181" s="187"/>
      <c r="BR181" s="187"/>
      <c r="BS181" s="187"/>
      <c r="BT181" s="187"/>
      <c r="BU181" s="187"/>
      <c r="BV181" s="187"/>
      <c r="BW181" s="187"/>
      <c r="BX181" s="187"/>
      <c r="BY181" s="187"/>
      <c r="BZ181" s="187"/>
      <c r="CA181" s="187"/>
      <c r="CB181" s="187"/>
      <c r="CC181" s="187"/>
      <c r="CD181" s="187"/>
      <c r="CE181" s="187"/>
      <c r="CF181" s="187"/>
      <c r="CG181" s="187"/>
      <c r="CH181" s="187"/>
      <c r="CI181" s="187"/>
      <c r="CJ181" s="187"/>
      <c r="CK181" s="187"/>
      <c r="CL181" s="187"/>
      <c r="CM181" s="187"/>
      <c r="CN181" s="187"/>
      <c r="CO181" s="187"/>
      <c r="CP181" s="187"/>
      <c r="CQ181" s="187"/>
      <c r="CR181" s="187"/>
      <c r="CS181" s="187"/>
      <c r="CT181" s="187"/>
      <c r="CU181" s="187"/>
      <c r="CV181" s="187"/>
      <c r="CW181" s="187"/>
      <c r="CX181" s="187"/>
      <c r="CY181" s="187"/>
      <c r="CZ181" s="187"/>
      <c r="DA181" s="187"/>
      <c r="DB181" s="187"/>
      <c r="DC181" s="187"/>
      <c r="DD181" s="187"/>
      <c r="DE181" s="187"/>
      <c r="DF181" s="187"/>
      <c r="DG181" s="187"/>
      <c r="DH181" s="187"/>
      <c r="DI181" s="187"/>
      <c r="DJ181" s="187"/>
      <c r="DK181" s="187"/>
      <c r="DL181" s="187"/>
      <c r="DM181" s="187"/>
      <c r="DN181" s="187"/>
      <c r="DO181" s="187"/>
      <c r="DP181" s="187"/>
      <c r="DQ181" s="187"/>
      <c r="DR181" s="187"/>
      <c r="DS181" s="187"/>
      <c r="DT181" s="187"/>
      <c r="DU181" s="187"/>
      <c r="DV181" s="187"/>
      <c r="DW181" s="187"/>
      <c r="DX181" s="187"/>
      <c r="DY181" s="187"/>
      <c r="DZ181" s="187"/>
      <c r="EA181" s="187"/>
      <c r="EB181" s="187"/>
      <c r="EC181" s="187"/>
      <c r="ED181" s="187"/>
      <c r="EE181" s="187"/>
      <c r="EF181" s="187"/>
      <c r="EG181" s="187"/>
      <c r="EH181" s="187"/>
      <c r="EI181" s="187"/>
      <c r="EJ181" s="187"/>
      <c r="EK181" s="187"/>
      <c r="EL181" s="187"/>
      <c r="EM181" s="187"/>
      <c r="EN181" s="187"/>
      <c r="EO181" s="187"/>
      <c r="EP181" s="187"/>
      <c r="EQ181" s="187"/>
      <c r="ER181" s="187"/>
      <c r="ES181" s="187"/>
      <c r="ET181" s="187"/>
      <c r="EU181" s="187"/>
      <c r="EV181" s="187"/>
      <c r="EW181" s="187"/>
      <c r="EX181" s="187"/>
      <c r="EY181" s="187"/>
      <c r="EZ181" s="187"/>
      <c r="FA181" s="187"/>
      <c r="FB181" s="187"/>
      <c r="FC181" s="187"/>
    </row>
    <row r="182" spans="1:159" ht="15" x14ac:dyDescent="0.25">
      <c r="A182" s="187" t="s">
        <v>420</v>
      </c>
      <c r="B182" s="187" t="s">
        <v>421</v>
      </c>
      <c r="C182" s="187">
        <v>7315</v>
      </c>
      <c r="D182" s="187">
        <v>125</v>
      </c>
      <c r="E182" s="187">
        <v>1495</v>
      </c>
      <c r="F182" s="187">
        <v>1715</v>
      </c>
      <c r="G182" s="187">
        <v>421</v>
      </c>
      <c r="H182" s="187">
        <v>11071</v>
      </c>
      <c r="I182" s="187">
        <v>10650</v>
      </c>
      <c r="J182" s="187">
        <v>96</v>
      </c>
      <c r="K182" s="187">
        <v>83.33</v>
      </c>
      <c r="L182" s="187">
        <v>81.28</v>
      </c>
      <c r="M182" s="187">
        <v>10.32</v>
      </c>
      <c r="N182" s="187">
        <v>91.75</v>
      </c>
      <c r="O182" s="187">
        <v>5630</v>
      </c>
      <c r="P182" s="187">
        <v>90.19</v>
      </c>
      <c r="Q182" s="187">
        <v>76.739999999999995</v>
      </c>
      <c r="R182" s="187">
        <v>66.89</v>
      </c>
      <c r="S182" s="187">
        <v>155.66999999999999</v>
      </c>
      <c r="T182" s="187">
        <v>2316</v>
      </c>
      <c r="U182" s="187">
        <v>109.88</v>
      </c>
      <c r="V182" s="187">
        <v>1312</v>
      </c>
      <c r="W182" s="187">
        <v>217.46</v>
      </c>
      <c r="X182" s="187">
        <v>366</v>
      </c>
      <c r="Y182" s="187">
        <v>1</v>
      </c>
      <c r="Z182" s="187">
        <v>8</v>
      </c>
      <c r="AA182" s="187">
        <v>5</v>
      </c>
      <c r="AB182" s="187">
        <v>34</v>
      </c>
      <c r="AC182" s="187">
        <v>14</v>
      </c>
      <c r="AD182" s="187">
        <v>6791</v>
      </c>
      <c r="AE182" s="187">
        <v>109</v>
      </c>
      <c r="AF182" s="187">
        <v>79</v>
      </c>
      <c r="AG182" s="187">
        <v>188</v>
      </c>
      <c r="AH182" s="187"/>
      <c r="AI182" s="187"/>
      <c r="AJ182" s="187"/>
      <c r="AK182" s="187"/>
      <c r="AL182" s="187"/>
      <c r="AM182" s="187"/>
      <c r="AN182" s="187"/>
      <c r="AO182" s="187"/>
      <c r="AP182" s="187"/>
      <c r="AQ182" s="187"/>
      <c r="AR182" s="187"/>
      <c r="AS182" s="187"/>
      <c r="AT182" s="187"/>
      <c r="AU182" s="187"/>
      <c r="AV182" s="187"/>
      <c r="AW182" s="187"/>
      <c r="AX182" s="187"/>
      <c r="AY182" s="187"/>
      <c r="AZ182" s="187"/>
      <c r="BA182" s="187"/>
      <c r="BB182" s="187"/>
      <c r="BC182" s="187"/>
      <c r="BD182" s="187"/>
      <c r="BE182" s="187"/>
      <c r="BF182" s="187"/>
      <c r="BG182" s="187"/>
      <c r="BH182" s="187"/>
      <c r="BI182" s="187"/>
      <c r="BJ182" s="187"/>
      <c r="BK182" s="187"/>
      <c r="BL182" s="187"/>
      <c r="BM182" s="187"/>
      <c r="BN182" s="187"/>
      <c r="BO182" s="187"/>
      <c r="BP182" s="187"/>
      <c r="BQ182" s="187"/>
      <c r="BR182" s="187"/>
      <c r="BS182" s="187"/>
      <c r="BT182" s="187"/>
      <c r="BU182" s="187"/>
      <c r="BV182" s="187"/>
      <c r="BW182" s="187"/>
      <c r="BX182" s="187"/>
      <c r="BY182" s="187"/>
      <c r="BZ182" s="187"/>
      <c r="CA182" s="187"/>
      <c r="CB182" s="187"/>
      <c r="CC182" s="187"/>
      <c r="CD182" s="187"/>
      <c r="CE182" s="187"/>
      <c r="CF182" s="187"/>
      <c r="CG182" s="187"/>
      <c r="CH182" s="187"/>
      <c r="CI182" s="187"/>
      <c r="CJ182" s="187"/>
      <c r="CK182" s="187"/>
      <c r="CL182" s="187"/>
      <c r="CM182" s="187"/>
      <c r="CN182" s="187"/>
      <c r="CO182" s="187"/>
      <c r="CP182" s="187"/>
      <c r="CQ182" s="187"/>
      <c r="CR182" s="187"/>
      <c r="CS182" s="187"/>
      <c r="CT182" s="187"/>
      <c r="CU182" s="187"/>
      <c r="CV182" s="187"/>
      <c r="CW182" s="187"/>
      <c r="CX182" s="187"/>
      <c r="CY182" s="187"/>
      <c r="CZ182" s="187"/>
      <c r="DA182" s="187"/>
      <c r="DB182" s="187"/>
      <c r="DC182" s="187"/>
      <c r="DD182" s="187"/>
      <c r="DE182" s="187"/>
      <c r="DF182" s="187"/>
      <c r="DG182" s="187"/>
      <c r="DH182" s="187"/>
      <c r="DI182" s="187"/>
      <c r="DJ182" s="187"/>
      <c r="DK182" s="187"/>
      <c r="DL182" s="187"/>
      <c r="DM182" s="187"/>
      <c r="DN182" s="187"/>
      <c r="DO182" s="187"/>
      <c r="DP182" s="187"/>
      <c r="DQ182" s="187"/>
      <c r="DR182" s="187"/>
      <c r="DS182" s="187"/>
      <c r="DT182" s="187"/>
      <c r="DU182" s="187"/>
      <c r="DV182" s="187"/>
      <c r="DW182" s="187"/>
      <c r="DX182" s="187"/>
      <c r="DY182" s="187"/>
      <c r="DZ182" s="187"/>
      <c r="EA182" s="187"/>
      <c r="EB182" s="187"/>
      <c r="EC182" s="187"/>
      <c r="ED182" s="187"/>
      <c r="EE182" s="187"/>
      <c r="EF182" s="187"/>
      <c r="EG182" s="187"/>
      <c r="EH182" s="187"/>
      <c r="EI182" s="187"/>
      <c r="EJ182" s="187"/>
      <c r="EK182" s="187"/>
      <c r="EL182" s="187"/>
      <c r="EM182" s="187"/>
      <c r="EN182" s="187"/>
      <c r="EO182" s="187"/>
      <c r="EP182" s="187"/>
      <c r="EQ182" s="187"/>
      <c r="ER182" s="187"/>
      <c r="ES182" s="187"/>
      <c r="ET182" s="187"/>
      <c r="EU182" s="187"/>
      <c r="EV182" s="187"/>
      <c r="EW182" s="187"/>
      <c r="EX182" s="187"/>
      <c r="EY182" s="187"/>
      <c r="EZ182" s="187"/>
      <c r="FA182" s="187"/>
      <c r="FB182" s="187"/>
      <c r="FC182" s="187"/>
    </row>
    <row r="183" spans="1:159" ht="15" x14ac:dyDescent="0.25">
      <c r="A183" s="187" t="s">
        <v>422</v>
      </c>
      <c r="B183" s="187" t="s">
        <v>423</v>
      </c>
      <c r="C183" s="187">
        <v>8677</v>
      </c>
      <c r="D183" s="187">
        <v>0</v>
      </c>
      <c r="E183" s="187">
        <v>128</v>
      </c>
      <c r="F183" s="187">
        <v>913</v>
      </c>
      <c r="G183" s="187">
        <v>276</v>
      </c>
      <c r="H183" s="187">
        <v>9994</v>
      </c>
      <c r="I183" s="187">
        <v>9718</v>
      </c>
      <c r="J183" s="187">
        <v>58</v>
      </c>
      <c r="K183" s="187">
        <v>83.03</v>
      </c>
      <c r="L183" s="187">
        <v>87.82</v>
      </c>
      <c r="M183" s="187">
        <v>4.4800000000000004</v>
      </c>
      <c r="N183" s="187">
        <v>87.31</v>
      </c>
      <c r="O183" s="187">
        <v>7995</v>
      </c>
      <c r="P183" s="187">
        <v>87.73</v>
      </c>
      <c r="Q183" s="187">
        <v>86.89</v>
      </c>
      <c r="R183" s="187">
        <v>34.08</v>
      </c>
      <c r="S183" s="187">
        <v>121.81</v>
      </c>
      <c r="T183" s="187">
        <v>883</v>
      </c>
      <c r="U183" s="187">
        <v>104.23</v>
      </c>
      <c r="V183" s="187">
        <v>627</v>
      </c>
      <c r="W183" s="187">
        <v>259.35000000000002</v>
      </c>
      <c r="X183" s="187">
        <v>73</v>
      </c>
      <c r="Y183" s="187">
        <v>0</v>
      </c>
      <c r="Z183" s="187">
        <v>25</v>
      </c>
      <c r="AA183" s="187">
        <v>14</v>
      </c>
      <c r="AB183" s="187">
        <v>4</v>
      </c>
      <c r="AC183" s="187">
        <v>5</v>
      </c>
      <c r="AD183" s="187">
        <v>8677</v>
      </c>
      <c r="AE183" s="187">
        <v>24</v>
      </c>
      <c r="AF183" s="187">
        <v>115</v>
      </c>
      <c r="AG183" s="187">
        <v>139</v>
      </c>
      <c r="AH183" s="187"/>
      <c r="AI183" s="187"/>
      <c r="AJ183" s="187"/>
      <c r="AK183" s="187"/>
      <c r="AL183" s="187"/>
      <c r="AM183" s="187"/>
      <c r="AN183" s="187"/>
      <c r="AO183" s="187"/>
      <c r="AP183" s="187"/>
      <c r="AQ183" s="187"/>
      <c r="AR183" s="187"/>
      <c r="AS183" s="187"/>
      <c r="AT183" s="187"/>
      <c r="AU183" s="187"/>
      <c r="AV183" s="187"/>
      <c r="AW183" s="187"/>
      <c r="AX183" s="187"/>
      <c r="AY183" s="187"/>
      <c r="AZ183" s="187"/>
      <c r="BA183" s="187"/>
      <c r="BB183" s="187"/>
      <c r="BC183" s="187"/>
      <c r="BD183" s="187"/>
      <c r="BE183" s="187"/>
      <c r="BF183" s="187"/>
      <c r="BG183" s="187"/>
      <c r="BH183" s="187"/>
      <c r="BI183" s="187"/>
      <c r="BJ183" s="187"/>
      <c r="BK183" s="187"/>
      <c r="BL183" s="187"/>
      <c r="BM183" s="187"/>
      <c r="BN183" s="187"/>
      <c r="BO183" s="187"/>
      <c r="BP183" s="187"/>
      <c r="BQ183" s="187"/>
      <c r="BR183" s="187"/>
      <c r="BS183" s="187"/>
      <c r="BT183" s="187"/>
      <c r="BU183" s="187"/>
      <c r="BV183" s="187"/>
      <c r="BW183" s="187"/>
      <c r="BX183" s="187"/>
      <c r="BY183" s="187"/>
      <c r="BZ183" s="187"/>
      <c r="CA183" s="187"/>
      <c r="CB183" s="187"/>
      <c r="CC183" s="187"/>
      <c r="CD183" s="187"/>
      <c r="CE183" s="187"/>
      <c r="CF183" s="187"/>
      <c r="CG183" s="187"/>
      <c r="CH183" s="187"/>
      <c r="CI183" s="187"/>
      <c r="CJ183" s="187"/>
      <c r="CK183" s="187"/>
      <c r="CL183" s="187"/>
      <c r="CM183" s="187"/>
      <c r="CN183" s="187"/>
      <c r="CO183" s="187"/>
      <c r="CP183" s="187"/>
      <c r="CQ183" s="187"/>
      <c r="CR183" s="187"/>
      <c r="CS183" s="187"/>
      <c r="CT183" s="187"/>
      <c r="CU183" s="187"/>
      <c r="CV183" s="187"/>
      <c r="CW183" s="187"/>
      <c r="CX183" s="187"/>
      <c r="CY183" s="187"/>
      <c r="CZ183" s="187"/>
      <c r="DA183" s="187"/>
      <c r="DB183" s="187"/>
      <c r="DC183" s="187"/>
      <c r="DD183" s="187"/>
      <c r="DE183" s="187"/>
      <c r="DF183" s="187"/>
      <c r="DG183" s="187"/>
      <c r="DH183" s="187"/>
      <c r="DI183" s="187"/>
      <c r="DJ183" s="187"/>
      <c r="DK183" s="187"/>
      <c r="DL183" s="187"/>
      <c r="DM183" s="187"/>
      <c r="DN183" s="187"/>
      <c r="DO183" s="187"/>
      <c r="DP183" s="187"/>
      <c r="DQ183" s="187"/>
      <c r="DR183" s="187"/>
      <c r="DS183" s="187"/>
      <c r="DT183" s="187"/>
      <c r="DU183" s="187"/>
      <c r="DV183" s="187"/>
      <c r="DW183" s="187"/>
      <c r="DX183" s="187"/>
      <c r="DY183" s="187"/>
      <c r="DZ183" s="187"/>
      <c r="EA183" s="187"/>
      <c r="EB183" s="187"/>
      <c r="EC183" s="187"/>
      <c r="ED183" s="187"/>
      <c r="EE183" s="187"/>
      <c r="EF183" s="187"/>
      <c r="EG183" s="187"/>
      <c r="EH183" s="187"/>
      <c r="EI183" s="187"/>
      <c r="EJ183" s="187"/>
      <c r="EK183" s="187"/>
      <c r="EL183" s="187"/>
      <c r="EM183" s="187"/>
      <c r="EN183" s="187"/>
      <c r="EO183" s="187"/>
      <c r="EP183" s="187"/>
      <c r="EQ183" s="187"/>
      <c r="ER183" s="187"/>
      <c r="ES183" s="187"/>
      <c r="ET183" s="187"/>
      <c r="EU183" s="187"/>
      <c r="EV183" s="187"/>
      <c r="EW183" s="187"/>
      <c r="EX183" s="187"/>
      <c r="EY183" s="187"/>
      <c r="EZ183" s="187"/>
      <c r="FA183" s="187"/>
      <c r="FB183" s="187"/>
      <c r="FC183" s="187"/>
    </row>
    <row r="184" spans="1:159" ht="15" x14ac:dyDescent="0.25">
      <c r="A184" s="187" t="s">
        <v>424</v>
      </c>
      <c r="B184" s="187" t="s">
        <v>425</v>
      </c>
      <c r="C184" s="187">
        <v>13131</v>
      </c>
      <c r="D184" s="187">
        <v>22</v>
      </c>
      <c r="E184" s="187">
        <v>950</v>
      </c>
      <c r="F184" s="187">
        <v>893</v>
      </c>
      <c r="G184" s="187">
        <v>2948</v>
      </c>
      <c r="H184" s="187">
        <v>17944</v>
      </c>
      <c r="I184" s="187">
        <v>14996</v>
      </c>
      <c r="J184" s="187">
        <v>120</v>
      </c>
      <c r="K184" s="187">
        <v>128.16</v>
      </c>
      <c r="L184" s="187">
        <v>128.32</v>
      </c>
      <c r="M184" s="187">
        <v>11.74</v>
      </c>
      <c r="N184" s="187">
        <v>135.81</v>
      </c>
      <c r="O184" s="187">
        <v>9543</v>
      </c>
      <c r="P184" s="187">
        <v>111.29</v>
      </c>
      <c r="Q184" s="187">
        <v>103.47</v>
      </c>
      <c r="R184" s="187">
        <v>63.44</v>
      </c>
      <c r="S184" s="187">
        <v>172.24</v>
      </c>
      <c r="T184" s="187">
        <v>1578</v>
      </c>
      <c r="U184" s="187">
        <v>217.86</v>
      </c>
      <c r="V184" s="187">
        <v>1728</v>
      </c>
      <c r="W184" s="187">
        <v>207.45</v>
      </c>
      <c r="X184" s="187">
        <v>53</v>
      </c>
      <c r="Y184" s="187">
        <v>0</v>
      </c>
      <c r="Z184" s="187">
        <v>4</v>
      </c>
      <c r="AA184" s="187">
        <v>21</v>
      </c>
      <c r="AB184" s="187">
        <v>261</v>
      </c>
      <c r="AC184" s="187">
        <v>112</v>
      </c>
      <c r="AD184" s="187">
        <v>12378</v>
      </c>
      <c r="AE184" s="187">
        <v>273</v>
      </c>
      <c r="AF184" s="187">
        <v>34</v>
      </c>
      <c r="AG184" s="187">
        <v>307</v>
      </c>
      <c r="AH184" s="187"/>
      <c r="AI184" s="187"/>
      <c r="AJ184" s="187"/>
      <c r="AK184" s="187"/>
      <c r="AL184" s="187"/>
      <c r="AM184" s="187"/>
      <c r="AN184" s="187"/>
      <c r="AO184" s="187"/>
      <c r="AP184" s="187"/>
      <c r="AQ184" s="187"/>
      <c r="AR184" s="187"/>
      <c r="AS184" s="187"/>
      <c r="AT184" s="187"/>
      <c r="AU184" s="187"/>
      <c r="AV184" s="187"/>
      <c r="AW184" s="187"/>
      <c r="AX184" s="187"/>
      <c r="AY184" s="187"/>
      <c r="AZ184" s="187"/>
      <c r="BA184" s="187"/>
      <c r="BB184" s="187"/>
      <c r="BC184" s="187"/>
      <c r="BD184" s="187"/>
      <c r="BE184" s="187"/>
      <c r="BF184" s="187"/>
      <c r="BG184" s="187"/>
      <c r="BH184" s="187"/>
      <c r="BI184" s="187"/>
      <c r="BJ184" s="187"/>
      <c r="BK184" s="187"/>
      <c r="BL184" s="187"/>
      <c r="BM184" s="187"/>
      <c r="BN184" s="187"/>
      <c r="BO184" s="187"/>
      <c r="BP184" s="187"/>
      <c r="BQ184" s="187"/>
      <c r="BR184" s="187"/>
      <c r="BS184" s="187"/>
      <c r="BT184" s="187"/>
      <c r="BU184" s="187"/>
      <c r="BV184" s="187"/>
      <c r="BW184" s="187"/>
      <c r="BX184" s="187"/>
      <c r="BY184" s="187"/>
      <c r="BZ184" s="187"/>
      <c r="CA184" s="187"/>
      <c r="CB184" s="187"/>
      <c r="CC184" s="187"/>
      <c r="CD184" s="187"/>
      <c r="CE184" s="187"/>
      <c r="CF184" s="187"/>
      <c r="CG184" s="187"/>
      <c r="CH184" s="187"/>
      <c r="CI184" s="187"/>
      <c r="CJ184" s="187"/>
      <c r="CK184" s="187"/>
      <c r="CL184" s="187"/>
      <c r="CM184" s="187"/>
      <c r="CN184" s="187"/>
      <c r="CO184" s="187"/>
      <c r="CP184" s="187"/>
      <c r="CQ184" s="187"/>
      <c r="CR184" s="187"/>
      <c r="CS184" s="187"/>
      <c r="CT184" s="187"/>
      <c r="CU184" s="187"/>
      <c r="CV184" s="187"/>
      <c r="CW184" s="187"/>
      <c r="CX184" s="187"/>
      <c r="CY184" s="187"/>
      <c r="CZ184" s="187"/>
      <c r="DA184" s="187"/>
      <c r="DB184" s="187"/>
      <c r="DC184" s="187"/>
      <c r="DD184" s="187"/>
      <c r="DE184" s="187"/>
      <c r="DF184" s="187"/>
      <c r="DG184" s="187"/>
      <c r="DH184" s="187"/>
      <c r="DI184" s="187"/>
      <c r="DJ184" s="187"/>
      <c r="DK184" s="187"/>
      <c r="DL184" s="187"/>
      <c r="DM184" s="187"/>
      <c r="DN184" s="187"/>
      <c r="DO184" s="187"/>
      <c r="DP184" s="187"/>
      <c r="DQ184" s="187"/>
      <c r="DR184" s="187"/>
      <c r="DS184" s="187"/>
      <c r="DT184" s="187"/>
      <c r="DU184" s="187"/>
      <c r="DV184" s="187"/>
      <c r="DW184" s="187"/>
      <c r="DX184" s="187"/>
      <c r="DY184" s="187"/>
      <c r="DZ184" s="187"/>
      <c r="EA184" s="187"/>
      <c r="EB184" s="187"/>
      <c r="EC184" s="187"/>
      <c r="ED184" s="187"/>
      <c r="EE184" s="187"/>
      <c r="EF184" s="187"/>
      <c r="EG184" s="187"/>
      <c r="EH184" s="187"/>
      <c r="EI184" s="187"/>
      <c r="EJ184" s="187"/>
      <c r="EK184" s="187"/>
      <c r="EL184" s="187"/>
      <c r="EM184" s="187"/>
      <c r="EN184" s="187"/>
      <c r="EO184" s="187"/>
      <c r="EP184" s="187"/>
      <c r="EQ184" s="187"/>
      <c r="ER184" s="187"/>
      <c r="ES184" s="187"/>
      <c r="ET184" s="187"/>
      <c r="EU184" s="187"/>
      <c r="EV184" s="187"/>
      <c r="EW184" s="187"/>
      <c r="EX184" s="187"/>
      <c r="EY184" s="187"/>
      <c r="EZ184" s="187"/>
      <c r="FA184" s="187"/>
      <c r="FB184" s="187"/>
      <c r="FC184" s="187"/>
    </row>
    <row r="185" spans="1:159" ht="15" x14ac:dyDescent="0.25">
      <c r="A185" s="187" t="s">
        <v>426</v>
      </c>
      <c r="B185" s="187" t="s">
        <v>427</v>
      </c>
      <c r="C185" s="187">
        <v>4126</v>
      </c>
      <c r="D185" s="187">
        <v>0</v>
      </c>
      <c r="E185" s="187">
        <v>110</v>
      </c>
      <c r="F185" s="187">
        <v>795</v>
      </c>
      <c r="G185" s="187">
        <v>457</v>
      </c>
      <c r="H185" s="187">
        <v>5488</v>
      </c>
      <c r="I185" s="187">
        <v>5031</v>
      </c>
      <c r="J185" s="187">
        <v>14</v>
      </c>
      <c r="K185" s="187">
        <v>91.23</v>
      </c>
      <c r="L185" s="187">
        <v>90.55</v>
      </c>
      <c r="M185" s="187">
        <v>4.67</v>
      </c>
      <c r="N185" s="187">
        <v>94.45</v>
      </c>
      <c r="O185" s="187">
        <v>3568</v>
      </c>
      <c r="P185" s="187">
        <v>81.31</v>
      </c>
      <c r="Q185" s="187">
        <v>79.27</v>
      </c>
      <c r="R185" s="187">
        <v>22.31</v>
      </c>
      <c r="S185" s="187">
        <v>103.56</v>
      </c>
      <c r="T185" s="187">
        <v>758</v>
      </c>
      <c r="U185" s="187">
        <v>123.55</v>
      </c>
      <c r="V185" s="187">
        <v>486</v>
      </c>
      <c r="W185" s="187">
        <v>140.29</v>
      </c>
      <c r="X185" s="187">
        <v>31</v>
      </c>
      <c r="Y185" s="187">
        <v>4</v>
      </c>
      <c r="Z185" s="187">
        <v>5</v>
      </c>
      <c r="AA185" s="187">
        <v>4</v>
      </c>
      <c r="AB185" s="187">
        <v>23</v>
      </c>
      <c r="AC185" s="187">
        <v>11</v>
      </c>
      <c r="AD185" s="187">
        <v>4085</v>
      </c>
      <c r="AE185" s="187">
        <v>7</v>
      </c>
      <c r="AF185" s="187">
        <v>34</v>
      </c>
      <c r="AG185" s="187">
        <v>41</v>
      </c>
      <c r="AH185" s="187"/>
      <c r="AI185" s="187"/>
      <c r="AJ185" s="187"/>
      <c r="AK185" s="187"/>
      <c r="AL185" s="187"/>
      <c r="AM185" s="187"/>
      <c r="AN185" s="187"/>
      <c r="AO185" s="187"/>
      <c r="AP185" s="187"/>
      <c r="AQ185" s="187"/>
      <c r="AR185" s="187"/>
      <c r="AS185" s="187"/>
      <c r="AT185" s="187"/>
      <c r="AU185" s="187"/>
      <c r="AV185" s="187"/>
      <c r="AW185" s="187"/>
      <c r="AX185" s="187"/>
      <c r="AY185" s="187"/>
      <c r="AZ185" s="187"/>
      <c r="BA185" s="187"/>
      <c r="BB185" s="187"/>
      <c r="BC185" s="187"/>
      <c r="BD185" s="187"/>
      <c r="BE185" s="187"/>
      <c r="BF185" s="187"/>
      <c r="BG185" s="187"/>
      <c r="BH185" s="187"/>
      <c r="BI185" s="187"/>
      <c r="BJ185" s="187"/>
      <c r="BK185" s="187"/>
      <c r="BL185" s="187"/>
      <c r="BM185" s="187"/>
      <c r="BN185" s="187"/>
      <c r="BO185" s="187"/>
      <c r="BP185" s="187"/>
      <c r="BQ185" s="187"/>
      <c r="BR185" s="187"/>
      <c r="BS185" s="187"/>
      <c r="BT185" s="187"/>
      <c r="BU185" s="187"/>
      <c r="BV185" s="187"/>
      <c r="BW185" s="187"/>
      <c r="BX185" s="187"/>
      <c r="BY185" s="187"/>
      <c r="BZ185" s="187"/>
      <c r="CA185" s="187"/>
      <c r="CB185" s="187"/>
      <c r="CC185" s="187"/>
      <c r="CD185" s="187"/>
      <c r="CE185" s="187"/>
      <c r="CF185" s="187"/>
      <c r="CG185" s="187"/>
      <c r="CH185" s="187"/>
      <c r="CI185" s="187"/>
      <c r="CJ185" s="187"/>
      <c r="CK185" s="187"/>
      <c r="CL185" s="187"/>
      <c r="CM185" s="187"/>
      <c r="CN185" s="187"/>
      <c r="CO185" s="187"/>
      <c r="CP185" s="187"/>
      <c r="CQ185" s="187"/>
      <c r="CR185" s="187"/>
      <c r="CS185" s="187"/>
      <c r="CT185" s="187"/>
      <c r="CU185" s="187"/>
      <c r="CV185" s="187"/>
      <c r="CW185" s="187"/>
      <c r="CX185" s="187"/>
      <c r="CY185" s="187"/>
      <c r="CZ185" s="187"/>
      <c r="DA185" s="187"/>
      <c r="DB185" s="187"/>
      <c r="DC185" s="187"/>
      <c r="DD185" s="187"/>
      <c r="DE185" s="187"/>
      <c r="DF185" s="187"/>
      <c r="DG185" s="187"/>
      <c r="DH185" s="187"/>
      <c r="DI185" s="187"/>
      <c r="DJ185" s="187"/>
      <c r="DK185" s="187"/>
      <c r="DL185" s="187"/>
      <c r="DM185" s="187"/>
      <c r="DN185" s="187"/>
      <c r="DO185" s="187"/>
      <c r="DP185" s="187"/>
      <c r="DQ185" s="187"/>
      <c r="DR185" s="187"/>
      <c r="DS185" s="187"/>
      <c r="DT185" s="187"/>
      <c r="DU185" s="187"/>
      <c r="DV185" s="187"/>
      <c r="DW185" s="187"/>
      <c r="DX185" s="187"/>
      <c r="DY185" s="187"/>
      <c r="DZ185" s="187"/>
      <c r="EA185" s="187"/>
      <c r="EB185" s="187"/>
      <c r="EC185" s="187"/>
      <c r="ED185" s="187"/>
      <c r="EE185" s="187"/>
      <c r="EF185" s="187"/>
      <c r="EG185" s="187"/>
      <c r="EH185" s="187"/>
      <c r="EI185" s="187"/>
      <c r="EJ185" s="187"/>
      <c r="EK185" s="187"/>
      <c r="EL185" s="187"/>
      <c r="EM185" s="187"/>
      <c r="EN185" s="187"/>
      <c r="EO185" s="187"/>
      <c r="EP185" s="187"/>
      <c r="EQ185" s="187"/>
      <c r="ER185" s="187"/>
      <c r="ES185" s="187"/>
      <c r="ET185" s="187"/>
      <c r="EU185" s="187"/>
      <c r="EV185" s="187"/>
      <c r="EW185" s="187"/>
      <c r="EX185" s="187"/>
      <c r="EY185" s="187"/>
      <c r="EZ185" s="187"/>
      <c r="FA185" s="187"/>
      <c r="FB185" s="187"/>
      <c r="FC185" s="187"/>
    </row>
    <row r="186" spans="1:159" ht="15" x14ac:dyDescent="0.25">
      <c r="A186" s="187" t="s">
        <v>428</v>
      </c>
      <c r="B186" s="187" t="s">
        <v>429</v>
      </c>
      <c r="C186" s="187">
        <v>972</v>
      </c>
      <c r="D186" s="187">
        <v>1</v>
      </c>
      <c r="E186" s="187">
        <v>80</v>
      </c>
      <c r="F186" s="187">
        <v>118</v>
      </c>
      <c r="G186" s="187">
        <v>296</v>
      </c>
      <c r="H186" s="187">
        <v>1467</v>
      </c>
      <c r="I186" s="187">
        <v>1171</v>
      </c>
      <c r="J186" s="187">
        <v>3</v>
      </c>
      <c r="K186" s="187">
        <v>96.47</v>
      </c>
      <c r="L186" s="187">
        <v>93.46</v>
      </c>
      <c r="M186" s="187">
        <v>3.75</v>
      </c>
      <c r="N186" s="187">
        <v>98.21</v>
      </c>
      <c r="O186" s="187">
        <v>534</v>
      </c>
      <c r="P186" s="187">
        <v>112.61</v>
      </c>
      <c r="Q186" s="187">
        <v>93.86</v>
      </c>
      <c r="R186" s="187">
        <v>41.47</v>
      </c>
      <c r="S186" s="187">
        <v>151.76</v>
      </c>
      <c r="T186" s="187">
        <v>197</v>
      </c>
      <c r="U186" s="187">
        <v>113.28</v>
      </c>
      <c r="V186" s="187">
        <v>414</v>
      </c>
      <c r="W186" s="187">
        <v>0</v>
      </c>
      <c r="X186" s="187">
        <v>0</v>
      </c>
      <c r="Y186" s="187">
        <v>0</v>
      </c>
      <c r="Z186" s="187">
        <v>0</v>
      </c>
      <c r="AA186" s="187">
        <v>5</v>
      </c>
      <c r="AB186" s="187">
        <v>19</v>
      </c>
      <c r="AC186" s="187">
        <v>5</v>
      </c>
      <c r="AD186" s="187">
        <v>821</v>
      </c>
      <c r="AE186" s="187">
        <v>1</v>
      </c>
      <c r="AF186" s="187">
        <v>17</v>
      </c>
      <c r="AG186" s="187">
        <v>18</v>
      </c>
      <c r="AH186" s="187"/>
      <c r="AI186" s="187"/>
      <c r="AJ186" s="187"/>
      <c r="AK186" s="187"/>
      <c r="AL186" s="187"/>
      <c r="AM186" s="187"/>
      <c r="AN186" s="187"/>
      <c r="AO186" s="187"/>
      <c r="AP186" s="187"/>
      <c r="AQ186" s="187"/>
      <c r="AR186" s="187"/>
      <c r="AS186" s="187"/>
      <c r="AT186" s="187"/>
      <c r="AU186" s="187"/>
      <c r="AV186" s="187"/>
      <c r="AW186" s="187"/>
      <c r="AX186" s="187"/>
      <c r="AY186" s="187"/>
      <c r="AZ186" s="187"/>
      <c r="BA186" s="187"/>
      <c r="BB186" s="187"/>
      <c r="BC186" s="187"/>
      <c r="BD186" s="187"/>
      <c r="BE186" s="187"/>
      <c r="BF186" s="187"/>
      <c r="BG186" s="187"/>
      <c r="BH186" s="187"/>
      <c r="BI186" s="187"/>
      <c r="BJ186" s="187"/>
      <c r="BK186" s="187"/>
      <c r="BL186" s="187"/>
      <c r="BM186" s="187"/>
      <c r="BN186" s="187"/>
      <c r="BO186" s="187"/>
      <c r="BP186" s="187"/>
      <c r="BQ186" s="187"/>
      <c r="BR186" s="187"/>
      <c r="BS186" s="187"/>
      <c r="BT186" s="187"/>
      <c r="BU186" s="187"/>
      <c r="BV186" s="187"/>
      <c r="BW186" s="187"/>
      <c r="BX186" s="187"/>
      <c r="BY186" s="187"/>
      <c r="BZ186" s="187"/>
      <c r="CA186" s="187"/>
      <c r="CB186" s="187"/>
      <c r="CC186" s="187"/>
      <c r="CD186" s="187"/>
      <c r="CE186" s="187"/>
      <c r="CF186" s="187"/>
      <c r="CG186" s="187"/>
      <c r="CH186" s="187"/>
      <c r="CI186" s="187"/>
      <c r="CJ186" s="187"/>
      <c r="CK186" s="187"/>
      <c r="CL186" s="187"/>
      <c r="CM186" s="187"/>
      <c r="CN186" s="187"/>
      <c r="CO186" s="187"/>
      <c r="CP186" s="187"/>
      <c r="CQ186" s="187"/>
      <c r="CR186" s="187"/>
      <c r="CS186" s="187"/>
      <c r="CT186" s="187"/>
      <c r="CU186" s="187"/>
      <c r="CV186" s="187"/>
      <c r="CW186" s="187"/>
      <c r="CX186" s="187"/>
      <c r="CY186" s="187"/>
      <c r="CZ186" s="187"/>
      <c r="DA186" s="187"/>
      <c r="DB186" s="187"/>
      <c r="DC186" s="187"/>
      <c r="DD186" s="187"/>
      <c r="DE186" s="187"/>
      <c r="DF186" s="187"/>
      <c r="DG186" s="187"/>
      <c r="DH186" s="187"/>
      <c r="DI186" s="187"/>
      <c r="DJ186" s="187"/>
      <c r="DK186" s="187"/>
      <c r="DL186" s="187"/>
      <c r="DM186" s="187"/>
      <c r="DN186" s="187"/>
      <c r="DO186" s="187"/>
      <c r="DP186" s="187"/>
      <c r="DQ186" s="187"/>
      <c r="DR186" s="187"/>
      <c r="DS186" s="187"/>
      <c r="DT186" s="187"/>
      <c r="DU186" s="187"/>
      <c r="DV186" s="187"/>
      <c r="DW186" s="187"/>
      <c r="DX186" s="187"/>
      <c r="DY186" s="187"/>
      <c r="DZ186" s="187"/>
      <c r="EA186" s="187"/>
      <c r="EB186" s="187"/>
      <c r="EC186" s="187"/>
      <c r="ED186" s="187"/>
      <c r="EE186" s="187"/>
      <c r="EF186" s="187"/>
      <c r="EG186" s="187"/>
      <c r="EH186" s="187"/>
      <c r="EI186" s="187"/>
      <c r="EJ186" s="187"/>
      <c r="EK186" s="187"/>
      <c r="EL186" s="187"/>
      <c r="EM186" s="187"/>
      <c r="EN186" s="187"/>
      <c r="EO186" s="187"/>
      <c r="EP186" s="187"/>
      <c r="EQ186" s="187"/>
      <c r="ER186" s="187"/>
      <c r="ES186" s="187"/>
      <c r="ET186" s="187"/>
      <c r="EU186" s="187"/>
      <c r="EV186" s="187"/>
      <c r="EW186" s="187"/>
      <c r="EX186" s="187"/>
      <c r="EY186" s="187"/>
      <c r="EZ186" s="187"/>
      <c r="FA186" s="187"/>
      <c r="FB186" s="187"/>
      <c r="FC186" s="187"/>
    </row>
    <row r="187" spans="1:159" ht="15" x14ac:dyDescent="0.25">
      <c r="A187" s="187" t="s">
        <v>430</v>
      </c>
      <c r="B187" s="187" t="s">
        <v>431</v>
      </c>
      <c r="C187" s="187">
        <v>7952</v>
      </c>
      <c r="D187" s="187">
        <v>0</v>
      </c>
      <c r="E187" s="187">
        <v>467</v>
      </c>
      <c r="F187" s="187">
        <v>1096</v>
      </c>
      <c r="G187" s="187">
        <v>268</v>
      </c>
      <c r="H187" s="187">
        <v>9783</v>
      </c>
      <c r="I187" s="187">
        <v>9515</v>
      </c>
      <c r="J187" s="187">
        <v>5</v>
      </c>
      <c r="K187" s="187">
        <v>84.15</v>
      </c>
      <c r="L187" s="187">
        <v>82.94</v>
      </c>
      <c r="M187" s="187">
        <v>2.6</v>
      </c>
      <c r="N187" s="187">
        <v>86.06</v>
      </c>
      <c r="O187" s="187">
        <v>7834</v>
      </c>
      <c r="P187" s="187">
        <v>102.48</v>
      </c>
      <c r="Q187" s="187">
        <v>72.55</v>
      </c>
      <c r="R187" s="187">
        <v>36.53</v>
      </c>
      <c r="S187" s="187">
        <v>135.06</v>
      </c>
      <c r="T187" s="187">
        <v>1380</v>
      </c>
      <c r="U187" s="187">
        <v>101.37</v>
      </c>
      <c r="V187" s="187">
        <v>96</v>
      </c>
      <c r="W187" s="187">
        <v>293.62</v>
      </c>
      <c r="X187" s="187">
        <v>60</v>
      </c>
      <c r="Y187" s="187">
        <v>0</v>
      </c>
      <c r="Z187" s="187">
        <v>13</v>
      </c>
      <c r="AA187" s="187">
        <v>4</v>
      </c>
      <c r="AB187" s="187">
        <v>8</v>
      </c>
      <c r="AC187" s="187">
        <v>9</v>
      </c>
      <c r="AD187" s="187">
        <v>7950</v>
      </c>
      <c r="AE187" s="187">
        <v>21</v>
      </c>
      <c r="AF187" s="187">
        <v>106</v>
      </c>
      <c r="AG187" s="187">
        <v>127</v>
      </c>
      <c r="AH187" s="187"/>
      <c r="AI187" s="187"/>
      <c r="AJ187" s="187"/>
      <c r="AK187" s="187"/>
      <c r="AL187" s="187"/>
      <c r="AM187" s="187"/>
      <c r="AN187" s="187"/>
      <c r="AO187" s="187"/>
      <c r="AP187" s="187"/>
      <c r="AQ187" s="187"/>
      <c r="AR187" s="187"/>
      <c r="AS187" s="187"/>
      <c r="AT187" s="187"/>
      <c r="AU187" s="187"/>
      <c r="AV187" s="187"/>
      <c r="AW187" s="187"/>
      <c r="AX187" s="187"/>
      <c r="AY187" s="187"/>
      <c r="AZ187" s="187"/>
      <c r="BA187" s="187"/>
      <c r="BB187" s="187"/>
      <c r="BC187" s="187"/>
      <c r="BD187" s="187"/>
      <c r="BE187" s="187"/>
      <c r="BF187" s="187"/>
      <c r="BG187" s="187"/>
      <c r="BH187" s="187"/>
      <c r="BI187" s="187"/>
      <c r="BJ187" s="187"/>
      <c r="BK187" s="187"/>
      <c r="BL187" s="187"/>
      <c r="BM187" s="187"/>
      <c r="BN187" s="187"/>
      <c r="BO187" s="187"/>
      <c r="BP187" s="187"/>
      <c r="BQ187" s="187"/>
      <c r="BR187" s="187"/>
      <c r="BS187" s="187"/>
      <c r="BT187" s="187"/>
      <c r="BU187" s="187"/>
      <c r="BV187" s="187"/>
      <c r="BW187" s="187"/>
      <c r="BX187" s="187"/>
      <c r="BY187" s="187"/>
      <c r="BZ187" s="187"/>
      <c r="CA187" s="187"/>
      <c r="CB187" s="187"/>
      <c r="CC187" s="187"/>
      <c r="CD187" s="187"/>
      <c r="CE187" s="187"/>
      <c r="CF187" s="187"/>
      <c r="CG187" s="187"/>
      <c r="CH187" s="187"/>
      <c r="CI187" s="187"/>
      <c r="CJ187" s="187"/>
      <c r="CK187" s="187"/>
      <c r="CL187" s="187"/>
      <c r="CM187" s="187"/>
      <c r="CN187" s="187"/>
      <c r="CO187" s="187"/>
      <c r="CP187" s="187"/>
      <c r="CQ187" s="187"/>
      <c r="CR187" s="187"/>
      <c r="CS187" s="187"/>
      <c r="CT187" s="187"/>
      <c r="CU187" s="187"/>
      <c r="CV187" s="187"/>
      <c r="CW187" s="187"/>
      <c r="CX187" s="187"/>
      <c r="CY187" s="187"/>
      <c r="CZ187" s="187"/>
      <c r="DA187" s="187"/>
      <c r="DB187" s="187"/>
      <c r="DC187" s="187"/>
      <c r="DD187" s="187"/>
      <c r="DE187" s="187"/>
      <c r="DF187" s="187"/>
      <c r="DG187" s="187"/>
      <c r="DH187" s="187"/>
      <c r="DI187" s="187"/>
      <c r="DJ187" s="187"/>
      <c r="DK187" s="187"/>
      <c r="DL187" s="187"/>
      <c r="DM187" s="187"/>
      <c r="DN187" s="187"/>
      <c r="DO187" s="187"/>
      <c r="DP187" s="187"/>
      <c r="DQ187" s="187"/>
      <c r="DR187" s="187"/>
      <c r="DS187" s="187"/>
      <c r="DT187" s="187"/>
      <c r="DU187" s="187"/>
      <c r="DV187" s="187"/>
      <c r="DW187" s="187"/>
      <c r="DX187" s="187"/>
      <c r="DY187" s="187"/>
      <c r="DZ187" s="187"/>
      <c r="EA187" s="187"/>
      <c r="EB187" s="187"/>
      <c r="EC187" s="187"/>
      <c r="ED187" s="187"/>
      <c r="EE187" s="187"/>
      <c r="EF187" s="187"/>
      <c r="EG187" s="187"/>
      <c r="EH187" s="187"/>
      <c r="EI187" s="187"/>
      <c r="EJ187" s="187"/>
      <c r="EK187" s="187"/>
      <c r="EL187" s="187"/>
      <c r="EM187" s="187"/>
      <c r="EN187" s="187"/>
      <c r="EO187" s="187"/>
      <c r="EP187" s="187"/>
      <c r="EQ187" s="187"/>
      <c r="ER187" s="187"/>
      <c r="ES187" s="187"/>
      <c r="ET187" s="187"/>
      <c r="EU187" s="187"/>
      <c r="EV187" s="187"/>
      <c r="EW187" s="187"/>
      <c r="EX187" s="187"/>
      <c r="EY187" s="187"/>
      <c r="EZ187" s="187"/>
      <c r="FA187" s="187"/>
      <c r="FB187" s="187"/>
      <c r="FC187" s="187"/>
    </row>
    <row r="188" spans="1:159" ht="15" x14ac:dyDescent="0.25">
      <c r="A188" s="187" t="s">
        <v>432</v>
      </c>
      <c r="B188" s="187" t="s">
        <v>433</v>
      </c>
      <c r="C188" s="187">
        <v>9532</v>
      </c>
      <c r="D188" s="187">
        <v>0</v>
      </c>
      <c r="E188" s="187">
        <v>230</v>
      </c>
      <c r="F188" s="187">
        <v>1072</v>
      </c>
      <c r="G188" s="187">
        <v>628</v>
      </c>
      <c r="H188" s="187">
        <v>11462</v>
      </c>
      <c r="I188" s="187">
        <v>10834</v>
      </c>
      <c r="J188" s="187">
        <v>10</v>
      </c>
      <c r="K188" s="187">
        <v>117</v>
      </c>
      <c r="L188" s="187">
        <v>123.19</v>
      </c>
      <c r="M188" s="187">
        <v>5.03</v>
      </c>
      <c r="N188" s="187">
        <v>118.62</v>
      </c>
      <c r="O188" s="187">
        <v>9053</v>
      </c>
      <c r="P188" s="187">
        <v>105.12</v>
      </c>
      <c r="Q188" s="187">
        <v>100.9</v>
      </c>
      <c r="R188" s="187">
        <v>26.2</v>
      </c>
      <c r="S188" s="187">
        <v>131.05000000000001</v>
      </c>
      <c r="T188" s="187">
        <v>1251</v>
      </c>
      <c r="U188" s="187">
        <v>162.41999999999999</v>
      </c>
      <c r="V188" s="187">
        <v>417</v>
      </c>
      <c r="W188" s="187">
        <v>0</v>
      </c>
      <c r="X188" s="187">
        <v>0</v>
      </c>
      <c r="Y188" s="187">
        <v>0</v>
      </c>
      <c r="Z188" s="187">
        <v>14</v>
      </c>
      <c r="AA188" s="187">
        <v>5</v>
      </c>
      <c r="AB188" s="187">
        <v>20</v>
      </c>
      <c r="AC188" s="187">
        <v>9</v>
      </c>
      <c r="AD188" s="187">
        <v>9491</v>
      </c>
      <c r="AE188" s="187">
        <v>55</v>
      </c>
      <c r="AF188" s="187">
        <v>9</v>
      </c>
      <c r="AG188" s="187">
        <v>64</v>
      </c>
      <c r="AH188" s="187"/>
      <c r="AI188" s="187"/>
      <c r="AJ188" s="187"/>
      <c r="AK188" s="187"/>
      <c r="AL188" s="187"/>
      <c r="AM188" s="187"/>
      <c r="AN188" s="187"/>
      <c r="AO188" s="187"/>
      <c r="AP188" s="187"/>
      <c r="AQ188" s="187"/>
      <c r="AR188" s="187"/>
      <c r="AS188" s="187"/>
      <c r="AT188" s="187"/>
      <c r="AU188" s="187"/>
      <c r="AV188" s="187"/>
      <c r="AW188" s="187"/>
      <c r="AX188" s="187"/>
      <c r="AY188" s="187"/>
      <c r="AZ188" s="187"/>
      <c r="BA188" s="187"/>
      <c r="BB188" s="187"/>
      <c r="BC188" s="187"/>
      <c r="BD188" s="187"/>
      <c r="BE188" s="187"/>
      <c r="BF188" s="187"/>
      <c r="BG188" s="187"/>
      <c r="BH188" s="187"/>
      <c r="BI188" s="187"/>
      <c r="BJ188" s="187"/>
      <c r="BK188" s="187"/>
      <c r="BL188" s="187"/>
      <c r="BM188" s="187"/>
      <c r="BN188" s="187"/>
      <c r="BO188" s="187"/>
      <c r="BP188" s="187"/>
      <c r="BQ188" s="187"/>
      <c r="BR188" s="187"/>
      <c r="BS188" s="187"/>
      <c r="BT188" s="187"/>
      <c r="BU188" s="187"/>
      <c r="BV188" s="187"/>
      <c r="BW188" s="187"/>
      <c r="BX188" s="187"/>
      <c r="BY188" s="187"/>
      <c r="BZ188" s="187"/>
      <c r="CA188" s="187"/>
      <c r="CB188" s="187"/>
      <c r="CC188" s="187"/>
      <c r="CD188" s="187"/>
      <c r="CE188" s="187"/>
      <c r="CF188" s="187"/>
      <c r="CG188" s="187"/>
      <c r="CH188" s="187"/>
      <c r="CI188" s="187"/>
      <c r="CJ188" s="187"/>
      <c r="CK188" s="187"/>
      <c r="CL188" s="187"/>
      <c r="CM188" s="187"/>
      <c r="CN188" s="187"/>
      <c r="CO188" s="187"/>
      <c r="CP188" s="187"/>
      <c r="CQ188" s="187"/>
      <c r="CR188" s="187"/>
      <c r="CS188" s="187"/>
      <c r="CT188" s="187"/>
      <c r="CU188" s="187"/>
      <c r="CV188" s="187"/>
      <c r="CW188" s="187"/>
      <c r="CX188" s="187"/>
      <c r="CY188" s="187"/>
      <c r="CZ188" s="187"/>
      <c r="DA188" s="187"/>
      <c r="DB188" s="187"/>
      <c r="DC188" s="187"/>
      <c r="DD188" s="187"/>
      <c r="DE188" s="187"/>
      <c r="DF188" s="187"/>
      <c r="DG188" s="187"/>
      <c r="DH188" s="187"/>
      <c r="DI188" s="187"/>
      <c r="DJ188" s="187"/>
      <c r="DK188" s="187"/>
      <c r="DL188" s="187"/>
      <c r="DM188" s="187"/>
      <c r="DN188" s="187"/>
      <c r="DO188" s="187"/>
      <c r="DP188" s="187"/>
      <c r="DQ188" s="187"/>
      <c r="DR188" s="187"/>
      <c r="DS188" s="187"/>
      <c r="DT188" s="187"/>
      <c r="DU188" s="187"/>
      <c r="DV188" s="187"/>
      <c r="DW188" s="187"/>
      <c r="DX188" s="187"/>
      <c r="DY188" s="187"/>
      <c r="DZ188" s="187"/>
      <c r="EA188" s="187"/>
      <c r="EB188" s="187"/>
      <c r="EC188" s="187"/>
      <c r="ED188" s="187"/>
      <c r="EE188" s="187"/>
      <c r="EF188" s="187"/>
      <c r="EG188" s="187"/>
      <c r="EH188" s="187"/>
      <c r="EI188" s="187"/>
      <c r="EJ188" s="187"/>
      <c r="EK188" s="187"/>
      <c r="EL188" s="187"/>
      <c r="EM188" s="187"/>
      <c r="EN188" s="187"/>
      <c r="EO188" s="187"/>
      <c r="EP188" s="187"/>
      <c r="EQ188" s="187"/>
      <c r="ER188" s="187"/>
      <c r="ES188" s="187"/>
      <c r="ET188" s="187"/>
      <c r="EU188" s="187"/>
      <c r="EV188" s="187"/>
      <c r="EW188" s="187"/>
      <c r="EX188" s="187"/>
      <c r="EY188" s="187"/>
      <c r="EZ188" s="187"/>
      <c r="FA188" s="187"/>
      <c r="FB188" s="187"/>
      <c r="FC188" s="187"/>
    </row>
    <row r="189" spans="1:159" ht="15" x14ac:dyDescent="0.25">
      <c r="A189" s="187" t="s">
        <v>434</v>
      </c>
      <c r="B189" s="187" t="s">
        <v>435</v>
      </c>
      <c r="C189" s="187">
        <v>1279</v>
      </c>
      <c r="D189" s="187">
        <v>0</v>
      </c>
      <c r="E189" s="187">
        <v>153</v>
      </c>
      <c r="F189" s="187">
        <v>98</v>
      </c>
      <c r="G189" s="187">
        <v>565</v>
      </c>
      <c r="H189" s="187">
        <v>2095</v>
      </c>
      <c r="I189" s="187">
        <v>1530</v>
      </c>
      <c r="J189" s="187">
        <v>1</v>
      </c>
      <c r="K189" s="187">
        <v>93.87</v>
      </c>
      <c r="L189" s="187">
        <v>91.98</v>
      </c>
      <c r="M189" s="187">
        <v>4.74</v>
      </c>
      <c r="N189" s="187">
        <v>97.73</v>
      </c>
      <c r="O189" s="187">
        <v>742</v>
      </c>
      <c r="P189" s="187">
        <v>122.21</v>
      </c>
      <c r="Q189" s="187">
        <v>82.84</v>
      </c>
      <c r="R189" s="187">
        <v>74.56</v>
      </c>
      <c r="S189" s="187">
        <v>196.77</v>
      </c>
      <c r="T189" s="187">
        <v>231</v>
      </c>
      <c r="U189" s="187">
        <v>113.9</v>
      </c>
      <c r="V189" s="187">
        <v>414</v>
      </c>
      <c r="W189" s="187">
        <v>123.98</v>
      </c>
      <c r="X189" s="187">
        <v>1</v>
      </c>
      <c r="Y189" s="187">
        <v>0</v>
      </c>
      <c r="Z189" s="187">
        <v>1</v>
      </c>
      <c r="AA189" s="187">
        <v>1</v>
      </c>
      <c r="AB189" s="187">
        <v>73</v>
      </c>
      <c r="AC189" s="187">
        <v>11</v>
      </c>
      <c r="AD189" s="187">
        <v>1196</v>
      </c>
      <c r="AE189" s="187">
        <v>7</v>
      </c>
      <c r="AF189" s="187">
        <v>8</v>
      </c>
      <c r="AG189" s="187">
        <v>15</v>
      </c>
      <c r="AH189" s="187"/>
      <c r="AI189" s="187"/>
      <c r="AJ189" s="187"/>
      <c r="AK189" s="187"/>
      <c r="AL189" s="187"/>
      <c r="AM189" s="187"/>
      <c r="AN189" s="187"/>
      <c r="AO189" s="187"/>
      <c r="AP189" s="187"/>
      <c r="AQ189" s="187"/>
      <c r="AR189" s="187"/>
      <c r="AS189" s="187"/>
      <c r="AT189" s="187"/>
      <c r="AU189" s="187"/>
      <c r="AV189" s="187"/>
      <c r="AW189" s="187"/>
      <c r="AX189" s="187"/>
      <c r="AY189" s="187"/>
      <c r="AZ189" s="187"/>
      <c r="BA189" s="187"/>
      <c r="BB189" s="187"/>
      <c r="BC189" s="187"/>
      <c r="BD189" s="187"/>
      <c r="BE189" s="187"/>
      <c r="BF189" s="187"/>
      <c r="BG189" s="187"/>
      <c r="BH189" s="187"/>
      <c r="BI189" s="187"/>
      <c r="BJ189" s="187"/>
      <c r="BK189" s="187"/>
      <c r="BL189" s="187"/>
      <c r="BM189" s="187"/>
      <c r="BN189" s="187"/>
      <c r="BO189" s="187"/>
      <c r="BP189" s="187"/>
      <c r="BQ189" s="187"/>
      <c r="BR189" s="187"/>
      <c r="BS189" s="187"/>
      <c r="BT189" s="187"/>
      <c r="BU189" s="187"/>
      <c r="BV189" s="187"/>
      <c r="BW189" s="187"/>
      <c r="BX189" s="187"/>
      <c r="BY189" s="187"/>
      <c r="BZ189" s="187"/>
      <c r="CA189" s="187"/>
      <c r="CB189" s="187"/>
      <c r="CC189" s="187"/>
      <c r="CD189" s="187"/>
      <c r="CE189" s="187"/>
      <c r="CF189" s="187"/>
      <c r="CG189" s="187"/>
      <c r="CH189" s="187"/>
      <c r="CI189" s="187"/>
      <c r="CJ189" s="187"/>
      <c r="CK189" s="187"/>
      <c r="CL189" s="187"/>
      <c r="CM189" s="187"/>
      <c r="CN189" s="187"/>
      <c r="CO189" s="187"/>
      <c r="CP189" s="187"/>
      <c r="CQ189" s="187"/>
      <c r="CR189" s="187"/>
      <c r="CS189" s="187"/>
      <c r="CT189" s="187"/>
      <c r="CU189" s="187"/>
      <c r="CV189" s="187"/>
      <c r="CW189" s="187"/>
      <c r="CX189" s="187"/>
      <c r="CY189" s="187"/>
      <c r="CZ189" s="187"/>
      <c r="DA189" s="187"/>
      <c r="DB189" s="187"/>
      <c r="DC189" s="187"/>
      <c r="DD189" s="187"/>
      <c r="DE189" s="187"/>
      <c r="DF189" s="187"/>
      <c r="DG189" s="187"/>
      <c r="DH189" s="187"/>
      <c r="DI189" s="187"/>
      <c r="DJ189" s="187"/>
      <c r="DK189" s="187"/>
      <c r="DL189" s="187"/>
      <c r="DM189" s="187"/>
      <c r="DN189" s="187"/>
      <c r="DO189" s="187"/>
      <c r="DP189" s="187"/>
      <c r="DQ189" s="187"/>
      <c r="DR189" s="187"/>
      <c r="DS189" s="187"/>
      <c r="DT189" s="187"/>
      <c r="DU189" s="187"/>
      <c r="DV189" s="187"/>
      <c r="DW189" s="187"/>
      <c r="DX189" s="187"/>
      <c r="DY189" s="187"/>
      <c r="DZ189" s="187"/>
      <c r="EA189" s="187"/>
      <c r="EB189" s="187"/>
      <c r="EC189" s="187"/>
      <c r="ED189" s="187"/>
      <c r="EE189" s="187"/>
      <c r="EF189" s="187"/>
      <c r="EG189" s="187"/>
      <c r="EH189" s="187"/>
      <c r="EI189" s="187"/>
      <c r="EJ189" s="187"/>
      <c r="EK189" s="187"/>
      <c r="EL189" s="187"/>
      <c r="EM189" s="187"/>
      <c r="EN189" s="187"/>
      <c r="EO189" s="187"/>
      <c r="EP189" s="187"/>
      <c r="EQ189" s="187"/>
      <c r="ER189" s="187"/>
      <c r="ES189" s="187"/>
      <c r="ET189" s="187"/>
      <c r="EU189" s="187"/>
      <c r="EV189" s="187"/>
      <c r="EW189" s="187"/>
      <c r="EX189" s="187"/>
      <c r="EY189" s="187"/>
      <c r="EZ189" s="187"/>
      <c r="FA189" s="187"/>
      <c r="FB189" s="187"/>
      <c r="FC189" s="187"/>
    </row>
    <row r="190" spans="1:159" ht="15" x14ac:dyDescent="0.25">
      <c r="A190" s="187" t="s">
        <v>436</v>
      </c>
      <c r="B190" s="187" t="s">
        <v>437</v>
      </c>
      <c r="C190" s="187">
        <v>10969</v>
      </c>
      <c r="D190" s="187">
        <v>2</v>
      </c>
      <c r="E190" s="187">
        <v>275</v>
      </c>
      <c r="F190" s="187">
        <v>305</v>
      </c>
      <c r="G190" s="187">
        <v>100</v>
      </c>
      <c r="H190" s="187">
        <v>11651</v>
      </c>
      <c r="I190" s="187">
        <v>11551</v>
      </c>
      <c r="J190" s="187">
        <v>109</v>
      </c>
      <c r="K190" s="187">
        <v>84.95</v>
      </c>
      <c r="L190" s="187">
        <v>84.69</v>
      </c>
      <c r="M190" s="187">
        <v>3.11</v>
      </c>
      <c r="N190" s="187">
        <v>86.74</v>
      </c>
      <c r="O190" s="187">
        <v>10195</v>
      </c>
      <c r="P190" s="187">
        <v>107.64</v>
      </c>
      <c r="Q190" s="187">
        <v>83.23</v>
      </c>
      <c r="R190" s="187">
        <v>66.12</v>
      </c>
      <c r="S190" s="187">
        <v>167.55</v>
      </c>
      <c r="T190" s="187">
        <v>479</v>
      </c>
      <c r="U190" s="187">
        <v>106.95</v>
      </c>
      <c r="V190" s="187">
        <v>688</v>
      </c>
      <c r="W190" s="187">
        <v>204.44</v>
      </c>
      <c r="X190" s="187">
        <v>73</v>
      </c>
      <c r="Y190" s="187">
        <v>0</v>
      </c>
      <c r="Z190" s="187">
        <v>62</v>
      </c>
      <c r="AA190" s="187">
        <v>4</v>
      </c>
      <c r="AB190" s="187">
        <v>17</v>
      </c>
      <c r="AC190" s="187">
        <v>0</v>
      </c>
      <c r="AD190" s="187">
        <v>10930</v>
      </c>
      <c r="AE190" s="187">
        <v>129</v>
      </c>
      <c r="AF190" s="187">
        <v>38</v>
      </c>
      <c r="AG190" s="187">
        <v>167</v>
      </c>
      <c r="AH190" s="187"/>
      <c r="AI190" s="187"/>
      <c r="AJ190" s="187"/>
      <c r="AK190" s="187"/>
      <c r="AL190" s="187"/>
      <c r="AM190" s="187"/>
      <c r="AN190" s="187"/>
      <c r="AO190" s="187"/>
      <c r="AP190" s="187"/>
      <c r="AQ190" s="187"/>
      <c r="AR190" s="187"/>
      <c r="AS190" s="187"/>
      <c r="AT190" s="187"/>
      <c r="AU190" s="187"/>
      <c r="AV190" s="187"/>
      <c r="AW190" s="187"/>
      <c r="AX190" s="187"/>
      <c r="AY190" s="187"/>
      <c r="AZ190" s="187"/>
      <c r="BA190" s="187"/>
      <c r="BB190" s="187"/>
      <c r="BC190" s="187"/>
      <c r="BD190" s="187"/>
      <c r="BE190" s="187"/>
      <c r="BF190" s="187"/>
      <c r="BG190" s="187"/>
      <c r="BH190" s="187"/>
      <c r="BI190" s="187"/>
      <c r="BJ190" s="187"/>
      <c r="BK190" s="187"/>
      <c r="BL190" s="187"/>
      <c r="BM190" s="187"/>
      <c r="BN190" s="187"/>
      <c r="BO190" s="187"/>
      <c r="BP190" s="187"/>
      <c r="BQ190" s="187"/>
      <c r="BR190" s="187"/>
      <c r="BS190" s="187"/>
      <c r="BT190" s="187"/>
      <c r="BU190" s="187"/>
      <c r="BV190" s="187"/>
      <c r="BW190" s="187"/>
      <c r="BX190" s="187"/>
      <c r="BY190" s="187"/>
      <c r="BZ190" s="187"/>
      <c r="CA190" s="187"/>
      <c r="CB190" s="187"/>
      <c r="CC190" s="187"/>
      <c r="CD190" s="187"/>
      <c r="CE190" s="187"/>
      <c r="CF190" s="187"/>
      <c r="CG190" s="187"/>
      <c r="CH190" s="187"/>
      <c r="CI190" s="187"/>
      <c r="CJ190" s="187"/>
      <c r="CK190" s="187"/>
      <c r="CL190" s="187"/>
      <c r="CM190" s="187"/>
      <c r="CN190" s="187"/>
      <c r="CO190" s="187"/>
      <c r="CP190" s="187"/>
      <c r="CQ190" s="187"/>
      <c r="CR190" s="187"/>
      <c r="CS190" s="187"/>
      <c r="CT190" s="187"/>
      <c r="CU190" s="187"/>
      <c r="CV190" s="187"/>
      <c r="CW190" s="187"/>
      <c r="CX190" s="187"/>
      <c r="CY190" s="187"/>
      <c r="CZ190" s="187"/>
      <c r="DA190" s="187"/>
      <c r="DB190" s="187"/>
      <c r="DC190" s="187"/>
      <c r="DD190" s="187"/>
      <c r="DE190" s="187"/>
      <c r="DF190" s="187"/>
      <c r="DG190" s="187"/>
      <c r="DH190" s="187"/>
      <c r="DI190" s="187"/>
      <c r="DJ190" s="187"/>
      <c r="DK190" s="187"/>
      <c r="DL190" s="187"/>
      <c r="DM190" s="187"/>
      <c r="DN190" s="187"/>
      <c r="DO190" s="187"/>
      <c r="DP190" s="187"/>
      <c r="DQ190" s="187"/>
      <c r="DR190" s="187"/>
      <c r="DS190" s="187"/>
      <c r="DT190" s="187"/>
      <c r="DU190" s="187"/>
      <c r="DV190" s="187"/>
      <c r="DW190" s="187"/>
      <c r="DX190" s="187"/>
      <c r="DY190" s="187"/>
      <c r="DZ190" s="187"/>
      <c r="EA190" s="187"/>
      <c r="EB190" s="187"/>
      <c r="EC190" s="187"/>
      <c r="ED190" s="187"/>
      <c r="EE190" s="187"/>
      <c r="EF190" s="187"/>
      <c r="EG190" s="187"/>
      <c r="EH190" s="187"/>
      <c r="EI190" s="187"/>
      <c r="EJ190" s="187"/>
      <c r="EK190" s="187"/>
      <c r="EL190" s="187"/>
      <c r="EM190" s="187"/>
      <c r="EN190" s="187"/>
      <c r="EO190" s="187"/>
      <c r="EP190" s="187"/>
      <c r="EQ190" s="187"/>
      <c r="ER190" s="187"/>
      <c r="ES190" s="187"/>
      <c r="ET190" s="187"/>
      <c r="EU190" s="187"/>
      <c r="EV190" s="187"/>
      <c r="EW190" s="187"/>
      <c r="EX190" s="187"/>
      <c r="EY190" s="187"/>
      <c r="EZ190" s="187"/>
      <c r="FA190" s="187"/>
      <c r="FB190" s="187"/>
      <c r="FC190" s="187"/>
    </row>
    <row r="191" spans="1:159" ht="15" x14ac:dyDescent="0.25">
      <c r="A191" s="187" t="s">
        <v>438</v>
      </c>
      <c r="B191" s="187" t="s">
        <v>439</v>
      </c>
      <c r="C191" s="187">
        <v>5915</v>
      </c>
      <c r="D191" s="187">
        <v>0</v>
      </c>
      <c r="E191" s="187">
        <v>129</v>
      </c>
      <c r="F191" s="187">
        <v>206</v>
      </c>
      <c r="G191" s="187">
        <v>299</v>
      </c>
      <c r="H191" s="187">
        <v>6549</v>
      </c>
      <c r="I191" s="187">
        <v>6250</v>
      </c>
      <c r="J191" s="187">
        <v>207</v>
      </c>
      <c r="K191" s="187">
        <v>93.09</v>
      </c>
      <c r="L191" s="187">
        <v>91.87</v>
      </c>
      <c r="M191" s="187">
        <v>4.26</v>
      </c>
      <c r="N191" s="187">
        <v>96.3</v>
      </c>
      <c r="O191" s="187">
        <v>5114</v>
      </c>
      <c r="P191" s="187">
        <v>116.56</v>
      </c>
      <c r="Q191" s="187">
        <v>87.75</v>
      </c>
      <c r="R191" s="187">
        <v>49.21</v>
      </c>
      <c r="S191" s="187">
        <v>165.77</v>
      </c>
      <c r="T191" s="187">
        <v>331</v>
      </c>
      <c r="U191" s="187">
        <v>116.01</v>
      </c>
      <c r="V191" s="187">
        <v>772</v>
      </c>
      <c r="W191" s="187">
        <v>0</v>
      </c>
      <c r="X191" s="187">
        <v>0</v>
      </c>
      <c r="Y191" s="187">
        <v>0</v>
      </c>
      <c r="Z191" s="187">
        <v>10</v>
      </c>
      <c r="AA191" s="187">
        <v>19</v>
      </c>
      <c r="AB191" s="187">
        <v>18</v>
      </c>
      <c r="AC191" s="187">
        <v>2</v>
      </c>
      <c r="AD191" s="187">
        <v>5893</v>
      </c>
      <c r="AE191" s="187">
        <v>4</v>
      </c>
      <c r="AF191" s="187">
        <v>17</v>
      </c>
      <c r="AG191" s="187">
        <v>21</v>
      </c>
      <c r="AH191" s="187"/>
      <c r="AI191" s="187"/>
      <c r="AJ191" s="187"/>
      <c r="AK191" s="187"/>
      <c r="AL191" s="187"/>
      <c r="AM191" s="187"/>
      <c r="AN191" s="187"/>
      <c r="AO191" s="187"/>
      <c r="AP191" s="187"/>
      <c r="AQ191" s="187"/>
      <c r="AR191" s="187"/>
      <c r="AS191" s="187"/>
      <c r="AT191" s="187"/>
      <c r="AU191" s="187"/>
      <c r="AV191" s="187"/>
      <c r="AW191" s="187"/>
      <c r="AX191" s="187"/>
      <c r="AY191" s="187"/>
      <c r="AZ191" s="187"/>
      <c r="BA191" s="187"/>
      <c r="BB191" s="187"/>
      <c r="BC191" s="187"/>
      <c r="BD191" s="187"/>
      <c r="BE191" s="187"/>
      <c r="BF191" s="187"/>
      <c r="BG191" s="187"/>
      <c r="BH191" s="187"/>
      <c r="BI191" s="187"/>
      <c r="BJ191" s="187"/>
      <c r="BK191" s="187"/>
      <c r="BL191" s="187"/>
      <c r="BM191" s="187"/>
      <c r="BN191" s="187"/>
      <c r="BO191" s="187"/>
      <c r="BP191" s="187"/>
      <c r="BQ191" s="187"/>
      <c r="BR191" s="187"/>
      <c r="BS191" s="187"/>
      <c r="BT191" s="187"/>
      <c r="BU191" s="187"/>
      <c r="BV191" s="187"/>
      <c r="BW191" s="187"/>
      <c r="BX191" s="187"/>
      <c r="BY191" s="187"/>
      <c r="BZ191" s="187"/>
      <c r="CA191" s="187"/>
      <c r="CB191" s="187"/>
      <c r="CC191" s="187"/>
      <c r="CD191" s="187"/>
      <c r="CE191" s="187"/>
      <c r="CF191" s="187"/>
      <c r="CG191" s="187"/>
      <c r="CH191" s="187"/>
      <c r="CI191" s="187"/>
      <c r="CJ191" s="187"/>
      <c r="CK191" s="187"/>
      <c r="CL191" s="187"/>
      <c r="CM191" s="187"/>
      <c r="CN191" s="187"/>
      <c r="CO191" s="187"/>
      <c r="CP191" s="187"/>
      <c r="CQ191" s="187"/>
      <c r="CR191" s="187"/>
      <c r="CS191" s="187"/>
      <c r="CT191" s="187"/>
      <c r="CU191" s="187"/>
      <c r="CV191" s="187"/>
      <c r="CW191" s="187"/>
      <c r="CX191" s="187"/>
      <c r="CY191" s="187"/>
      <c r="CZ191" s="187"/>
      <c r="DA191" s="187"/>
      <c r="DB191" s="187"/>
      <c r="DC191" s="187"/>
      <c r="DD191" s="187"/>
      <c r="DE191" s="187"/>
      <c r="DF191" s="187"/>
      <c r="DG191" s="187"/>
      <c r="DH191" s="187"/>
      <c r="DI191" s="187"/>
      <c r="DJ191" s="187"/>
      <c r="DK191" s="187"/>
      <c r="DL191" s="187"/>
      <c r="DM191" s="187"/>
      <c r="DN191" s="187"/>
      <c r="DO191" s="187"/>
      <c r="DP191" s="187"/>
      <c r="DQ191" s="187"/>
      <c r="DR191" s="187"/>
      <c r="DS191" s="187"/>
      <c r="DT191" s="187"/>
      <c r="DU191" s="187"/>
      <c r="DV191" s="187"/>
      <c r="DW191" s="187"/>
      <c r="DX191" s="187"/>
      <c r="DY191" s="187"/>
      <c r="DZ191" s="187"/>
      <c r="EA191" s="187"/>
      <c r="EB191" s="187"/>
      <c r="EC191" s="187"/>
      <c r="ED191" s="187"/>
      <c r="EE191" s="187"/>
      <c r="EF191" s="187"/>
      <c r="EG191" s="187"/>
      <c r="EH191" s="187"/>
      <c r="EI191" s="187"/>
      <c r="EJ191" s="187"/>
      <c r="EK191" s="187"/>
      <c r="EL191" s="187"/>
      <c r="EM191" s="187"/>
      <c r="EN191" s="187"/>
      <c r="EO191" s="187"/>
      <c r="EP191" s="187"/>
      <c r="EQ191" s="187"/>
      <c r="ER191" s="187"/>
      <c r="ES191" s="187"/>
      <c r="ET191" s="187"/>
      <c r="EU191" s="187"/>
      <c r="EV191" s="187"/>
      <c r="EW191" s="187"/>
      <c r="EX191" s="187"/>
      <c r="EY191" s="187"/>
      <c r="EZ191" s="187"/>
      <c r="FA191" s="187"/>
      <c r="FB191" s="187"/>
      <c r="FC191" s="187"/>
    </row>
    <row r="192" spans="1:159" ht="15" x14ac:dyDescent="0.25">
      <c r="A192" s="187" t="s">
        <v>799</v>
      </c>
      <c r="B192" s="187" t="s">
        <v>797</v>
      </c>
      <c r="C192" s="187">
        <v>14576</v>
      </c>
      <c r="D192" s="187">
        <v>214</v>
      </c>
      <c r="E192" s="187">
        <v>829</v>
      </c>
      <c r="F192" s="187">
        <v>933</v>
      </c>
      <c r="G192" s="187">
        <v>1826</v>
      </c>
      <c r="H192" s="187">
        <v>18378</v>
      </c>
      <c r="I192" s="187">
        <v>16552</v>
      </c>
      <c r="J192" s="187">
        <v>54</v>
      </c>
      <c r="K192" s="187">
        <v>96.84</v>
      </c>
      <c r="L192" s="187">
        <v>95.53</v>
      </c>
      <c r="M192" s="187">
        <v>7.46</v>
      </c>
      <c r="N192" s="187">
        <v>100.39</v>
      </c>
      <c r="O192" s="187">
        <v>12051</v>
      </c>
      <c r="P192" s="187">
        <v>96.55</v>
      </c>
      <c r="Q192" s="187">
        <v>82.55</v>
      </c>
      <c r="R192" s="187">
        <v>55.12</v>
      </c>
      <c r="S192" s="187">
        <v>147.57</v>
      </c>
      <c r="T192" s="187">
        <v>1572</v>
      </c>
      <c r="U192" s="187">
        <v>119.14</v>
      </c>
      <c r="V192" s="187">
        <v>2102</v>
      </c>
      <c r="W192" s="187">
        <v>181.39</v>
      </c>
      <c r="X192" s="187">
        <v>4</v>
      </c>
      <c r="Y192" s="187">
        <v>0</v>
      </c>
      <c r="Z192" s="187">
        <v>11</v>
      </c>
      <c r="AA192" s="187">
        <v>3</v>
      </c>
      <c r="AB192" s="187">
        <v>125</v>
      </c>
      <c r="AC192" s="187">
        <v>31</v>
      </c>
      <c r="AD192" s="187">
        <v>14473</v>
      </c>
      <c r="AE192" s="187">
        <v>71</v>
      </c>
      <c r="AF192" s="187">
        <v>120</v>
      </c>
      <c r="AG192" s="187">
        <v>191</v>
      </c>
      <c r="AH192" s="187"/>
      <c r="AI192" s="187"/>
      <c r="AJ192" s="187"/>
      <c r="AK192" s="187"/>
      <c r="AL192" s="187"/>
      <c r="AM192" s="187"/>
      <c r="AN192" s="187"/>
      <c r="AO192" s="187"/>
      <c r="AP192" s="187"/>
      <c r="AQ192" s="187"/>
      <c r="AR192" s="187"/>
      <c r="AS192" s="187"/>
      <c r="AT192" s="187"/>
      <c r="AU192" s="187"/>
      <c r="AV192" s="187"/>
      <c r="AW192" s="187"/>
      <c r="AX192" s="187"/>
      <c r="AY192" s="187"/>
      <c r="AZ192" s="187"/>
      <c r="BA192" s="187"/>
      <c r="BB192" s="187"/>
      <c r="BC192" s="187"/>
      <c r="BD192" s="187"/>
      <c r="BE192" s="187"/>
      <c r="BF192" s="187"/>
      <c r="BG192" s="187"/>
      <c r="BH192" s="187"/>
      <c r="BI192" s="187"/>
      <c r="BJ192" s="187"/>
      <c r="BK192" s="187"/>
      <c r="BL192" s="187"/>
      <c r="BM192" s="187"/>
      <c r="BN192" s="187"/>
      <c r="BO192" s="187"/>
      <c r="BP192" s="187"/>
      <c r="BQ192" s="187"/>
      <c r="BR192" s="187"/>
      <c r="BS192" s="187"/>
      <c r="BT192" s="187"/>
      <c r="BU192" s="187"/>
      <c r="BV192" s="187"/>
      <c r="BW192" s="187"/>
      <c r="BX192" s="187"/>
      <c r="BY192" s="187"/>
      <c r="BZ192" s="187"/>
      <c r="CA192" s="187"/>
      <c r="CB192" s="187"/>
      <c r="CC192" s="187"/>
      <c r="CD192" s="187"/>
      <c r="CE192" s="187"/>
      <c r="CF192" s="187"/>
      <c r="CG192" s="187"/>
      <c r="CH192" s="187"/>
      <c r="CI192" s="187"/>
      <c r="CJ192" s="187"/>
      <c r="CK192" s="187"/>
      <c r="CL192" s="187"/>
      <c r="CM192" s="187"/>
      <c r="CN192" s="187"/>
      <c r="CO192" s="187"/>
      <c r="CP192" s="187"/>
      <c r="CQ192" s="187"/>
      <c r="CR192" s="187"/>
      <c r="CS192" s="187"/>
      <c r="CT192" s="187"/>
      <c r="CU192" s="187"/>
      <c r="CV192" s="187"/>
      <c r="CW192" s="187"/>
      <c r="CX192" s="187"/>
      <c r="CY192" s="187"/>
      <c r="CZ192" s="187"/>
      <c r="DA192" s="187"/>
      <c r="DB192" s="187"/>
      <c r="DC192" s="187"/>
      <c r="DD192" s="187"/>
      <c r="DE192" s="187"/>
      <c r="DF192" s="187"/>
      <c r="DG192" s="187"/>
      <c r="DH192" s="187"/>
      <c r="DI192" s="187"/>
      <c r="DJ192" s="187"/>
      <c r="DK192" s="187"/>
      <c r="DL192" s="187"/>
      <c r="DM192" s="187"/>
      <c r="DN192" s="187"/>
      <c r="DO192" s="187"/>
      <c r="DP192" s="187"/>
      <c r="DQ192" s="187"/>
      <c r="DR192" s="187"/>
      <c r="DS192" s="187"/>
      <c r="DT192" s="187"/>
      <c r="DU192" s="187"/>
      <c r="DV192" s="187"/>
      <c r="DW192" s="187"/>
      <c r="DX192" s="187"/>
      <c r="DY192" s="187"/>
      <c r="DZ192" s="187"/>
      <c r="EA192" s="187"/>
      <c r="EB192" s="187"/>
      <c r="EC192" s="187"/>
      <c r="ED192" s="187"/>
      <c r="EE192" s="187"/>
      <c r="EF192" s="187"/>
      <c r="EG192" s="187"/>
      <c r="EH192" s="187"/>
      <c r="EI192" s="187"/>
      <c r="EJ192" s="187"/>
      <c r="EK192" s="187"/>
      <c r="EL192" s="187"/>
      <c r="EM192" s="187"/>
      <c r="EN192" s="187"/>
      <c r="EO192" s="187"/>
      <c r="EP192" s="187"/>
      <c r="EQ192" s="187"/>
      <c r="ER192" s="187"/>
      <c r="ES192" s="187"/>
      <c r="ET192" s="187"/>
      <c r="EU192" s="187"/>
      <c r="EV192" s="187"/>
      <c r="EW192" s="187"/>
      <c r="EX192" s="187"/>
      <c r="EY192" s="187"/>
      <c r="EZ192" s="187"/>
      <c r="FA192" s="187"/>
      <c r="FB192" s="187"/>
      <c r="FC192" s="187"/>
    </row>
    <row r="193" spans="1:159" ht="15" x14ac:dyDescent="0.25">
      <c r="A193" s="187" t="s">
        <v>440</v>
      </c>
      <c r="B193" s="187" t="s">
        <v>441</v>
      </c>
      <c r="C193" s="187">
        <v>8782</v>
      </c>
      <c r="D193" s="187">
        <v>61</v>
      </c>
      <c r="E193" s="187">
        <v>427</v>
      </c>
      <c r="F193" s="187">
        <v>671</v>
      </c>
      <c r="G193" s="187">
        <v>718</v>
      </c>
      <c r="H193" s="187">
        <v>10659</v>
      </c>
      <c r="I193" s="187">
        <v>9941</v>
      </c>
      <c r="J193" s="187">
        <v>110</v>
      </c>
      <c r="K193" s="187">
        <v>101.37</v>
      </c>
      <c r="L193" s="187">
        <v>97.75</v>
      </c>
      <c r="M193" s="187">
        <v>6.36</v>
      </c>
      <c r="N193" s="187">
        <v>107.54</v>
      </c>
      <c r="O193" s="187">
        <v>7680</v>
      </c>
      <c r="P193" s="187">
        <v>117.07</v>
      </c>
      <c r="Q193" s="187">
        <v>96.52</v>
      </c>
      <c r="R193" s="187">
        <v>75.64</v>
      </c>
      <c r="S193" s="187">
        <v>190.88</v>
      </c>
      <c r="T193" s="187">
        <v>905</v>
      </c>
      <c r="U193" s="187">
        <v>137.94999999999999</v>
      </c>
      <c r="V193" s="187">
        <v>955</v>
      </c>
      <c r="W193" s="187">
        <v>147.35</v>
      </c>
      <c r="X193" s="187">
        <v>40</v>
      </c>
      <c r="Y193" s="187">
        <v>0</v>
      </c>
      <c r="Z193" s="187">
        <v>7</v>
      </c>
      <c r="AA193" s="187">
        <v>8</v>
      </c>
      <c r="AB193" s="187">
        <v>80</v>
      </c>
      <c r="AC193" s="187">
        <v>14</v>
      </c>
      <c r="AD193" s="187">
        <v>8678</v>
      </c>
      <c r="AE193" s="187">
        <v>50</v>
      </c>
      <c r="AF193" s="187">
        <v>136</v>
      </c>
      <c r="AG193" s="187">
        <v>186</v>
      </c>
      <c r="AH193" s="187"/>
      <c r="AI193" s="187"/>
      <c r="AJ193" s="187"/>
      <c r="AK193" s="187"/>
      <c r="AL193" s="187"/>
      <c r="AM193" s="187"/>
      <c r="AN193" s="187"/>
      <c r="AO193" s="187"/>
      <c r="AP193" s="187"/>
      <c r="AQ193" s="187"/>
      <c r="AR193" s="187"/>
      <c r="AS193" s="187"/>
      <c r="AT193" s="187"/>
      <c r="AU193" s="187"/>
      <c r="AV193" s="187"/>
      <c r="AW193" s="187"/>
      <c r="AX193" s="187"/>
      <c r="AY193" s="187"/>
      <c r="AZ193" s="187"/>
      <c r="BA193" s="187"/>
      <c r="BB193" s="187"/>
      <c r="BC193" s="187"/>
      <c r="BD193" s="187"/>
      <c r="BE193" s="187"/>
      <c r="BF193" s="187"/>
      <c r="BG193" s="187"/>
      <c r="BH193" s="187"/>
      <c r="BI193" s="187"/>
      <c r="BJ193" s="187"/>
      <c r="BK193" s="187"/>
      <c r="BL193" s="187"/>
      <c r="BM193" s="187"/>
      <c r="BN193" s="187"/>
      <c r="BO193" s="187"/>
      <c r="BP193" s="187"/>
      <c r="BQ193" s="187"/>
      <c r="BR193" s="187"/>
      <c r="BS193" s="187"/>
      <c r="BT193" s="187"/>
      <c r="BU193" s="187"/>
      <c r="BV193" s="187"/>
      <c r="BW193" s="187"/>
      <c r="BX193" s="187"/>
      <c r="BY193" s="187"/>
      <c r="BZ193" s="187"/>
      <c r="CA193" s="187"/>
      <c r="CB193" s="187"/>
      <c r="CC193" s="187"/>
      <c r="CD193" s="187"/>
      <c r="CE193" s="187"/>
      <c r="CF193" s="187"/>
      <c r="CG193" s="187"/>
      <c r="CH193" s="187"/>
      <c r="CI193" s="187"/>
      <c r="CJ193" s="187"/>
      <c r="CK193" s="187"/>
      <c r="CL193" s="187"/>
      <c r="CM193" s="187"/>
      <c r="CN193" s="187"/>
      <c r="CO193" s="187"/>
      <c r="CP193" s="187"/>
      <c r="CQ193" s="187"/>
      <c r="CR193" s="187"/>
      <c r="CS193" s="187"/>
      <c r="CT193" s="187"/>
      <c r="CU193" s="187"/>
      <c r="CV193" s="187"/>
      <c r="CW193" s="187"/>
      <c r="CX193" s="187"/>
      <c r="CY193" s="187"/>
      <c r="CZ193" s="187"/>
      <c r="DA193" s="187"/>
      <c r="DB193" s="187"/>
      <c r="DC193" s="187"/>
      <c r="DD193" s="187"/>
      <c r="DE193" s="187"/>
      <c r="DF193" s="187"/>
      <c r="DG193" s="187"/>
      <c r="DH193" s="187"/>
      <c r="DI193" s="187"/>
      <c r="DJ193" s="187"/>
      <c r="DK193" s="187"/>
      <c r="DL193" s="187"/>
      <c r="DM193" s="187"/>
      <c r="DN193" s="187"/>
      <c r="DO193" s="187"/>
      <c r="DP193" s="187"/>
      <c r="DQ193" s="187"/>
      <c r="DR193" s="187"/>
      <c r="DS193" s="187"/>
      <c r="DT193" s="187"/>
      <c r="DU193" s="187"/>
      <c r="DV193" s="187"/>
      <c r="DW193" s="187"/>
      <c r="DX193" s="187"/>
      <c r="DY193" s="187"/>
      <c r="DZ193" s="187"/>
      <c r="EA193" s="187"/>
      <c r="EB193" s="187"/>
      <c r="EC193" s="187"/>
      <c r="ED193" s="187"/>
      <c r="EE193" s="187"/>
      <c r="EF193" s="187"/>
      <c r="EG193" s="187"/>
      <c r="EH193" s="187"/>
      <c r="EI193" s="187"/>
      <c r="EJ193" s="187"/>
      <c r="EK193" s="187"/>
      <c r="EL193" s="187"/>
      <c r="EM193" s="187"/>
      <c r="EN193" s="187"/>
      <c r="EO193" s="187"/>
      <c r="EP193" s="187"/>
      <c r="EQ193" s="187"/>
      <c r="ER193" s="187"/>
      <c r="ES193" s="187"/>
      <c r="ET193" s="187"/>
      <c r="EU193" s="187"/>
      <c r="EV193" s="187"/>
      <c r="EW193" s="187"/>
      <c r="EX193" s="187"/>
      <c r="EY193" s="187"/>
      <c r="EZ193" s="187"/>
      <c r="FA193" s="187"/>
      <c r="FB193" s="187"/>
      <c r="FC193" s="187"/>
    </row>
    <row r="194" spans="1:159" ht="15" x14ac:dyDescent="0.25">
      <c r="A194" s="187" t="s">
        <v>442</v>
      </c>
      <c r="B194" s="187" t="s">
        <v>443</v>
      </c>
      <c r="C194" s="187">
        <v>4427</v>
      </c>
      <c r="D194" s="187">
        <v>0</v>
      </c>
      <c r="E194" s="187">
        <v>584</v>
      </c>
      <c r="F194" s="187">
        <v>1420</v>
      </c>
      <c r="G194" s="187">
        <v>449</v>
      </c>
      <c r="H194" s="187">
        <v>6880</v>
      </c>
      <c r="I194" s="187">
        <v>6431</v>
      </c>
      <c r="J194" s="187">
        <v>18</v>
      </c>
      <c r="K194" s="187">
        <v>87.39</v>
      </c>
      <c r="L194" s="187">
        <v>83.87</v>
      </c>
      <c r="M194" s="187">
        <v>8.2799999999999994</v>
      </c>
      <c r="N194" s="187">
        <v>93.8</v>
      </c>
      <c r="O194" s="187">
        <v>3162</v>
      </c>
      <c r="P194" s="187">
        <v>98.5</v>
      </c>
      <c r="Q194" s="187">
        <v>81.55</v>
      </c>
      <c r="R194" s="187">
        <v>57.48</v>
      </c>
      <c r="S194" s="187">
        <v>154.88</v>
      </c>
      <c r="T194" s="187">
        <v>1769</v>
      </c>
      <c r="U194" s="187">
        <v>110.64</v>
      </c>
      <c r="V194" s="187">
        <v>1064</v>
      </c>
      <c r="W194" s="187">
        <v>188.4</v>
      </c>
      <c r="X194" s="187">
        <v>81</v>
      </c>
      <c r="Y194" s="187">
        <v>0</v>
      </c>
      <c r="Z194" s="187">
        <v>1</v>
      </c>
      <c r="AA194" s="187">
        <v>1</v>
      </c>
      <c r="AB194" s="187">
        <v>42</v>
      </c>
      <c r="AC194" s="187">
        <v>8</v>
      </c>
      <c r="AD194" s="187">
        <v>4246</v>
      </c>
      <c r="AE194" s="187">
        <v>57</v>
      </c>
      <c r="AF194" s="187">
        <v>33</v>
      </c>
      <c r="AG194" s="187">
        <v>90</v>
      </c>
      <c r="AH194" s="187"/>
      <c r="AI194" s="187"/>
      <c r="AJ194" s="187"/>
      <c r="AK194" s="187"/>
      <c r="AL194" s="187"/>
      <c r="AM194" s="187"/>
      <c r="AN194" s="187"/>
      <c r="AO194" s="187"/>
      <c r="AP194" s="187"/>
      <c r="AQ194" s="187"/>
      <c r="AR194" s="187"/>
      <c r="AS194" s="187"/>
      <c r="AT194" s="187"/>
      <c r="AU194" s="187"/>
      <c r="AV194" s="187"/>
      <c r="AW194" s="187"/>
      <c r="AX194" s="187"/>
      <c r="AY194" s="187"/>
      <c r="AZ194" s="187"/>
      <c r="BA194" s="187"/>
      <c r="BB194" s="187"/>
      <c r="BC194" s="187"/>
      <c r="BD194" s="187"/>
      <c r="BE194" s="187"/>
      <c r="BF194" s="187"/>
      <c r="BG194" s="187"/>
      <c r="BH194" s="187"/>
      <c r="BI194" s="187"/>
      <c r="BJ194" s="187"/>
      <c r="BK194" s="187"/>
      <c r="BL194" s="187"/>
      <c r="BM194" s="187"/>
      <c r="BN194" s="187"/>
      <c r="BO194" s="187"/>
      <c r="BP194" s="187"/>
      <c r="BQ194" s="187"/>
      <c r="BR194" s="187"/>
      <c r="BS194" s="187"/>
      <c r="BT194" s="187"/>
      <c r="BU194" s="187"/>
      <c r="BV194" s="187"/>
      <c r="BW194" s="187"/>
      <c r="BX194" s="187"/>
      <c r="BY194" s="187"/>
      <c r="BZ194" s="187"/>
      <c r="CA194" s="187"/>
      <c r="CB194" s="187"/>
      <c r="CC194" s="187"/>
      <c r="CD194" s="187"/>
      <c r="CE194" s="187"/>
      <c r="CF194" s="187"/>
      <c r="CG194" s="187"/>
      <c r="CH194" s="187"/>
      <c r="CI194" s="187"/>
      <c r="CJ194" s="187"/>
      <c r="CK194" s="187"/>
      <c r="CL194" s="187"/>
      <c r="CM194" s="187"/>
      <c r="CN194" s="187"/>
      <c r="CO194" s="187"/>
      <c r="CP194" s="187"/>
      <c r="CQ194" s="187"/>
      <c r="CR194" s="187"/>
      <c r="CS194" s="187"/>
      <c r="CT194" s="187"/>
      <c r="CU194" s="187"/>
      <c r="CV194" s="187"/>
      <c r="CW194" s="187"/>
      <c r="CX194" s="187"/>
      <c r="CY194" s="187"/>
      <c r="CZ194" s="187"/>
      <c r="DA194" s="187"/>
      <c r="DB194" s="187"/>
      <c r="DC194" s="187"/>
      <c r="DD194" s="187"/>
      <c r="DE194" s="187"/>
      <c r="DF194" s="187"/>
      <c r="DG194" s="187"/>
      <c r="DH194" s="187"/>
      <c r="DI194" s="187"/>
      <c r="DJ194" s="187"/>
      <c r="DK194" s="187"/>
      <c r="DL194" s="187"/>
      <c r="DM194" s="187"/>
      <c r="DN194" s="187"/>
      <c r="DO194" s="187"/>
      <c r="DP194" s="187"/>
      <c r="DQ194" s="187"/>
      <c r="DR194" s="187"/>
      <c r="DS194" s="187"/>
      <c r="DT194" s="187"/>
      <c r="DU194" s="187"/>
      <c r="DV194" s="187"/>
      <c r="DW194" s="187"/>
      <c r="DX194" s="187"/>
      <c r="DY194" s="187"/>
      <c r="DZ194" s="187"/>
      <c r="EA194" s="187"/>
      <c r="EB194" s="187"/>
      <c r="EC194" s="187"/>
      <c r="ED194" s="187"/>
      <c r="EE194" s="187"/>
      <c r="EF194" s="187"/>
      <c r="EG194" s="187"/>
      <c r="EH194" s="187"/>
      <c r="EI194" s="187"/>
      <c r="EJ194" s="187"/>
      <c r="EK194" s="187"/>
      <c r="EL194" s="187"/>
      <c r="EM194" s="187"/>
      <c r="EN194" s="187"/>
      <c r="EO194" s="187"/>
      <c r="EP194" s="187"/>
      <c r="EQ194" s="187"/>
      <c r="ER194" s="187"/>
      <c r="ES194" s="187"/>
      <c r="ET194" s="187"/>
      <c r="EU194" s="187"/>
      <c r="EV194" s="187"/>
      <c r="EW194" s="187"/>
      <c r="EX194" s="187"/>
      <c r="EY194" s="187"/>
      <c r="EZ194" s="187"/>
      <c r="FA194" s="187"/>
      <c r="FB194" s="187"/>
      <c r="FC194" s="187"/>
    </row>
    <row r="195" spans="1:159" ht="15" x14ac:dyDescent="0.25">
      <c r="A195" s="187" t="s">
        <v>444</v>
      </c>
      <c r="B195" s="187" t="s">
        <v>445</v>
      </c>
      <c r="C195" s="187">
        <v>1224</v>
      </c>
      <c r="D195" s="187">
        <v>0</v>
      </c>
      <c r="E195" s="187">
        <v>34</v>
      </c>
      <c r="F195" s="187">
        <v>58</v>
      </c>
      <c r="G195" s="187">
        <v>307</v>
      </c>
      <c r="H195" s="187">
        <v>1623</v>
      </c>
      <c r="I195" s="187">
        <v>1316</v>
      </c>
      <c r="J195" s="187">
        <v>0</v>
      </c>
      <c r="K195" s="187">
        <v>104.25</v>
      </c>
      <c r="L195" s="187">
        <v>102.06</v>
      </c>
      <c r="M195" s="187">
        <v>5.07</v>
      </c>
      <c r="N195" s="187">
        <v>107.82</v>
      </c>
      <c r="O195" s="187">
        <v>843</v>
      </c>
      <c r="P195" s="187">
        <v>116.17</v>
      </c>
      <c r="Q195" s="187">
        <v>87.83</v>
      </c>
      <c r="R195" s="187">
        <v>47.48</v>
      </c>
      <c r="S195" s="187">
        <v>163.65</v>
      </c>
      <c r="T195" s="187">
        <v>69</v>
      </c>
      <c r="U195" s="187">
        <v>129.46</v>
      </c>
      <c r="V195" s="187">
        <v>379</v>
      </c>
      <c r="W195" s="187">
        <v>0</v>
      </c>
      <c r="X195" s="187">
        <v>0</v>
      </c>
      <c r="Y195" s="187">
        <v>0</v>
      </c>
      <c r="Z195" s="187">
        <v>0</v>
      </c>
      <c r="AA195" s="187">
        <v>0</v>
      </c>
      <c r="AB195" s="187">
        <v>25</v>
      </c>
      <c r="AC195" s="187">
        <v>6</v>
      </c>
      <c r="AD195" s="187">
        <v>1222</v>
      </c>
      <c r="AE195" s="187">
        <v>8</v>
      </c>
      <c r="AF195" s="187">
        <v>1</v>
      </c>
      <c r="AG195" s="187">
        <v>9</v>
      </c>
      <c r="AH195" s="187"/>
      <c r="AI195" s="187"/>
      <c r="AJ195" s="187"/>
      <c r="AK195" s="187"/>
      <c r="AL195" s="187"/>
      <c r="AM195" s="187"/>
      <c r="AN195" s="187"/>
      <c r="AO195" s="187"/>
      <c r="AP195" s="187"/>
      <c r="AQ195" s="187"/>
      <c r="AR195" s="187"/>
      <c r="AS195" s="187"/>
      <c r="AT195" s="187"/>
      <c r="AU195" s="187"/>
      <c r="AV195" s="187"/>
      <c r="AW195" s="187"/>
      <c r="AX195" s="187"/>
      <c r="AY195" s="187"/>
      <c r="AZ195" s="187"/>
      <c r="BA195" s="187"/>
      <c r="BB195" s="187"/>
      <c r="BC195" s="187"/>
      <c r="BD195" s="187"/>
      <c r="BE195" s="187"/>
      <c r="BF195" s="187"/>
      <c r="BG195" s="187"/>
      <c r="BH195" s="187"/>
      <c r="BI195" s="187"/>
      <c r="BJ195" s="187"/>
      <c r="BK195" s="187"/>
      <c r="BL195" s="187"/>
      <c r="BM195" s="187"/>
      <c r="BN195" s="187"/>
      <c r="BO195" s="187"/>
      <c r="BP195" s="187"/>
      <c r="BQ195" s="187"/>
      <c r="BR195" s="187"/>
      <c r="BS195" s="187"/>
      <c r="BT195" s="187"/>
      <c r="BU195" s="187"/>
      <c r="BV195" s="187"/>
      <c r="BW195" s="187"/>
      <c r="BX195" s="187"/>
      <c r="BY195" s="187"/>
      <c r="BZ195" s="187"/>
      <c r="CA195" s="187"/>
      <c r="CB195" s="187"/>
      <c r="CC195" s="187"/>
      <c r="CD195" s="187"/>
      <c r="CE195" s="187"/>
      <c r="CF195" s="187"/>
      <c r="CG195" s="187"/>
      <c r="CH195" s="187"/>
      <c r="CI195" s="187"/>
      <c r="CJ195" s="187"/>
      <c r="CK195" s="187"/>
      <c r="CL195" s="187"/>
      <c r="CM195" s="187"/>
      <c r="CN195" s="187"/>
      <c r="CO195" s="187"/>
      <c r="CP195" s="187"/>
      <c r="CQ195" s="187"/>
      <c r="CR195" s="187"/>
      <c r="CS195" s="187"/>
      <c r="CT195" s="187"/>
      <c r="CU195" s="187"/>
      <c r="CV195" s="187"/>
      <c r="CW195" s="187"/>
      <c r="CX195" s="187"/>
      <c r="CY195" s="187"/>
      <c r="CZ195" s="187"/>
      <c r="DA195" s="187"/>
      <c r="DB195" s="187"/>
      <c r="DC195" s="187"/>
      <c r="DD195" s="187"/>
      <c r="DE195" s="187"/>
      <c r="DF195" s="187"/>
      <c r="DG195" s="187"/>
      <c r="DH195" s="187"/>
      <c r="DI195" s="187"/>
      <c r="DJ195" s="187"/>
      <c r="DK195" s="187"/>
      <c r="DL195" s="187"/>
      <c r="DM195" s="187"/>
      <c r="DN195" s="187"/>
      <c r="DO195" s="187"/>
      <c r="DP195" s="187"/>
      <c r="DQ195" s="187"/>
      <c r="DR195" s="187"/>
      <c r="DS195" s="187"/>
      <c r="DT195" s="187"/>
      <c r="DU195" s="187"/>
      <c r="DV195" s="187"/>
      <c r="DW195" s="187"/>
      <c r="DX195" s="187"/>
      <c r="DY195" s="187"/>
      <c r="DZ195" s="187"/>
      <c r="EA195" s="187"/>
      <c r="EB195" s="187"/>
      <c r="EC195" s="187"/>
      <c r="ED195" s="187"/>
      <c r="EE195" s="187"/>
      <c r="EF195" s="187"/>
      <c r="EG195" s="187"/>
      <c r="EH195" s="187"/>
      <c r="EI195" s="187"/>
      <c r="EJ195" s="187"/>
      <c r="EK195" s="187"/>
      <c r="EL195" s="187"/>
      <c r="EM195" s="187"/>
      <c r="EN195" s="187"/>
      <c r="EO195" s="187"/>
      <c r="EP195" s="187"/>
      <c r="EQ195" s="187"/>
      <c r="ER195" s="187"/>
      <c r="ES195" s="187"/>
      <c r="ET195" s="187"/>
      <c r="EU195" s="187"/>
      <c r="EV195" s="187"/>
      <c r="EW195" s="187"/>
      <c r="EX195" s="187"/>
      <c r="EY195" s="187"/>
      <c r="EZ195" s="187"/>
      <c r="FA195" s="187"/>
      <c r="FB195" s="187"/>
      <c r="FC195" s="187"/>
    </row>
    <row r="196" spans="1:159" ht="15" x14ac:dyDescent="0.25">
      <c r="A196" s="187" t="s">
        <v>446</v>
      </c>
      <c r="B196" s="187" t="s">
        <v>447</v>
      </c>
      <c r="C196" s="187">
        <v>2248</v>
      </c>
      <c r="D196" s="187">
        <v>2</v>
      </c>
      <c r="E196" s="187">
        <v>114</v>
      </c>
      <c r="F196" s="187">
        <v>125</v>
      </c>
      <c r="G196" s="187">
        <v>595</v>
      </c>
      <c r="H196" s="187">
        <v>3084</v>
      </c>
      <c r="I196" s="187">
        <v>2489</v>
      </c>
      <c r="J196" s="187">
        <v>10</v>
      </c>
      <c r="K196" s="187">
        <v>93.22</v>
      </c>
      <c r="L196" s="187">
        <v>94.4</v>
      </c>
      <c r="M196" s="187">
        <v>7.92</v>
      </c>
      <c r="N196" s="187">
        <v>100.05</v>
      </c>
      <c r="O196" s="187">
        <v>1402</v>
      </c>
      <c r="P196" s="187">
        <v>97.04</v>
      </c>
      <c r="Q196" s="187">
        <v>99.57</v>
      </c>
      <c r="R196" s="187">
        <v>78.41</v>
      </c>
      <c r="S196" s="187">
        <v>175.45</v>
      </c>
      <c r="T196" s="187">
        <v>213</v>
      </c>
      <c r="U196" s="187">
        <v>118.91</v>
      </c>
      <c r="V196" s="187">
        <v>827</v>
      </c>
      <c r="W196" s="187">
        <v>147.79</v>
      </c>
      <c r="X196" s="187">
        <v>6</v>
      </c>
      <c r="Y196" s="187">
        <v>0</v>
      </c>
      <c r="Z196" s="187">
        <v>2</v>
      </c>
      <c r="AA196" s="187">
        <v>5</v>
      </c>
      <c r="AB196" s="187">
        <v>43</v>
      </c>
      <c r="AC196" s="187">
        <v>8</v>
      </c>
      <c r="AD196" s="187">
        <v>2248</v>
      </c>
      <c r="AE196" s="187">
        <v>11</v>
      </c>
      <c r="AF196" s="187">
        <v>6</v>
      </c>
      <c r="AG196" s="187">
        <v>17</v>
      </c>
      <c r="AH196" s="187"/>
      <c r="AI196" s="187"/>
      <c r="AJ196" s="187"/>
      <c r="AK196" s="187"/>
      <c r="AL196" s="187"/>
      <c r="AM196" s="187"/>
      <c r="AN196" s="187"/>
      <c r="AO196" s="187"/>
      <c r="AP196" s="187"/>
      <c r="AQ196" s="187"/>
      <c r="AR196" s="187"/>
      <c r="AS196" s="187"/>
      <c r="AT196" s="187"/>
      <c r="AU196" s="187"/>
      <c r="AV196" s="187"/>
      <c r="AW196" s="187"/>
      <c r="AX196" s="187"/>
      <c r="AY196" s="187"/>
      <c r="AZ196" s="187"/>
      <c r="BA196" s="187"/>
      <c r="BB196" s="187"/>
      <c r="BC196" s="187"/>
      <c r="BD196" s="187"/>
      <c r="BE196" s="187"/>
      <c r="BF196" s="187"/>
      <c r="BG196" s="187"/>
      <c r="BH196" s="187"/>
      <c r="BI196" s="187"/>
      <c r="BJ196" s="187"/>
      <c r="BK196" s="187"/>
      <c r="BL196" s="187"/>
      <c r="BM196" s="187"/>
      <c r="BN196" s="187"/>
      <c r="BO196" s="187"/>
      <c r="BP196" s="187"/>
      <c r="BQ196" s="187"/>
      <c r="BR196" s="187"/>
      <c r="BS196" s="187"/>
      <c r="BT196" s="187"/>
      <c r="BU196" s="187"/>
      <c r="BV196" s="187"/>
      <c r="BW196" s="187"/>
      <c r="BX196" s="187"/>
      <c r="BY196" s="187"/>
      <c r="BZ196" s="187"/>
      <c r="CA196" s="187"/>
      <c r="CB196" s="187"/>
      <c r="CC196" s="187"/>
      <c r="CD196" s="187"/>
      <c r="CE196" s="187"/>
      <c r="CF196" s="187"/>
      <c r="CG196" s="187"/>
      <c r="CH196" s="187"/>
      <c r="CI196" s="187"/>
      <c r="CJ196" s="187"/>
      <c r="CK196" s="187"/>
      <c r="CL196" s="187"/>
      <c r="CM196" s="187"/>
      <c r="CN196" s="187"/>
      <c r="CO196" s="187"/>
      <c r="CP196" s="187"/>
      <c r="CQ196" s="187"/>
      <c r="CR196" s="187"/>
      <c r="CS196" s="187"/>
      <c r="CT196" s="187"/>
      <c r="CU196" s="187"/>
      <c r="CV196" s="187"/>
      <c r="CW196" s="187"/>
      <c r="CX196" s="187"/>
      <c r="CY196" s="187"/>
      <c r="CZ196" s="187"/>
      <c r="DA196" s="187"/>
      <c r="DB196" s="187"/>
      <c r="DC196" s="187"/>
      <c r="DD196" s="187"/>
      <c r="DE196" s="187"/>
      <c r="DF196" s="187"/>
      <c r="DG196" s="187"/>
      <c r="DH196" s="187"/>
      <c r="DI196" s="187"/>
      <c r="DJ196" s="187"/>
      <c r="DK196" s="187"/>
      <c r="DL196" s="187"/>
      <c r="DM196" s="187"/>
      <c r="DN196" s="187"/>
      <c r="DO196" s="187"/>
      <c r="DP196" s="187"/>
      <c r="DQ196" s="187"/>
      <c r="DR196" s="187"/>
      <c r="DS196" s="187"/>
      <c r="DT196" s="187"/>
      <c r="DU196" s="187"/>
      <c r="DV196" s="187"/>
      <c r="DW196" s="187"/>
      <c r="DX196" s="187"/>
      <c r="DY196" s="187"/>
      <c r="DZ196" s="187"/>
      <c r="EA196" s="187"/>
      <c r="EB196" s="187"/>
      <c r="EC196" s="187"/>
      <c r="ED196" s="187"/>
      <c r="EE196" s="187"/>
      <c r="EF196" s="187"/>
      <c r="EG196" s="187"/>
      <c r="EH196" s="187"/>
      <c r="EI196" s="187"/>
      <c r="EJ196" s="187"/>
      <c r="EK196" s="187"/>
      <c r="EL196" s="187"/>
      <c r="EM196" s="187"/>
      <c r="EN196" s="187"/>
      <c r="EO196" s="187"/>
      <c r="EP196" s="187"/>
      <c r="EQ196" s="187"/>
      <c r="ER196" s="187"/>
      <c r="ES196" s="187"/>
      <c r="ET196" s="187"/>
      <c r="EU196" s="187"/>
      <c r="EV196" s="187"/>
      <c r="EW196" s="187"/>
      <c r="EX196" s="187"/>
      <c r="EY196" s="187"/>
      <c r="EZ196" s="187"/>
      <c r="FA196" s="187"/>
      <c r="FB196" s="187"/>
      <c r="FC196" s="187"/>
    </row>
    <row r="197" spans="1:159" ht="15" x14ac:dyDescent="0.25">
      <c r="A197" s="187" t="s">
        <v>448</v>
      </c>
      <c r="B197" s="187" t="s">
        <v>449</v>
      </c>
      <c r="C197" s="187">
        <v>14584</v>
      </c>
      <c r="D197" s="187">
        <v>0</v>
      </c>
      <c r="E197" s="187">
        <v>507</v>
      </c>
      <c r="F197" s="187">
        <v>2943</v>
      </c>
      <c r="G197" s="187">
        <v>736</v>
      </c>
      <c r="H197" s="187">
        <v>18770</v>
      </c>
      <c r="I197" s="187">
        <v>18034</v>
      </c>
      <c r="J197" s="187">
        <v>40</v>
      </c>
      <c r="K197" s="187">
        <v>80.41</v>
      </c>
      <c r="L197" s="187">
        <v>77.510000000000005</v>
      </c>
      <c r="M197" s="187">
        <v>2.35</v>
      </c>
      <c r="N197" s="187">
        <v>81.58</v>
      </c>
      <c r="O197" s="187">
        <v>12794</v>
      </c>
      <c r="P197" s="187">
        <v>83.23</v>
      </c>
      <c r="Q197" s="187">
        <v>71.2</v>
      </c>
      <c r="R197" s="187">
        <v>32.19</v>
      </c>
      <c r="S197" s="187">
        <v>112.14</v>
      </c>
      <c r="T197" s="187">
        <v>3142</v>
      </c>
      <c r="U197" s="187">
        <v>107.02</v>
      </c>
      <c r="V197" s="187">
        <v>1536</v>
      </c>
      <c r="W197" s="187">
        <v>143.57</v>
      </c>
      <c r="X197" s="187">
        <v>194</v>
      </c>
      <c r="Y197" s="187">
        <v>9</v>
      </c>
      <c r="Z197" s="187">
        <v>44</v>
      </c>
      <c r="AA197" s="187">
        <v>5</v>
      </c>
      <c r="AB197" s="187">
        <v>68</v>
      </c>
      <c r="AC197" s="187">
        <v>19</v>
      </c>
      <c r="AD197" s="187">
        <v>14337</v>
      </c>
      <c r="AE197" s="187">
        <v>106</v>
      </c>
      <c r="AF197" s="187">
        <v>71</v>
      </c>
      <c r="AG197" s="187">
        <v>177</v>
      </c>
      <c r="AH197" s="187"/>
      <c r="AI197" s="187"/>
      <c r="AJ197" s="187"/>
      <c r="AK197" s="187"/>
      <c r="AL197" s="187"/>
      <c r="AM197" s="187"/>
      <c r="AN197" s="187"/>
      <c r="AO197" s="187"/>
      <c r="AP197" s="187"/>
      <c r="AQ197" s="187"/>
      <c r="AR197" s="187"/>
      <c r="AS197" s="187"/>
      <c r="AT197" s="187"/>
      <c r="AU197" s="187"/>
      <c r="AV197" s="187"/>
      <c r="AW197" s="187"/>
      <c r="AX197" s="187"/>
      <c r="AY197" s="187"/>
      <c r="AZ197" s="187"/>
      <c r="BA197" s="187"/>
      <c r="BB197" s="187"/>
      <c r="BC197" s="187"/>
      <c r="BD197" s="187"/>
      <c r="BE197" s="187"/>
      <c r="BF197" s="187"/>
      <c r="BG197" s="187"/>
      <c r="BH197" s="187"/>
      <c r="BI197" s="187"/>
      <c r="BJ197" s="187"/>
      <c r="BK197" s="187"/>
      <c r="BL197" s="187"/>
      <c r="BM197" s="187"/>
      <c r="BN197" s="187"/>
      <c r="BO197" s="187"/>
      <c r="BP197" s="187"/>
      <c r="BQ197" s="187"/>
      <c r="BR197" s="187"/>
      <c r="BS197" s="187"/>
      <c r="BT197" s="187"/>
      <c r="BU197" s="187"/>
      <c r="BV197" s="187"/>
      <c r="BW197" s="187"/>
      <c r="BX197" s="187"/>
      <c r="BY197" s="187"/>
      <c r="BZ197" s="187"/>
      <c r="CA197" s="187"/>
      <c r="CB197" s="187"/>
      <c r="CC197" s="187"/>
      <c r="CD197" s="187"/>
      <c r="CE197" s="187"/>
      <c r="CF197" s="187"/>
      <c r="CG197" s="187"/>
      <c r="CH197" s="187"/>
      <c r="CI197" s="187"/>
      <c r="CJ197" s="187"/>
      <c r="CK197" s="187"/>
      <c r="CL197" s="187"/>
      <c r="CM197" s="187"/>
      <c r="CN197" s="187"/>
      <c r="CO197" s="187"/>
      <c r="CP197" s="187"/>
      <c r="CQ197" s="187"/>
      <c r="CR197" s="187"/>
      <c r="CS197" s="187"/>
      <c r="CT197" s="187"/>
      <c r="CU197" s="187"/>
      <c r="CV197" s="187"/>
      <c r="CW197" s="187"/>
      <c r="CX197" s="187"/>
      <c r="CY197" s="187"/>
      <c r="CZ197" s="187"/>
      <c r="DA197" s="187"/>
      <c r="DB197" s="187"/>
      <c r="DC197" s="187"/>
      <c r="DD197" s="187"/>
      <c r="DE197" s="187"/>
      <c r="DF197" s="187"/>
      <c r="DG197" s="187"/>
      <c r="DH197" s="187"/>
      <c r="DI197" s="187"/>
      <c r="DJ197" s="187"/>
      <c r="DK197" s="187"/>
      <c r="DL197" s="187"/>
      <c r="DM197" s="187"/>
      <c r="DN197" s="187"/>
      <c r="DO197" s="187"/>
      <c r="DP197" s="187"/>
      <c r="DQ197" s="187"/>
      <c r="DR197" s="187"/>
      <c r="DS197" s="187"/>
      <c r="DT197" s="187"/>
      <c r="DU197" s="187"/>
      <c r="DV197" s="187"/>
      <c r="DW197" s="187"/>
      <c r="DX197" s="187"/>
      <c r="DY197" s="187"/>
      <c r="DZ197" s="187"/>
      <c r="EA197" s="187"/>
      <c r="EB197" s="187"/>
      <c r="EC197" s="187"/>
      <c r="ED197" s="187"/>
      <c r="EE197" s="187"/>
      <c r="EF197" s="187"/>
      <c r="EG197" s="187"/>
      <c r="EH197" s="187"/>
      <c r="EI197" s="187"/>
      <c r="EJ197" s="187"/>
      <c r="EK197" s="187"/>
      <c r="EL197" s="187"/>
      <c r="EM197" s="187"/>
      <c r="EN197" s="187"/>
      <c r="EO197" s="187"/>
      <c r="EP197" s="187"/>
      <c r="EQ197" s="187"/>
      <c r="ER197" s="187"/>
      <c r="ES197" s="187"/>
      <c r="ET197" s="187"/>
      <c r="EU197" s="187"/>
      <c r="EV197" s="187"/>
      <c r="EW197" s="187"/>
      <c r="EX197" s="187"/>
      <c r="EY197" s="187"/>
      <c r="EZ197" s="187"/>
      <c r="FA197" s="187"/>
      <c r="FB197" s="187"/>
      <c r="FC197" s="187"/>
    </row>
    <row r="198" spans="1:159" ht="15" x14ac:dyDescent="0.25">
      <c r="A198" s="187" t="s">
        <v>450</v>
      </c>
      <c r="B198" s="187" t="s">
        <v>451</v>
      </c>
      <c r="C198" s="187">
        <v>4173</v>
      </c>
      <c r="D198" s="187">
        <v>5</v>
      </c>
      <c r="E198" s="187">
        <v>516</v>
      </c>
      <c r="F198" s="187">
        <v>1165</v>
      </c>
      <c r="G198" s="187">
        <v>348</v>
      </c>
      <c r="H198" s="187">
        <v>6207</v>
      </c>
      <c r="I198" s="187">
        <v>5859</v>
      </c>
      <c r="J198" s="187">
        <v>75</v>
      </c>
      <c r="K198" s="187">
        <v>94.29</v>
      </c>
      <c r="L198" s="187">
        <v>92.89</v>
      </c>
      <c r="M198" s="187">
        <v>6.51</v>
      </c>
      <c r="N198" s="187">
        <v>99.56</v>
      </c>
      <c r="O198" s="187">
        <v>3532</v>
      </c>
      <c r="P198" s="187">
        <v>95.14</v>
      </c>
      <c r="Q198" s="187">
        <v>84.63</v>
      </c>
      <c r="R198" s="187">
        <v>57.05</v>
      </c>
      <c r="S198" s="187">
        <v>152.13</v>
      </c>
      <c r="T198" s="187">
        <v>963</v>
      </c>
      <c r="U198" s="187">
        <v>122.04</v>
      </c>
      <c r="V198" s="187">
        <v>552</v>
      </c>
      <c r="W198" s="187">
        <v>128.78</v>
      </c>
      <c r="X198" s="187">
        <v>34</v>
      </c>
      <c r="Y198" s="187">
        <v>16</v>
      </c>
      <c r="Z198" s="187">
        <v>0</v>
      </c>
      <c r="AA198" s="187">
        <v>2</v>
      </c>
      <c r="AB198" s="187">
        <v>24</v>
      </c>
      <c r="AC198" s="187">
        <v>4</v>
      </c>
      <c r="AD198" s="187">
        <v>4157</v>
      </c>
      <c r="AE198" s="187">
        <v>15</v>
      </c>
      <c r="AF198" s="187">
        <v>65</v>
      </c>
      <c r="AG198" s="187">
        <v>80</v>
      </c>
      <c r="AH198" s="187"/>
      <c r="AI198" s="187"/>
      <c r="AJ198" s="187"/>
      <c r="AK198" s="187"/>
      <c r="AL198" s="187"/>
      <c r="AM198" s="187"/>
      <c r="AN198" s="187"/>
      <c r="AO198" s="187"/>
      <c r="AP198" s="187"/>
      <c r="AQ198" s="187"/>
      <c r="AR198" s="187"/>
      <c r="AS198" s="187"/>
      <c r="AT198" s="187"/>
      <c r="AU198" s="187"/>
      <c r="AV198" s="187"/>
      <c r="AW198" s="187"/>
      <c r="AX198" s="187"/>
      <c r="AY198" s="187"/>
      <c r="AZ198" s="187"/>
      <c r="BA198" s="187"/>
      <c r="BB198" s="187"/>
      <c r="BC198" s="187"/>
      <c r="BD198" s="187"/>
      <c r="BE198" s="187"/>
      <c r="BF198" s="187"/>
      <c r="BG198" s="187"/>
      <c r="BH198" s="187"/>
      <c r="BI198" s="187"/>
      <c r="BJ198" s="187"/>
      <c r="BK198" s="187"/>
      <c r="BL198" s="187"/>
      <c r="BM198" s="187"/>
      <c r="BN198" s="187"/>
      <c r="BO198" s="187"/>
      <c r="BP198" s="187"/>
      <c r="BQ198" s="187"/>
      <c r="BR198" s="187"/>
      <c r="BS198" s="187"/>
      <c r="BT198" s="187"/>
      <c r="BU198" s="187"/>
      <c r="BV198" s="187"/>
      <c r="BW198" s="187"/>
      <c r="BX198" s="187"/>
      <c r="BY198" s="187"/>
      <c r="BZ198" s="187"/>
      <c r="CA198" s="187"/>
      <c r="CB198" s="187"/>
      <c r="CC198" s="187"/>
      <c r="CD198" s="187"/>
      <c r="CE198" s="187"/>
      <c r="CF198" s="187"/>
      <c r="CG198" s="187"/>
      <c r="CH198" s="187"/>
      <c r="CI198" s="187"/>
      <c r="CJ198" s="187"/>
      <c r="CK198" s="187"/>
      <c r="CL198" s="187"/>
      <c r="CM198" s="187"/>
      <c r="CN198" s="187"/>
      <c r="CO198" s="187"/>
      <c r="CP198" s="187"/>
      <c r="CQ198" s="187"/>
      <c r="CR198" s="187"/>
      <c r="CS198" s="187"/>
      <c r="CT198" s="187"/>
      <c r="CU198" s="187"/>
      <c r="CV198" s="187"/>
      <c r="CW198" s="187"/>
      <c r="CX198" s="187"/>
      <c r="CY198" s="187"/>
      <c r="CZ198" s="187"/>
      <c r="DA198" s="187"/>
      <c r="DB198" s="187"/>
      <c r="DC198" s="187"/>
      <c r="DD198" s="187"/>
      <c r="DE198" s="187"/>
      <c r="DF198" s="187"/>
      <c r="DG198" s="187"/>
      <c r="DH198" s="187"/>
      <c r="DI198" s="187"/>
      <c r="DJ198" s="187"/>
      <c r="DK198" s="187"/>
      <c r="DL198" s="187"/>
      <c r="DM198" s="187"/>
      <c r="DN198" s="187"/>
      <c r="DO198" s="187"/>
      <c r="DP198" s="187"/>
      <c r="DQ198" s="187"/>
      <c r="DR198" s="187"/>
      <c r="DS198" s="187"/>
      <c r="DT198" s="187"/>
      <c r="DU198" s="187"/>
      <c r="DV198" s="187"/>
      <c r="DW198" s="187"/>
      <c r="DX198" s="187"/>
      <c r="DY198" s="187"/>
      <c r="DZ198" s="187"/>
      <c r="EA198" s="187"/>
      <c r="EB198" s="187"/>
      <c r="EC198" s="187"/>
      <c r="ED198" s="187"/>
      <c r="EE198" s="187"/>
      <c r="EF198" s="187"/>
      <c r="EG198" s="187"/>
      <c r="EH198" s="187"/>
      <c r="EI198" s="187"/>
      <c r="EJ198" s="187"/>
      <c r="EK198" s="187"/>
      <c r="EL198" s="187"/>
      <c r="EM198" s="187"/>
      <c r="EN198" s="187"/>
      <c r="EO198" s="187"/>
      <c r="EP198" s="187"/>
      <c r="EQ198" s="187"/>
      <c r="ER198" s="187"/>
      <c r="ES198" s="187"/>
      <c r="ET198" s="187"/>
      <c r="EU198" s="187"/>
      <c r="EV198" s="187"/>
      <c r="EW198" s="187"/>
      <c r="EX198" s="187"/>
      <c r="EY198" s="187"/>
      <c r="EZ198" s="187"/>
      <c r="FA198" s="187"/>
      <c r="FB198" s="187"/>
      <c r="FC198" s="187"/>
    </row>
    <row r="199" spans="1:159" ht="15" x14ac:dyDescent="0.25">
      <c r="A199" s="187" t="s">
        <v>452</v>
      </c>
      <c r="B199" s="187" t="s">
        <v>453</v>
      </c>
      <c r="C199" s="187">
        <v>6673</v>
      </c>
      <c r="D199" s="187">
        <v>150</v>
      </c>
      <c r="E199" s="187">
        <v>1417</v>
      </c>
      <c r="F199" s="187">
        <v>2210</v>
      </c>
      <c r="G199" s="187">
        <v>301</v>
      </c>
      <c r="H199" s="187">
        <v>10751</v>
      </c>
      <c r="I199" s="187">
        <v>10450</v>
      </c>
      <c r="J199" s="187">
        <v>78</v>
      </c>
      <c r="K199" s="187">
        <v>90.65</v>
      </c>
      <c r="L199" s="187">
        <v>87.46</v>
      </c>
      <c r="M199" s="187">
        <v>7.21</v>
      </c>
      <c r="N199" s="187">
        <v>95.27</v>
      </c>
      <c r="O199" s="187">
        <v>5654</v>
      </c>
      <c r="P199" s="187">
        <v>95.18</v>
      </c>
      <c r="Q199" s="187">
        <v>79.739999999999995</v>
      </c>
      <c r="R199" s="187">
        <v>86.33</v>
      </c>
      <c r="S199" s="187">
        <v>177.77</v>
      </c>
      <c r="T199" s="187">
        <v>3052</v>
      </c>
      <c r="U199" s="187">
        <v>112.17</v>
      </c>
      <c r="V199" s="187">
        <v>564</v>
      </c>
      <c r="W199" s="187">
        <v>246.22</v>
      </c>
      <c r="X199" s="187">
        <v>129</v>
      </c>
      <c r="Y199" s="187">
        <v>134</v>
      </c>
      <c r="Z199" s="187">
        <v>4</v>
      </c>
      <c r="AA199" s="187">
        <v>26</v>
      </c>
      <c r="AB199" s="187">
        <v>1</v>
      </c>
      <c r="AC199" s="187">
        <v>13</v>
      </c>
      <c r="AD199" s="187">
        <v>6603</v>
      </c>
      <c r="AE199" s="187">
        <v>51</v>
      </c>
      <c r="AF199" s="187">
        <v>38</v>
      </c>
      <c r="AG199" s="187">
        <v>89</v>
      </c>
      <c r="AH199" s="187"/>
      <c r="AI199" s="187"/>
      <c r="AJ199" s="187"/>
      <c r="AK199" s="187"/>
      <c r="AL199" s="187"/>
      <c r="AM199" s="187"/>
      <c r="AN199" s="187"/>
      <c r="AO199" s="187"/>
      <c r="AP199" s="187"/>
      <c r="AQ199" s="187"/>
      <c r="AR199" s="187"/>
      <c r="AS199" s="187"/>
      <c r="AT199" s="187"/>
      <c r="AU199" s="187"/>
      <c r="AV199" s="187"/>
      <c r="AW199" s="187"/>
      <c r="AX199" s="187"/>
      <c r="AY199" s="187"/>
      <c r="AZ199" s="187"/>
      <c r="BA199" s="187"/>
      <c r="BB199" s="187"/>
      <c r="BC199" s="187"/>
      <c r="BD199" s="187"/>
      <c r="BE199" s="187"/>
      <c r="BF199" s="187"/>
      <c r="BG199" s="187"/>
      <c r="BH199" s="187"/>
      <c r="BI199" s="187"/>
      <c r="BJ199" s="187"/>
      <c r="BK199" s="187"/>
      <c r="BL199" s="187"/>
      <c r="BM199" s="187"/>
      <c r="BN199" s="187"/>
      <c r="BO199" s="187"/>
      <c r="BP199" s="187"/>
      <c r="BQ199" s="187"/>
      <c r="BR199" s="187"/>
      <c r="BS199" s="187"/>
      <c r="BT199" s="187"/>
      <c r="BU199" s="187"/>
      <c r="BV199" s="187"/>
      <c r="BW199" s="187"/>
      <c r="BX199" s="187"/>
      <c r="BY199" s="187"/>
      <c r="BZ199" s="187"/>
      <c r="CA199" s="187"/>
      <c r="CB199" s="187"/>
      <c r="CC199" s="187"/>
      <c r="CD199" s="187"/>
      <c r="CE199" s="187"/>
      <c r="CF199" s="187"/>
      <c r="CG199" s="187"/>
      <c r="CH199" s="187"/>
      <c r="CI199" s="187"/>
      <c r="CJ199" s="187"/>
      <c r="CK199" s="187"/>
      <c r="CL199" s="187"/>
      <c r="CM199" s="187"/>
      <c r="CN199" s="187"/>
      <c r="CO199" s="187"/>
      <c r="CP199" s="187"/>
      <c r="CQ199" s="187"/>
      <c r="CR199" s="187"/>
      <c r="CS199" s="187"/>
      <c r="CT199" s="187"/>
      <c r="CU199" s="187"/>
      <c r="CV199" s="187"/>
      <c r="CW199" s="187"/>
      <c r="CX199" s="187"/>
      <c r="CY199" s="187"/>
      <c r="CZ199" s="187"/>
      <c r="DA199" s="187"/>
      <c r="DB199" s="187"/>
      <c r="DC199" s="187"/>
      <c r="DD199" s="187"/>
      <c r="DE199" s="187"/>
      <c r="DF199" s="187"/>
      <c r="DG199" s="187"/>
      <c r="DH199" s="187"/>
      <c r="DI199" s="187"/>
      <c r="DJ199" s="187"/>
      <c r="DK199" s="187"/>
      <c r="DL199" s="187"/>
      <c r="DM199" s="187"/>
      <c r="DN199" s="187"/>
      <c r="DO199" s="187"/>
      <c r="DP199" s="187"/>
      <c r="DQ199" s="187"/>
      <c r="DR199" s="187"/>
      <c r="DS199" s="187"/>
      <c r="DT199" s="187"/>
      <c r="DU199" s="187"/>
      <c r="DV199" s="187"/>
      <c r="DW199" s="187"/>
      <c r="DX199" s="187"/>
      <c r="DY199" s="187"/>
      <c r="DZ199" s="187"/>
      <c r="EA199" s="187"/>
      <c r="EB199" s="187"/>
      <c r="EC199" s="187"/>
      <c r="ED199" s="187"/>
      <c r="EE199" s="187"/>
      <c r="EF199" s="187"/>
      <c r="EG199" s="187"/>
      <c r="EH199" s="187"/>
      <c r="EI199" s="187"/>
      <c r="EJ199" s="187"/>
      <c r="EK199" s="187"/>
      <c r="EL199" s="187"/>
      <c r="EM199" s="187"/>
      <c r="EN199" s="187"/>
      <c r="EO199" s="187"/>
      <c r="EP199" s="187"/>
      <c r="EQ199" s="187"/>
      <c r="ER199" s="187"/>
      <c r="ES199" s="187"/>
      <c r="ET199" s="187"/>
      <c r="EU199" s="187"/>
      <c r="EV199" s="187"/>
      <c r="EW199" s="187"/>
      <c r="EX199" s="187"/>
      <c r="EY199" s="187"/>
      <c r="EZ199" s="187"/>
      <c r="FA199" s="187"/>
      <c r="FB199" s="187"/>
      <c r="FC199" s="187"/>
    </row>
    <row r="200" spans="1:159" ht="15" x14ac:dyDescent="0.25">
      <c r="A200" s="187" t="s">
        <v>454</v>
      </c>
      <c r="B200" s="187" t="s">
        <v>455</v>
      </c>
      <c r="C200" s="187">
        <v>2608</v>
      </c>
      <c r="D200" s="187">
        <v>0</v>
      </c>
      <c r="E200" s="187">
        <v>260</v>
      </c>
      <c r="F200" s="187">
        <v>360</v>
      </c>
      <c r="G200" s="187">
        <v>572</v>
      </c>
      <c r="H200" s="187">
        <v>3800</v>
      </c>
      <c r="I200" s="187">
        <v>3228</v>
      </c>
      <c r="J200" s="187">
        <v>35</v>
      </c>
      <c r="K200" s="187">
        <v>102.26</v>
      </c>
      <c r="L200" s="187">
        <v>98.45</v>
      </c>
      <c r="M200" s="187">
        <v>6.77</v>
      </c>
      <c r="N200" s="187">
        <v>108.16</v>
      </c>
      <c r="O200" s="187">
        <v>1698</v>
      </c>
      <c r="P200" s="187">
        <v>128.09</v>
      </c>
      <c r="Q200" s="187">
        <v>90.7</v>
      </c>
      <c r="R200" s="187">
        <v>60.66</v>
      </c>
      <c r="S200" s="187">
        <v>186.91</v>
      </c>
      <c r="T200" s="187">
        <v>524</v>
      </c>
      <c r="U200" s="187">
        <v>127.8</v>
      </c>
      <c r="V200" s="187">
        <v>895</v>
      </c>
      <c r="W200" s="187">
        <v>0</v>
      </c>
      <c r="X200" s="187">
        <v>0</v>
      </c>
      <c r="Y200" s="187">
        <v>140</v>
      </c>
      <c r="Z200" s="187">
        <v>2</v>
      </c>
      <c r="AA200" s="187">
        <v>0</v>
      </c>
      <c r="AB200" s="187">
        <v>70</v>
      </c>
      <c r="AC200" s="187">
        <v>15</v>
      </c>
      <c r="AD200" s="187">
        <v>2601</v>
      </c>
      <c r="AE200" s="187">
        <v>44</v>
      </c>
      <c r="AF200" s="187">
        <v>22</v>
      </c>
      <c r="AG200" s="187">
        <v>66</v>
      </c>
      <c r="AH200" s="187"/>
      <c r="AI200" s="187"/>
      <c r="AJ200" s="187"/>
      <c r="AK200" s="187"/>
      <c r="AL200" s="187"/>
      <c r="AM200" s="187"/>
      <c r="AN200" s="187"/>
      <c r="AO200" s="187"/>
      <c r="AP200" s="187"/>
      <c r="AQ200" s="187"/>
      <c r="AR200" s="187"/>
      <c r="AS200" s="187"/>
      <c r="AT200" s="187"/>
      <c r="AU200" s="187"/>
      <c r="AV200" s="187"/>
      <c r="AW200" s="187"/>
      <c r="AX200" s="187"/>
      <c r="AY200" s="187"/>
      <c r="AZ200" s="187"/>
      <c r="BA200" s="187"/>
      <c r="BB200" s="187"/>
      <c r="BC200" s="187"/>
      <c r="BD200" s="187"/>
      <c r="BE200" s="187"/>
      <c r="BF200" s="187"/>
      <c r="BG200" s="187"/>
      <c r="BH200" s="187"/>
      <c r="BI200" s="187"/>
      <c r="BJ200" s="187"/>
      <c r="BK200" s="187"/>
      <c r="BL200" s="187"/>
      <c r="BM200" s="187"/>
      <c r="BN200" s="187"/>
      <c r="BO200" s="187"/>
      <c r="BP200" s="187"/>
      <c r="BQ200" s="187"/>
      <c r="BR200" s="187"/>
      <c r="BS200" s="187"/>
      <c r="BT200" s="187"/>
      <c r="BU200" s="187"/>
      <c r="BV200" s="187"/>
      <c r="BW200" s="187"/>
      <c r="BX200" s="187"/>
      <c r="BY200" s="187"/>
      <c r="BZ200" s="187"/>
      <c r="CA200" s="187"/>
      <c r="CB200" s="187"/>
      <c r="CC200" s="187"/>
      <c r="CD200" s="187"/>
      <c r="CE200" s="187"/>
      <c r="CF200" s="187"/>
      <c r="CG200" s="187"/>
      <c r="CH200" s="187"/>
      <c r="CI200" s="187"/>
      <c r="CJ200" s="187"/>
      <c r="CK200" s="187"/>
      <c r="CL200" s="187"/>
      <c r="CM200" s="187"/>
      <c r="CN200" s="187"/>
      <c r="CO200" s="187"/>
      <c r="CP200" s="187"/>
      <c r="CQ200" s="187"/>
      <c r="CR200" s="187"/>
      <c r="CS200" s="187"/>
      <c r="CT200" s="187"/>
      <c r="CU200" s="187"/>
      <c r="CV200" s="187"/>
      <c r="CW200" s="187"/>
      <c r="CX200" s="187"/>
      <c r="CY200" s="187"/>
      <c r="CZ200" s="187"/>
      <c r="DA200" s="187"/>
      <c r="DB200" s="187"/>
      <c r="DC200" s="187"/>
      <c r="DD200" s="187"/>
      <c r="DE200" s="187"/>
      <c r="DF200" s="187"/>
      <c r="DG200" s="187"/>
      <c r="DH200" s="187"/>
      <c r="DI200" s="187"/>
      <c r="DJ200" s="187"/>
      <c r="DK200" s="187"/>
      <c r="DL200" s="187"/>
      <c r="DM200" s="187"/>
      <c r="DN200" s="187"/>
      <c r="DO200" s="187"/>
      <c r="DP200" s="187"/>
      <c r="DQ200" s="187"/>
      <c r="DR200" s="187"/>
      <c r="DS200" s="187"/>
      <c r="DT200" s="187"/>
      <c r="DU200" s="187"/>
      <c r="DV200" s="187"/>
      <c r="DW200" s="187"/>
      <c r="DX200" s="187"/>
      <c r="DY200" s="187"/>
      <c r="DZ200" s="187"/>
      <c r="EA200" s="187"/>
      <c r="EB200" s="187"/>
      <c r="EC200" s="187"/>
      <c r="ED200" s="187"/>
      <c r="EE200" s="187"/>
      <c r="EF200" s="187"/>
      <c r="EG200" s="187"/>
      <c r="EH200" s="187"/>
      <c r="EI200" s="187"/>
      <c r="EJ200" s="187"/>
      <c r="EK200" s="187"/>
      <c r="EL200" s="187"/>
      <c r="EM200" s="187"/>
      <c r="EN200" s="187"/>
      <c r="EO200" s="187"/>
      <c r="EP200" s="187"/>
      <c r="EQ200" s="187"/>
      <c r="ER200" s="187"/>
      <c r="ES200" s="187"/>
      <c r="ET200" s="187"/>
      <c r="EU200" s="187"/>
      <c r="EV200" s="187"/>
      <c r="EW200" s="187"/>
      <c r="EX200" s="187"/>
      <c r="EY200" s="187"/>
      <c r="EZ200" s="187"/>
      <c r="FA200" s="187"/>
      <c r="FB200" s="187"/>
      <c r="FC200" s="187"/>
    </row>
    <row r="201" spans="1:159" ht="15" x14ac:dyDescent="0.25">
      <c r="A201" s="187" t="s">
        <v>456</v>
      </c>
      <c r="B201" s="187" t="s">
        <v>457</v>
      </c>
      <c r="C201" s="187">
        <v>593</v>
      </c>
      <c r="D201" s="187">
        <v>0</v>
      </c>
      <c r="E201" s="187">
        <v>69</v>
      </c>
      <c r="F201" s="187">
        <v>95</v>
      </c>
      <c r="G201" s="187">
        <v>199</v>
      </c>
      <c r="H201" s="187">
        <v>956</v>
      </c>
      <c r="I201" s="187">
        <v>757</v>
      </c>
      <c r="J201" s="187">
        <v>1</v>
      </c>
      <c r="K201" s="187">
        <v>97.86</v>
      </c>
      <c r="L201" s="187">
        <v>95.3</v>
      </c>
      <c r="M201" s="187">
        <v>6.7</v>
      </c>
      <c r="N201" s="187">
        <v>101.74</v>
      </c>
      <c r="O201" s="187">
        <v>280</v>
      </c>
      <c r="P201" s="187">
        <v>114.32</v>
      </c>
      <c r="Q201" s="187">
        <v>76.19</v>
      </c>
      <c r="R201" s="187">
        <v>43.03</v>
      </c>
      <c r="S201" s="187">
        <v>154.16999999999999</v>
      </c>
      <c r="T201" s="187">
        <v>135</v>
      </c>
      <c r="U201" s="187">
        <v>121.52</v>
      </c>
      <c r="V201" s="187">
        <v>221</v>
      </c>
      <c r="W201" s="187">
        <v>0</v>
      </c>
      <c r="X201" s="187">
        <v>0</v>
      </c>
      <c r="Y201" s="187">
        <v>8</v>
      </c>
      <c r="Z201" s="187">
        <v>0</v>
      </c>
      <c r="AA201" s="187">
        <v>0</v>
      </c>
      <c r="AB201" s="187">
        <v>29</v>
      </c>
      <c r="AC201" s="187">
        <v>3</v>
      </c>
      <c r="AD201" s="187">
        <v>537</v>
      </c>
      <c r="AE201" s="187">
        <v>4</v>
      </c>
      <c r="AF201" s="187">
        <v>0</v>
      </c>
      <c r="AG201" s="187">
        <v>4</v>
      </c>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c r="BR201" s="187"/>
      <c r="BS201" s="187"/>
      <c r="BT201" s="187"/>
      <c r="BU201" s="187"/>
      <c r="BV201" s="187"/>
      <c r="BW201" s="187"/>
      <c r="BX201" s="187"/>
      <c r="BY201" s="187"/>
      <c r="BZ201" s="187"/>
      <c r="CA201" s="187"/>
      <c r="CB201" s="187"/>
      <c r="CC201" s="187"/>
      <c r="CD201" s="187"/>
      <c r="CE201" s="187"/>
      <c r="CF201" s="187"/>
      <c r="CG201" s="187"/>
      <c r="CH201" s="187"/>
      <c r="CI201" s="187"/>
      <c r="CJ201" s="187"/>
      <c r="CK201" s="187"/>
      <c r="CL201" s="187"/>
      <c r="CM201" s="187"/>
      <c r="CN201" s="187"/>
      <c r="CO201" s="187"/>
      <c r="CP201" s="187"/>
      <c r="CQ201" s="187"/>
      <c r="CR201" s="187"/>
      <c r="CS201" s="187"/>
      <c r="CT201" s="187"/>
      <c r="CU201" s="187"/>
      <c r="CV201" s="187"/>
      <c r="CW201" s="187"/>
      <c r="CX201" s="187"/>
      <c r="CY201" s="187"/>
      <c r="CZ201" s="187"/>
      <c r="DA201" s="187"/>
      <c r="DB201" s="187"/>
      <c r="DC201" s="187"/>
      <c r="DD201" s="187"/>
      <c r="DE201" s="187"/>
      <c r="DF201" s="187"/>
      <c r="DG201" s="187"/>
      <c r="DH201" s="187"/>
      <c r="DI201" s="187"/>
      <c r="DJ201" s="187"/>
      <c r="DK201" s="187"/>
      <c r="DL201" s="187"/>
      <c r="DM201" s="187"/>
      <c r="DN201" s="187"/>
      <c r="DO201" s="187"/>
      <c r="DP201" s="187"/>
      <c r="DQ201" s="187"/>
      <c r="DR201" s="187"/>
      <c r="DS201" s="187"/>
      <c r="DT201" s="187"/>
      <c r="DU201" s="187"/>
      <c r="DV201" s="187"/>
      <c r="DW201" s="187"/>
      <c r="DX201" s="187"/>
      <c r="DY201" s="187"/>
      <c r="DZ201" s="187"/>
      <c r="EA201" s="187"/>
      <c r="EB201" s="187"/>
      <c r="EC201" s="187"/>
      <c r="ED201" s="187"/>
      <c r="EE201" s="187"/>
      <c r="EF201" s="187"/>
      <c r="EG201" s="187"/>
      <c r="EH201" s="187"/>
      <c r="EI201" s="187"/>
      <c r="EJ201" s="187"/>
      <c r="EK201" s="187"/>
      <c r="EL201" s="187"/>
      <c r="EM201" s="187"/>
      <c r="EN201" s="187"/>
      <c r="EO201" s="187"/>
      <c r="EP201" s="187"/>
      <c r="EQ201" s="187"/>
      <c r="ER201" s="187"/>
      <c r="ES201" s="187"/>
      <c r="ET201" s="187"/>
      <c r="EU201" s="187"/>
      <c r="EV201" s="187"/>
      <c r="EW201" s="187"/>
      <c r="EX201" s="187"/>
      <c r="EY201" s="187"/>
      <c r="EZ201" s="187"/>
      <c r="FA201" s="187"/>
      <c r="FB201" s="187"/>
      <c r="FC201" s="187"/>
    </row>
    <row r="202" spans="1:159" ht="15" x14ac:dyDescent="0.25">
      <c r="A202" s="187" t="s">
        <v>458</v>
      </c>
      <c r="B202" s="187" t="s">
        <v>459</v>
      </c>
      <c r="C202" s="187">
        <v>17184</v>
      </c>
      <c r="D202" s="187">
        <v>5</v>
      </c>
      <c r="E202" s="187">
        <v>600</v>
      </c>
      <c r="F202" s="187">
        <v>792</v>
      </c>
      <c r="G202" s="187">
        <v>379</v>
      </c>
      <c r="H202" s="187">
        <v>18960</v>
      </c>
      <c r="I202" s="187">
        <v>18581</v>
      </c>
      <c r="J202" s="187">
        <v>7</v>
      </c>
      <c r="K202" s="187">
        <v>82.81</v>
      </c>
      <c r="L202" s="187">
        <v>82.77</v>
      </c>
      <c r="M202" s="187">
        <v>5.25</v>
      </c>
      <c r="N202" s="187">
        <v>85.57</v>
      </c>
      <c r="O202" s="187">
        <v>15252</v>
      </c>
      <c r="P202" s="187">
        <v>83.94</v>
      </c>
      <c r="Q202" s="187">
        <v>79.510000000000005</v>
      </c>
      <c r="R202" s="187">
        <v>35.17</v>
      </c>
      <c r="S202" s="187">
        <v>116.86</v>
      </c>
      <c r="T202" s="187">
        <v>1342</v>
      </c>
      <c r="U202" s="187">
        <v>108.72</v>
      </c>
      <c r="V202" s="187">
        <v>1756</v>
      </c>
      <c r="W202" s="187">
        <v>0</v>
      </c>
      <c r="X202" s="187">
        <v>0</v>
      </c>
      <c r="Y202" s="187">
        <v>0</v>
      </c>
      <c r="Z202" s="187">
        <v>96</v>
      </c>
      <c r="AA202" s="187">
        <v>7</v>
      </c>
      <c r="AB202" s="187">
        <v>41</v>
      </c>
      <c r="AC202" s="187">
        <v>12</v>
      </c>
      <c r="AD202" s="187">
        <v>17182</v>
      </c>
      <c r="AE202" s="187">
        <v>73</v>
      </c>
      <c r="AF202" s="187">
        <v>107</v>
      </c>
      <c r="AG202" s="187">
        <v>180</v>
      </c>
      <c r="AH202" s="187"/>
      <c r="AI202" s="187"/>
      <c r="AJ202" s="187"/>
      <c r="AK202" s="187"/>
      <c r="AL202" s="187"/>
      <c r="AM202" s="187"/>
      <c r="AN202" s="187"/>
      <c r="AO202" s="187"/>
      <c r="AP202" s="187"/>
      <c r="AQ202" s="187"/>
      <c r="AR202" s="187"/>
      <c r="AS202" s="187"/>
      <c r="AT202" s="187"/>
      <c r="AU202" s="187"/>
      <c r="AV202" s="187"/>
      <c r="AW202" s="187"/>
      <c r="AX202" s="187"/>
      <c r="AY202" s="187"/>
      <c r="AZ202" s="187"/>
      <c r="BA202" s="187"/>
      <c r="BB202" s="187"/>
      <c r="BC202" s="187"/>
      <c r="BD202" s="187"/>
      <c r="BE202" s="187"/>
      <c r="BF202" s="187"/>
      <c r="BG202" s="187"/>
      <c r="BH202" s="187"/>
      <c r="BI202" s="187"/>
      <c r="BJ202" s="187"/>
      <c r="BK202" s="187"/>
      <c r="BL202" s="187"/>
      <c r="BM202" s="187"/>
      <c r="BN202" s="187"/>
      <c r="BO202" s="187"/>
      <c r="BP202" s="187"/>
      <c r="BQ202" s="187"/>
      <c r="BR202" s="187"/>
      <c r="BS202" s="187"/>
      <c r="BT202" s="187"/>
      <c r="BU202" s="187"/>
      <c r="BV202" s="187"/>
      <c r="BW202" s="187"/>
      <c r="BX202" s="187"/>
      <c r="BY202" s="187"/>
      <c r="BZ202" s="187"/>
      <c r="CA202" s="187"/>
      <c r="CB202" s="187"/>
      <c r="CC202" s="187"/>
      <c r="CD202" s="187"/>
      <c r="CE202" s="187"/>
      <c r="CF202" s="187"/>
      <c r="CG202" s="187"/>
      <c r="CH202" s="187"/>
      <c r="CI202" s="187"/>
      <c r="CJ202" s="187"/>
      <c r="CK202" s="187"/>
      <c r="CL202" s="187"/>
      <c r="CM202" s="187"/>
      <c r="CN202" s="187"/>
      <c r="CO202" s="187"/>
      <c r="CP202" s="187"/>
      <c r="CQ202" s="187"/>
      <c r="CR202" s="187"/>
      <c r="CS202" s="187"/>
      <c r="CT202" s="187"/>
      <c r="CU202" s="187"/>
      <c r="CV202" s="187"/>
      <c r="CW202" s="187"/>
      <c r="CX202" s="187"/>
      <c r="CY202" s="187"/>
      <c r="CZ202" s="187"/>
      <c r="DA202" s="187"/>
      <c r="DB202" s="187"/>
      <c r="DC202" s="187"/>
      <c r="DD202" s="187"/>
      <c r="DE202" s="187"/>
      <c r="DF202" s="187"/>
      <c r="DG202" s="187"/>
      <c r="DH202" s="187"/>
      <c r="DI202" s="187"/>
      <c r="DJ202" s="187"/>
      <c r="DK202" s="187"/>
      <c r="DL202" s="187"/>
      <c r="DM202" s="187"/>
      <c r="DN202" s="187"/>
      <c r="DO202" s="187"/>
      <c r="DP202" s="187"/>
      <c r="DQ202" s="187"/>
      <c r="DR202" s="187"/>
      <c r="DS202" s="187"/>
      <c r="DT202" s="187"/>
      <c r="DU202" s="187"/>
      <c r="DV202" s="187"/>
      <c r="DW202" s="187"/>
      <c r="DX202" s="187"/>
      <c r="DY202" s="187"/>
      <c r="DZ202" s="187"/>
      <c r="EA202" s="187"/>
      <c r="EB202" s="187"/>
      <c r="EC202" s="187"/>
      <c r="ED202" s="187"/>
      <c r="EE202" s="187"/>
      <c r="EF202" s="187"/>
      <c r="EG202" s="187"/>
      <c r="EH202" s="187"/>
      <c r="EI202" s="187"/>
      <c r="EJ202" s="187"/>
      <c r="EK202" s="187"/>
      <c r="EL202" s="187"/>
      <c r="EM202" s="187"/>
      <c r="EN202" s="187"/>
      <c r="EO202" s="187"/>
      <c r="EP202" s="187"/>
      <c r="EQ202" s="187"/>
      <c r="ER202" s="187"/>
      <c r="ES202" s="187"/>
      <c r="ET202" s="187"/>
      <c r="EU202" s="187"/>
      <c r="EV202" s="187"/>
      <c r="EW202" s="187"/>
      <c r="EX202" s="187"/>
      <c r="EY202" s="187"/>
      <c r="EZ202" s="187"/>
      <c r="FA202" s="187"/>
      <c r="FB202" s="187"/>
      <c r="FC202" s="187"/>
    </row>
    <row r="203" spans="1:159" ht="15" x14ac:dyDescent="0.25">
      <c r="A203" s="187" t="s">
        <v>460</v>
      </c>
      <c r="B203" s="187" t="s">
        <v>461</v>
      </c>
      <c r="C203" s="187">
        <v>3194</v>
      </c>
      <c r="D203" s="187">
        <v>2</v>
      </c>
      <c r="E203" s="187">
        <v>424</v>
      </c>
      <c r="F203" s="187">
        <v>860</v>
      </c>
      <c r="G203" s="187">
        <v>842</v>
      </c>
      <c r="H203" s="187">
        <v>5322</v>
      </c>
      <c r="I203" s="187">
        <v>4480</v>
      </c>
      <c r="J203" s="187">
        <v>45</v>
      </c>
      <c r="K203" s="187">
        <v>122.45</v>
      </c>
      <c r="L203" s="187">
        <v>116.31</v>
      </c>
      <c r="M203" s="187">
        <v>9.74</v>
      </c>
      <c r="N203" s="187">
        <v>129.78</v>
      </c>
      <c r="O203" s="187">
        <v>2957</v>
      </c>
      <c r="P203" s="187">
        <v>112.13</v>
      </c>
      <c r="Q203" s="187">
        <v>97.75</v>
      </c>
      <c r="R203" s="187">
        <v>67.52</v>
      </c>
      <c r="S203" s="187">
        <v>179.21</v>
      </c>
      <c r="T203" s="187">
        <v>1225</v>
      </c>
      <c r="U203" s="187">
        <v>189.83</v>
      </c>
      <c r="V203" s="187">
        <v>103</v>
      </c>
      <c r="W203" s="187">
        <v>0</v>
      </c>
      <c r="X203" s="187">
        <v>0</v>
      </c>
      <c r="Y203" s="187">
        <v>44</v>
      </c>
      <c r="Z203" s="187">
        <v>1</v>
      </c>
      <c r="AA203" s="187">
        <v>9</v>
      </c>
      <c r="AB203" s="187">
        <v>119</v>
      </c>
      <c r="AC203" s="187">
        <v>17</v>
      </c>
      <c r="AD203" s="187">
        <v>3150</v>
      </c>
      <c r="AE203" s="187">
        <v>80</v>
      </c>
      <c r="AF203" s="187">
        <v>12</v>
      </c>
      <c r="AG203" s="187">
        <v>92</v>
      </c>
      <c r="AH203" s="187"/>
      <c r="AI203" s="187"/>
      <c r="AJ203" s="187"/>
      <c r="AK203" s="187"/>
      <c r="AL203" s="187"/>
      <c r="AM203" s="187"/>
      <c r="AN203" s="187"/>
      <c r="AO203" s="187"/>
      <c r="AP203" s="187"/>
      <c r="AQ203" s="187"/>
      <c r="AR203" s="187"/>
      <c r="AS203" s="187"/>
      <c r="AT203" s="187"/>
      <c r="AU203" s="187"/>
      <c r="AV203" s="187"/>
      <c r="AW203" s="187"/>
      <c r="AX203" s="187"/>
      <c r="AY203" s="187"/>
      <c r="AZ203" s="187"/>
      <c r="BA203" s="187"/>
      <c r="BB203" s="187"/>
      <c r="BC203" s="187"/>
      <c r="BD203" s="187"/>
      <c r="BE203" s="187"/>
      <c r="BF203" s="187"/>
      <c r="BG203" s="187"/>
      <c r="BH203" s="187"/>
      <c r="BI203" s="187"/>
      <c r="BJ203" s="187"/>
      <c r="BK203" s="187"/>
      <c r="BL203" s="187"/>
      <c r="BM203" s="187"/>
      <c r="BN203" s="187"/>
      <c r="BO203" s="187"/>
      <c r="BP203" s="187"/>
      <c r="BQ203" s="187"/>
      <c r="BR203" s="187"/>
      <c r="BS203" s="187"/>
      <c r="BT203" s="187"/>
      <c r="BU203" s="187"/>
      <c r="BV203" s="187"/>
      <c r="BW203" s="187"/>
      <c r="BX203" s="187"/>
      <c r="BY203" s="187"/>
      <c r="BZ203" s="187"/>
      <c r="CA203" s="187"/>
      <c r="CB203" s="187"/>
      <c r="CC203" s="187"/>
      <c r="CD203" s="187"/>
      <c r="CE203" s="187"/>
      <c r="CF203" s="187"/>
      <c r="CG203" s="187"/>
      <c r="CH203" s="187"/>
      <c r="CI203" s="187"/>
      <c r="CJ203" s="187"/>
      <c r="CK203" s="187"/>
      <c r="CL203" s="187"/>
      <c r="CM203" s="187"/>
      <c r="CN203" s="187"/>
      <c r="CO203" s="187"/>
      <c r="CP203" s="187"/>
      <c r="CQ203" s="187"/>
      <c r="CR203" s="187"/>
      <c r="CS203" s="187"/>
      <c r="CT203" s="187"/>
      <c r="CU203" s="187"/>
      <c r="CV203" s="187"/>
      <c r="CW203" s="187"/>
      <c r="CX203" s="187"/>
      <c r="CY203" s="187"/>
      <c r="CZ203" s="187"/>
      <c r="DA203" s="187"/>
      <c r="DB203" s="187"/>
      <c r="DC203" s="187"/>
      <c r="DD203" s="187"/>
      <c r="DE203" s="187"/>
      <c r="DF203" s="187"/>
      <c r="DG203" s="187"/>
      <c r="DH203" s="187"/>
      <c r="DI203" s="187"/>
      <c r="DJ203" s="187"/>
      <c r="DK203" s="187"/>
      <c r="DL203" s="187"/>
      <c r="DM203" s="187"/>
      <c r="DN203" s="187"/>
      <c r="DO203" s="187"/>
      <c r="DP203" s="187"/>
      <c r="DQ203" s="187"/>
      <c r="DR203" s="187"/>
      <c r="DS203" s="187"/>
      <c r="DT203" s="187"/>
      <c r="DU203" s="187"/>
      <c r="DV203" s="187"/>
      <c r="DW203" s="187"/>
      <c r="DX203" s="187"/>
      <c r="DY203" s="187"/>
      <c r="DZ203" s="187"/>
      <c r="EA203" s="187"/>
      <c r="EB203" s="187"/>
      <c r="EC203" s="187"/>
      <c r="ED203" s="187"/>
      <c r="EE203" s="187"/>
      <c r="EF203" s="187"/>
      <c r="EG203" s="187"/>
      <c r="EH203" s="187"/>
      <c r="EI203" s="187"/>
      <c r="EJ203" s="187"/>
      <c r="EK203" s="187"/>
      <c r="EL203" s="187"/>
      <c r="EM203" s="187"/>
      <c r="EN203" s="187"/>
      <c r="EO203" s="187"/>
      <c r="EP203" s="187"/>
      <c r="EQ203" s="187"/>
      <c r="ER203" s="187"/>
      <c r="ES203" s="187"/>
      <c r="ET203" s="187"/>
      <c r="EU203" s="187"/>
      <c r="EV203" s="187"/>
      <c r="EW203" s="187"/>
      <c r="EX203" s="187"/>
      <c r="EY203" s="187"/>
      <c r="EZ203" s="187"/>
      <c r="FA203" s="187"/>
      <c r="FB203" s="187"/>
      <c r="FC203" s="187"/>
    </row>
    <row r="204" spans="1:159" ht="15" x14ac:dyDescent="0.25">
      <c r="A204" s="187" t="s">
        <v>462</v>
      </c>
      <c r="B204" s="187" t="s">
        <v>463</v>
      </c>
      <c r="C204" s="187">
        <v>4186</v>
      </c>
      <c r="D204" s="187">
        <v>0</v>
      </c>
      <c r="E204" s="187">
        <v>273</v>
      </c>
      <c r="F204" s="187">
        <v>209</v>
      </c>
      <c r="G204" s="187">
        <v>20</v>
      </c>
      <c r="H204" s="187">
        <v>4688</v>
      </c>
      <c r="I204" s="187">
        <v>4668</v>
      </c>
      <c r="J204" s="187">
        <v>8</v>
      </c>
      <c r="K204" s="187">
        <v>78.3</v>
      </c>
      <c r="L204" s="187">
        <v>74.94</v>
      </c>
      <c r="M204" s="187">
        <v>2.56</v>
      </c>
      <c r="N204" s="187">
        <v>80.61</v>
      </c>
      <c r="O204" s="187">
        <v>3688</v>
      </c>
      <c r="P204" s="187">
        <v>105.72</v>
      </c>
      <c r="Q204" s="187">
        <v>74.930000000000007</v>
      </c>
      <c r="R204" s="187">
        <v>79.94</v>
      </c>
      <c r="S204" s="187">
        <v>184.44</v>
      </c>
      <c r="T204" s="187">
        <v>327</v>
      </c>
      <c r="U204" s="187">
        <v>102.37</v>
      </c>
      <c r="V204" s="187">
        <v>489</v>
      </c>
      <c r="W204" s="187">
        <v>176.78</v>
      </c>
      <c r="X204" s="187">
        <v>40</v>
      </c>
      <c r="Y204" s="187">
        <v>0</v>
      </c>
      <c r="Z204" s="187">
        <v>21</v>
      </c>
      <c r="AA204" s="187">
        <v>1</v>
      </c>
      <c r="AB204" s="187">
        <v>11</v>
      </c>
      <c r="AC204" s="187">
        <v>0</v>
      </c>
      <c r="AD204" s="187">
        <v>4185</v>
      </c>
      <c r="AE204" s="187">
        <v>33</v>
      </c>
      <c r="AF204" s="187">
        <v>16</v>
      </c>
      <c r="AG204" s="187">
        <v>49</v>
      </c>
      <c r="AH204" s="187"/>
      <c r="AI204" s="187"/>
      <c r="AJ204" s="187"/>
      <c r="AK204" s="187"/>
      <c r="AL204" s="187"/>
      <c r="AM204" s="187"/>
      <c r="AN204" s="187"/>
      <c r="AO204" s="187"/>
      <c r="AP204" s="187"/>
      <c r="AQ204" s="187"/>
      <c r="AR204" s="187"/>
      <c r="AS204" s="187"/>
      <c r="AT204" s="187"/>
      <c r="AU204" s="187"/>
      <c r="AV204" s="187"/>
      <c r="AW204" s="187"/>
      <c r="AX204" s="187"/>
      <c r="AY204" s="187"/>
      <c r="AZ204" s="187"/>
      <c r="BA204" s="187"/>
      <c r="BB204" s="187"/>
      <c r="BC204" s="187"/>
      <c r="BD204" s="187"/>
      <c r="BE204" s="187"/>
      <c r="BF204" s="187"/>
      <c r="BG204" s="187"/>
      <c r="BH204" s="187"/>
      <c r="BI204" s="187"/>
      <c r="BJ204" s="187"/>
      <c r="BK204" s="187"/>
      <c r="BL204" s="187"/>
      <c r="BM204" s="187"/>
      <c r="BN204" s="187"/>
      <c r="BO204" s="187"/>
      <c r="BP204" s="187"/>
      <c r="BQ204" s="187"/>
      <c r="BR204" s="187"/>
      <c r="BS204" s="187"/>
      <c r="BT204" s="187"/>
      <c r="BU204" s="187"/>
      <c r="BV204" s="187"/>
      <c r="BW204" s="187"/>
      <c r="BX204" s="187"/>
      <c r="BY204" s="187"/>
      <c r="BZ204" s="187"/>
      <c r="CA204" s="187"/>
      <c r="CB204" s="187"/>
      <c r="CC204" s="187"/>
      <c r="CD204" s="187"/>
      <c r="CE204" s="187"/>
      <c r="CF204" s="187"/>
      <c r="CG204" s="187"/>
      <c r="CH204" s="187"/>
      <c r="CI204" s="187"/>
      <c r="CJ204" s="187"/>
      <c r="CK204" s="187"/>
      <c r="CL204" s="187"/>
      <c r="CM204" s="187"/>
      <c r="CN204" s="187"/>
      <c r="CO204" s="187"/>
      <c r="CP204" s="187"/>
      <c r="CQ204" s="187"/>
      <c r="CR204" s="187"/>
      <c r="CS204" s="187"/>
      <c r="CT204" s="187"/>
      <c r="CU204" s="187"/>
      <c r="CV204" s="187"/>
      <c r="CW204" s="187"/>
      <c r="CX204" s="187"/>
      <c r="CY204" s="187"/>
      <c r="CZ204" s="187"/>
      <c r="DA204" s="187"/>
      <c r="DB204" s="187"/>
      <c r="DC204" s="187"/>
      <c r="DD204" s="187"/>
      <c r="DE204" s="187"/>
      <c r="DF204" s="187"/>
      <c r="DG204" s="187"/>
      <c r="DH204" s="187"/>
      <c r="DI204" s="187"/>
      <c r="DJ204" s="187"/>
      <c r="DK204" s="187"/>
      <c r="DL204" s="187"/>
      <c r="DM204" s="187"/>
      <c r="DN204" s="187"/>
      <c r="DO204" s="187"/>
      <c r="DP204" s="187"/>
      <c r="DQ204" s="187"/>
      <c r="DR204" s="187"/>
      <c r="DS204" s="187"/>
      <c r="DT204" s="187"/>
      <c r="DU204" s="187"/>
      <c r="DV204" s="187"/>
      <c r="DW204" s="187"/>
      <c r="DX204" s="187"/>
      <c r="DY204" s="187"/>
      <c r="DZ204" s="187"/>
      <c r="EA204" s="187"/>
      <c r="EB204" s="187"/>
      <c r="EC204" s="187"/>
      <c r="ED204" s="187"/>
      <c r="EE204" s="187"/>
      <c r="EF204" s="187"/>
      <c r="EG204" s="187"/>
      <c r="EH204" s="187"/>
      <c r="EI204" s="187"/>
      <c r="EJ204" s="187"/>
      <c r="EK204" s="187"/>
      <c r="EL204" s="187"/>
      <c r="EM204" s="187"/>
      <c r="EN204" s="187"/>
      <c r="EO204" s="187"/>
      <c r="EP204" s="187"/>
      <c r="EQ204" s="187"/>
      <c r="ER204" s="187"/>
      <c r="ES204" s="187"/>
      <c r="ET204" s="187"/>
      <c r="EU204" s="187"/>
      <c r="EV204" s="187"/>
      <c r="EW204" s="187"/>
      <c r="EX204" s="187"/>
      <c r="EY204" s="187"/>
      <c r="EZ204" s="187"/>
      <c r="FA204" s="187"/>
      <c r="FB204" s="187"/>
      <c r="FC204" s="187"/>
    </row>
    <row r="205" spans="1:159" ht="15" x14ac:dyDescent="0.25">
      <c r="A205" s="187" t="s">
        <v>464</v>
      </c>
      <c r="B205" s="187" t="s">
        <v>465</v>
      </c>
      <c r="C205" s="187">
        <v>13193</v>
      </c>
      <c r="D205" s="187">
        <v>19</v>
      </c>
      <c r="E205" s="187">
        <v>644</v>
      </c>
      <c r="F205" s="187">
        <v>2308</v>
      </c>
      <c r="G205" s="187">
        <v>1155</v>
      </c>
      <c r="H205" s="187">
        <v>17319</v>
      </c>
      <c r="I205" s="187">
        <v>16164</v>
      </c>
      <c r="J205" s="187">
        <v>14</v>
      </c>
      <c r="K205" s="187">
        <v>92.17</v>
      </c>
      <c r="L205" s="187">
        <v>91.49</v>
      </c>
      <c r="M205" s="187">
        <v>6.95</v>
      </c>
      <c r="N205" s="187">
        <v>95.71</v>
      </c>
      <c r="O205" s="187">
        <v>10961</v>
      </c>
      <c r="P205" s="187">
        <v>99.34</v>
      </c>
      <c r="Q205" s="187">
        <v>88.19</v>
      </c>
      <c r="R205" s="187">
        <v>36.840000000000003</v>
      </c>
      <c r="S205" s="187">
        <v>134.16</v>
      </c>
      <c r="T205" s="187">
        <v>2609</v>
      </c>
      <c r="U205" s="187">
        <v>119.56</v>
      </c>
      <c r="V205" s="187">
        <v>1901</v>
      </c>
      <c r="W205" s="187">
        <v>217.09</v>
      </c>
      <c r="X205" s="187">
        <v>87</v>
      </c>
      <c r="Y205" s="187">
        <v>12</v>
      </c>
      <c r="Z205" s="187">
        <v>45</v>
      </c>
      <c r="AA205" s="187">
        <v>4</v>
      </c>
      <c r="AB205" s="187">
        <v>44</v>
      </c>
      <c r="AC205" s="187">
        <v>27</v>
      </c>
      <c r="AD205" s="187">
        <v>13165</v>
      </c>
      <c r="AE205" s="187">
        <v>79</v>
      </c>
      <c r="AF205" s="187">
        <v>36</v>
      </c>
      <c r="AG205" s="187">
        <v>115</v>
      </c>
      <c r="AH205" s="187"/>
      <c r="AI205" s="187"/>
      <c r="AJ205" s="187"/>
      <c r="AK205" s="187"/>
      <c r="AL205" s="187"/>
      <c r="AM205" s="187"/>
      <c r="AN205" s="187"/>
      <c r="AO205" s="187"/>
      <c r="AP205" s="187"/>
      <c r="AQ205" s="187"/>
      <c r="AR205" s="187"/>
      <c r="AS205" s="187"/>
      <c r="AT205" s="187"/>
      <c r="AU205" s="187"/>
      <c r="AV205" s="187"/>
      <c r="AW205" s="187"/>
      <c r="AX205" s="187"/>
      <c r="AY205" s="187"/>
      <c r="AZ205" s="187"/>
      <c r="BA205" s="187"/>
      <c r="BB205" s="187"/>
      <c r="BC205" s="187"/>
      <c r="BD205" s="187"/>
      <c r="BE205" s="187"/>
      <c r="BF205" s="187"/>
      <c r="BG205" s="187"/>
      <c r="BH205" s="187"/>
      <c r="BI205" s="187"/>
      <c r="BJ205" s="187"/>
      <c r="BK205" s="187"/>
      <c r="BL205" s="187"/>
      <c r="BM205" s="187"/>
      <c r="BN205" s="187"/>
      <c r="BO205" s="187"/>
      <c r="BP205" s="187"/>
      <c r="BQ205" s="187"/>
      <c r="BR205" s="187"/>
      <c r="BS205" s="187"/>
      <c r="BT205" s="187"/>
      <c r="BU205" s="187"/>
      <c r="BV205" s="187"/>
      <c r="BW205" s="187"/>
      <c r="BX205" s="187"/>
      <c r="BY205" s="187"/>
      <c r="BZ205" s="187"/>
      <c r="CA205" s="187"/>
      <c r="CB205" s="187"/>
      <c r="CC205" s="187"/>
      <c r="CD205" s="187"/>
      <c r="CE205" s="187"/>
      <c r="CF205" s="187"/>
      <c r="CG205" s="187"/>
      <c r="CH205" s="187"/>
      <c r="CI205" s="187"/>
      <c r="CJ205" s="187"/>
      <c r="CK205" s="187"/>
      <c r="CL205" s="187"/>
      <c r="CM205" s="187"/>
      <c r="CN205" s="187"/>
      <c r="CO205" s="187"/>
      <c r="CP205" s="187"/>
      <c r="CQ205" s="187"/>
      <c r="CR205" s="187"/>
      <c r="CS205" s="187"/>
      <c r="CT205" s="187"/>
      <c r="CU205" s="187"/>
      <c r="CV205" s="187"/>
      <c r="CW205" s="187"/>
      <c r="CX205" s="187"/>
      <c r="CY205" s="187"/>
      <c r="CZ205" s="187"/>
      <c r="DA205" s="187"/>
      <c r="DB205" s="187"/>
      <c r="DC205" s="187"/>
      <c r="DD205" s="187"/>
      <c r="DE205" s="187"/>
      <c r="DF205" s="187"/>
      <c r="DG205" s="187"/>
      <c r="DH205" s="187"/>
      <c r="DI205" s="187"/>
      <c r="DJ205" s="187"/>
      <c r="DK205" s="187"/>
      <c r="DL205" s="187"/>
      <c r="DM205" s="187"/>
      <c r="DN205" s="187"/>
      <c r="DO205" s="187"/>
      <c r="DP205" s="187"/>
      <c r="DQ205" s="187"/>
      <c r="DR205" s="187"/>
      <c r="DS205" s="187"/>
      <c r="DT205" s="187"/>
      <c r="DU205" s="187"/>
      <c r="DV205" s="187"/>
      <c r="DW205" s="187"/>
      <c r="DX205" s="187"/>
      <c r="DY205" s="187"/>
      <c r="DZ205" s="187"/>
      <c r="EA205" s="187"/>
      <c r="EB205" s="187"/>
      <c r="EC205" s="187"/>
      <c r="ED205" s="187"/>
      <c r="EE205" s="187"/>
      <c r="EF205" s="187"/>
      <c r="EG205" s="187"/>
      <c r="EH205" s="187"/>
      <c r="EI205" s="187"/>
      <c r="EJ205" s="187"/>
      <c r="EK205" s="187"/>
      <c r="EL205" s="187"/>
      <c r="EM205" s="187"/>
      <c r="EN205" s="187"/>
      <c r="EO205" s="187"/>
      <c r="EP205" s="187"/>
      <c r="EQ205" s="187"/>
      <c r="ER205" s="187"/>
      <c r="ES205" s="187"/>
      <c r="ET205" s="187"/>
      <c r="EU205" s="187"/>
      <c r="EV205" s="187"/>
      <c r="EW205" s="187"/>
      <c r="EX205" s="187"/>
      <c r="EY205" s="187"/>
      <c r="EZ205" s="187"/>
      <c r="FA205" s="187"/>
      <c r="FB205" s="187"/>
      <c r="FC205" s="187"/>
    </row>
    <row r="206" spans="1:159" ht="15" x14ac:dyDescent="0.25">
      <c r="A206" s="187" t="s">
        <v>466</v>
      </c>
      <c r="B206" s="187" t="s">
        <v>467</v>
      </c>
      <c r="C206" s="187">
        <v>18754</v>
      </c>
      <c r="D206" s="187">
        <v>0</v>
      </c>
      <c r="E206" s="187">
        <v>2367</v>
      </c>
      <c r="F206" s="187">
        <v>1062</v>
      </c>
      <c r="G206" s="187">
        <v>1199</v>
      </c>
      <c r="H206" s="187">
        <v>23382</v>
      </c>
      <c r="I206" s="187">
        <v>22183</v>
      </c>
      <c r="J206" s="187">
        <v>107</v>
      </c>
      <c r="K206" s="187">
        <v>80.849999999999994</v>
      </c>
      <c r="L206" s="187">
        <v>79.86</v>
      </c>
      <c r="M206" s="187">
        <v>8.59</v>
      </c>
      <c r="N206" s="187">
        <v>86.29</v>
      </c>
      <c r="O206" s="187">
        <v>14640</v>
      </c>
      <c r="P206" s="187">
        <v>77.680000000000007</v>
      </c>
      <c r="Q206" s="187">
        <v>74.680000000000007</v>
      </c>
      <c r="R206" s="187">
        <v>31.75</v>
      </c>
      <c r="S206" s="187">
        <v>108.54</v>
      </c>
      <c r="T206" s="187">
        <v>2845</v>
      </c>
      <c r="U206" s="187">
        <v>104.81</v>
      </c>
      <c r="V206" s="187">
        <v>3954</v>
      </c>
      <c r="W206" s="187">
        <v>91.03</v>
      </c>
      <c r="X206" s="187">
        <v>478</v>
      </c>
      <c r="Y206" s="187">
        <v>1</v>
      </c>
      <c r="Z206" s="187">
        <v>55</v>
      </c>
      <c r="AA206" s="187">
        <v>32</v>
      </c>
      <c r="AB206" s="187">
        <v>44</v>
      </c>
      <c r="AC206" s="187">
        <v>32</v>
      </c>
      <c r="AD206" s="187">
        <v>18754</v>
      </c>
      <c r="AE206" s="187">
        <v>65</v>
      </c>
      <c r="AF206" s="187">
        <v>157</v>
      </c>
      <c r="AG206" s="187">
        <v>222</v>
      </c>
      <c r="AH206" s="187"/>
      <c r="AI206" s="187"/>
      <c r="AJ206" s="187"/>
      <c r="AK206" s="187"/>
      <c r="AL206" s="187"/>
      <c r="AM206" s="187"/>
      <c r="AN206" s="187"/>
      <c r="AO206" s="187"/>
      <c r="AP206" s="187"/>
      <c r="AQ206" s="187"/>
      <c r="AR206" s="187"/>
      <c r="AS206" s="187"/>
      <c r="AT206" s="187"/>
      <c r="AU206" s="187"/>
      <c r="AV206" s="187"/>
      <c r="AW206" s="187"/>
      <c r="AX206" s="187"/>
      <c r="AY206" s="187"/>
      <c r="AZ206" s="187"/>
      <c r="BA206" s="187"/>
      <c r="BB206" s="187"/>
      <c r="BC206" s="187"/>
      <c r="BD206" s="187"/>
      <c r="BE206" s="187"/>
      <c r="BF206" s="187"/>
      <c r="BG206" s="187"/>
      <c r="BH206" s="187"/>
      <c r="BI206" s="187"/>
      <c r="BJ206" s="187"/>
      <c r="BK206" s="187"/>
      <c r="BL206" s="187"/>
      <c r="BM206" s="187"/>
      <c r="BN206" s="187"/>
      <c r="BO206" s="187"/>
      <c r="BP206" s="187"/>
      <c r="BQ206" s="187"/>
      <c r="BR206" s="187"/>
      <c r="BS206" s="187"/>
      <c r="BT206" s="187"/>
      <c r="BU206" s="187"/>
      <c r="BV206" s="187"/>
      <c r="BW206" s="187"/>
      <c r="BX206" s="187"/>
      <c r="BY206" s="187"/>
      <c r="BZ206" s="187"/>
      <c r="CA206" s="187"/>
      <c r="CB206" s="187"/>
      <c r="CC206" s="187"/>
      <c r="CD206" s="187"/>
      <c r="CE206" s="187"/>
      <c r="CF206" s="187"/>
      <c r="CG206" s="187"/>
      <c r="CH206" s="187"/>
      <c r="CI206" s="187"/>
      <c r="CJ206" s="187"/>
      <c r="CK206" s="187"/>
      <c r="CL206" s="187"/>
      <c r="CM206" s="187"/>
      <c r="CN206" s="187"/>
      <c r="CO206" s="187"/>
      <c r="CP206" s="187"/>
      <c r="CQ206" s="187"/>
      <c r="CR206" s="187"/>
      <c r="CS206" s="187"/>
      <c r="CT206" s="187"/>
      <c r="CU206" s="187"/>
      <c r="CV206" s="187"/>
      <c r="CW206" s="187"/>
      <c r="CX206" s="187"/>
      <c r="CY206" s="187"/>
      <c r="CZ206" s="187"/>
      <c r="DA206" s="187"/>
      <c r="DB206" s="187"/>
      <c r="DC206" s="187"/>
      <c r="DD206" s="187"/>
      <c r="DE206" s="187"/>
      <c r="DF206" s="187"/>
      <c r="DG206" s="187"/>
      <c r="DH206" s="187"/>
      <c r="DI206" s="187"/>
      <c r="DJ206" s="187"/>
      <c r="DK206" s="187"/>
      <c r="DL206" s="187"/>
      <c r="DM206" s="187"/>
      <c r="DN206" s="187"/>
      <c r="DO206" s="187"/>
      <c r="DP206" s="187"/>
      <c r="DQ206" s="187"/>
      <c r="DR206" s="187"/>
      <c r="DS206" s="187"/>
      <c r="DT206" s="187"/>
      <c r="DU206" s="187"/>
      <c r="DV206" s="187"/>
      <c r="DW206" s="187"/>
      <c r="DX206" s="187"/>
      <c r="DY206" s="187"/>
      <c r="DZ206" s="187"/>
      <c r="EA206" s="187"/>
      <c r="EB206" s="187"/>
      <c r="EC206" s="187"/>
      <c r="ED206" s="187"/>
      <c r="EE206" s="187"/>
      <c r="EF206" s="187"/>
      <c r="EG206" s="187"/>
      <c r="EH206" s="187"/>
      <c r="EI206" s="187"/>
      <c r="EJ206" s="187"/>
      <c r="EK206" s="187"/>
      <c r="EL206" s="187"/>
      <c r="EM206" s="187"/>
      <c r="EN206" s="187"/>
      <c r="EO206" s="187"/>
      <c r="EP206" s="187"/>
      <c r="EQ206" s="187"/>
      <c r="ER206" s="187"/>
      <c r="ES206" s="187"/>
      <c r="ET206" s="187"/>
      <c r="EU206" s="187"/>
      <c r="EV206" s="187"/>
      <c r="EW206" s="187"/>
      <c r="EX206" s="187"/>
      <c r="EY206" s="187"/>
      <c r="EZ206" s="187"/>
      <c r="FA206" s="187"/>
      <c r="FB206" s="187"/>
      <c r="FC206" s="187"/>
    </row>
    <row r="207" spans="1:159" ht="15" x14ac:dyDescent="0.25">
      <c r="A207" s="187" t="s">
        <v>468</v>
      </c>
      <c r="B207" s="187" t="s">
        <v>469</v>
      </c>
      <c r="C207" s="187">
        <v>4891</v>
      </c>
      <c r="D207" s="187">
        <v>18</v>
      </c>
      <c r="E207" s="187">
        <v>504</v>
      </c>
      <c r="F207" s="187">
        <v>1057</v>
      </c>
      <c r="G207" s="187">
        <v>687</v>
      </c>
      <c r="H207" s="187">
        <v>7157</v>
      </c>
      <c r="I207" s="187">
        <v>6470</v>
      </c>
      <c r="J207" s="187">
        <v>57</v>
      </c>
      <c r="K207" s="187">
        <v>105.68</v>
      </c>
      <c r="L207" s="187">
        <v>102.19</v>
      </c>
      <c r="M207" s="187">
        <v>10.18</v>
      </c>
      <c r="N207" s="187">
        <v>113.71</v>
      </c>
      <c r="O207" s="187">
        <v>3779</v>
      </c>
      <c r="P207" s="187">
        <v>101.22</v>
      </c>
      <c r="Q207" s="187">
        <v>92.35</v>
      </c>
      <c r="R207" s="187">
        <v>36.840000000000003</v>
      </c>
      <c r="S207" s="187">
        <v>137.51</v>
      </c>
      <c r="T207" s="187">
        <v>721</v>
      </c>
      <c r="U207" s="187">
        <v>140.9</v>
      </c>
      <c r="V207" s="187">
        <v>838</v>
      </c>
      <c r="W207" s="187">
        <v>195.44</v>
      </c>
      <c r="X207" s="187">
        <v>83</v>
      </c>
      <c r="Y207" s="187">
        <v>0</v>
      </c>
      <c r="Z207" s="187">
        <v>1</v>
      </c>
      <c r="AA207" s="187">
        <v>0</v>
      </c>
      <c r="AB207" s="187">
        <v>3</v>
      </c>
      <c r="AC207" s="187">
        <v>19</v>
      </c>
      <c r="AD207" s="187">
        <v>4794</v>
      </c>
      <c r="AE207" s="187">
        <v>79</v>
      </c>
      <c r="AF207" s="187">
        <v>14</v>
      </c>
      <c r="AG207" s="187">
        <v>93</v>
      </c>
      <c r="AH207" s="187"/>
      <c r="AI207" s="187"/>
      <c r="AJ207" s="187"/>
      <c r="AK207" s="187"/>
      <c r="AL207" s="187"/>
      <c r="AM207" s="187"/>
      <c r="AN207" s="187"/>
      <c r="AO207" s="187"/>
      <c r="AP207" s="187"/>
      <c r="AQ207" s="187"/>
      <c r="AR207" s="187"/>
      <c r="AS207" s="187"/>
      <c r="AT207" s="187"/>
      <c r="AU207" s="187"/>
      <c r="AV207" s="187"/>
      <c r="AW207" s="187"/>
      <c r="AX207" s="187"/>
      <c r="AY207" s="187"/>
      <c r="AZ207" s="187"/>
      <c r="BA207" s="187"/>
      <c r="BB207" s="187"/>
      <c r="BC207" s="187"/>
      <c r="BD207" s="187"/>
      <c r="BE207" s="187"/>
      <c r="BF207" s="187"/>
      <c r="BG207" s="187"/>
      <c r="BH207" s="187"/>
      <c r="BI207" s="187"/>
      <c r="BJ207" s="187"/>
      <c r="BK207" s="187"/>
      <c r="BL207" s="187"/>
      <c r="BM207" s="187"/>
      <c r="BN207" s="187"/>
      <c r="BO207" s="187"/>
      <c r="BP207" s="187"/>
      <c r="BQ207" s="187"/>
      <c r="BR207" s="187"/>
      <c r="BS207" s="187"/>
      <c r="BT207" s="187"/>
      <c r="BU207" s="187"/>
      <c r="BV207" s="187"/>
      <c r="BW207" s="187"/>
      <c r="BX207" s="187"/>
      <c r="BY207" s="187"/>
      <c r="BZ207" s="187"/>
      <c r="CA207" s="187"/>
      <c r="CB207" s="187"/>
      <c r="CC207" s="187"/>
      <c r="CD207" s="187"/>
      <c r="CE207" s="187"/>
      <c r="CF207" s="187"/>
      <c r="CG207" s="187"/>
      <c r="CH207" s="187"/>
      <c r="CI207" s="187"/>
      <c r="CJ207" s="187"/>
      <c r="CK207" s="187"/>
      <c r="CL207" s="187"/>
      <c r="CM207" s="187"/>
      <c r="CN207" s="187"/>
      <c r="CO207" s="187"/>
      <c r="CP207" s="187"/>
      <c r="CQ207" s="187"/>
      <c r="CR207" s="187"/>
      <c r="CS207" s="187"/>
      <c r="CT207" s="187"/>
      <c r="CU207" s="187"/>
      <c r="CV207" s="187"/>
      <c r="CW207" s="187"/>
      <c r="CX207" s="187"/>
      <c r="CY207" s="187"/>
      <c r="CZ207" s="187"/>
      <c r="DA207" s="187"/>
      <c r="DB207" s="187"/>
      <c r="DC207" s="187"/>
      <c r="DD207" s="187"/>
      <c r="DE207" s="187"/>
      <c r="DF207" s="187"/>
      <c r="DG207" s="187"/>
      <c r="DH207" s="187"/>
      <c r="DI207" s="187"/>
      <c r="DJ207" s="187"/>
      <c r="DK207" s="187"/>
      <c r="DL207" s="187"/>
      <c r="DM207" s="187"/>
      <c r="DN207" s="187"/>
      <c r="DO207" s="187"/>
      <c r="DP207" s="187"/>
      <c r="DQ207" s="187"/>
      <c r="DR207" s="187"/>
      <c r="DS207" s="187"/>
      <c r="DT207" s="187"/>
      <c r="DU207" s="187"/>
      <c r="DV207" s="187"/>
      <c r="DW207" s="187"/>
      <c r="DX207" s="187"/>
      <c r="DY207" s="187"/>
      <c r="DZ207" s="187"/>
      <c r="EA207" s="187"/>
      <c r="EB207" s="187"/>
      <c r="EC207" s="187"/>
      <c r="ED207" s="187"/>
      <c r="EE207" s="187"/>
      <c r="EF207" s="187"/>
      <c r="EG207" s="187"/>
      <c r="EH207" s="187"/>
      <c r="EI207" s="187"/>
      <c r="EJ207" s="187"/>
      <c r="EK207" s="187"/>
      <c r="EL207" s="187"/>
      <c r="EM207" s="187"/>
      <c r="EN207" s="187"/>
      <c r="EO207" s="187"/>
      <c r="EP207" s="187"/>
      <c r="EQ207" s="187"/>
      <c r="ER207" s="187"/>
      <c r="ES207" s="187"/>
      <c r="ET207" s="187"/>
      <c r="EU207" s="187"/>
      <c r="EV207" s="187"/>
      <c r="EW207" s="187"/>
      <c r="EX207" s="187"/>
      <c r="EY207" s="187"/>
      <c r="EZ207" s="187"/>
      <c r="FA207" s="187"/>
      <c r="FB207" s="187"/>
      <c r="FC207" s="187"/>
    </row>
    <row r="208" spans="1:159" ht="15" x14ac:dyDescent="0.25">
      <c r="A208" s="187" t="s">
        <v>470</v>
      </c>
      <c r="B208" s="187" t="s">
        <v>471</v>
      </c>
      <c r="C208" s="187">
        <v>10521</v>
      </c>
      <c r="D208" s="187">
        <v>0</v>
      </c>
      <c r="E208" s="187">
        <v>661</v>
      </c>
      <c r="F208" s="187">
        <v>1104</v>
      </c>
      <c r="G208" s="187">
        <v>751</v>
      </c>
      <c r="H208" s="187">
        <v>13037</v>
      </c>
      <c r="I208" s="187">
        <v>12286</v>
      </c>
      <c r="J208" s="187">
        <v>3</v>
      </c>
      <c r="K208" s="187">
        <v>83.99</v>
      </c>
      <c r="L208" s="187">
        <v>83.05</v>
      </c>
      <c r="M208" s="187">
        <v>5.55</v>
      </c>
      <c r="N208" s="187">
        <v>87.1</v>
      </c>
      <c r="O208" s="187">
        <v>8728</v>
      </c>
      <c r="P208" s="187">
        <v>86.32</v>
      </c>
      <c r="Q208" s="187">
        <v>75.02</v>
      </c>
      <c r="R208" s="187">
        <v>51.99</v>
      </c>
      <c r="S208" s="187">
        <v>134.43</v>
      </c>
      <c r="T208" s="187">
        <v>1581</v>
      </c>
      <c r="U208" s="187">
        <v>115.31</v>
      </c>
      <c r="V208" s="187">
        <v>1750</v>
      </c>
      <c r="W208" s="187">
        <v>261.25</v>
      </c>
      <c r="X208" s="187">
        <v>98</v>
      </c>
      <c r="Y208" s="187">
        <v>6</v>
      </c>
      <c r="Z208" s="187">
        <v>47</v>
      </c>
      <c r="AA208" s="187">
        <v>7</v>
      </c>
      <c r="AB208" s="187">
        <v>150</v>
      </c>
      <c r="AC208" s="187">
        <v>14</v>
      </c>
      <c r="AD208" s="187">
        <v>10487</v>
      </c>
      <c r="AE208" s="187">
        <v>159</v>
      </c>
      <c r="AF208" s="187">
        <v>224</v>
      </c>
      <c r="AG208" s="187">
        <v>383</v>
      </c>
      <c r="AH208" s="187"/>
      <c r="AI208" s="187"/>
      <c r="AJ208" s="187"/>
      <c r="AK208" s="187"/>
      <c r="AL208" s="187"/>
      <c r="AM208" s="187"/>
      <c r="AN208" s="187"/>
      <c r="AO208" s="187"/>
      <c r="AP208" s="187"/>
      <c r="AQ208" s="187"/>
      <c r="AR208" s="187"/>
      <c r="AS208" s="187"/>
      <c r="AT208" s="187"/>
      <c r="AU208" s="187"/>
      <c r="AV208" s="187"/>
      <c r="AW208" s="187"/>
      <c r="AX208" s="187"/>
      <c r="AY208" s="187"/>
      <c r="AZ208" s="187"/>
      <c r="BA208" s="187"/>
      <c r="BB208" s="187"/>
      <c r="BC208" s="187"/>
      <c r="BD208" s="187"/>
      <c r="BE208" s="187"/>
      <c r="BF208" s="187"/>
      <c r="BG208" s="187"/>
      <c r="BH208" s="187"/>
      <c r="BI208" s="187"/>
      <c r="BJ208" s="187"/>
      <c r="BK208" s="187"/>
      <c r="BL208" s="187"/>
      <c r="BM208" s="187"/>
      <c r="BN208" s="187"/>
      <c r="BO208" s="187"/>
      <c r="BP208" s="187"/>
      <c r="BQ208" s="187"/>
      <c r="BR208" s="187"/>
      <c r="BS208" s="187"/>
      <c r="BT208" s="187"/>
      <c r="BU208" s="187"/>
      <c r="BV208" s="187"/>
      <c r="BW208" s="187"/>
      <c r="BX208" s="187"/>
      <c r="BY208" s="187"/>
      <c r="BZ208" s="187"/>
      <c r="CA208" s="187"/>
      <c r="CB208" s="187"/>
      <c r="CC208" s="187"/>
      <c r="CD208" s="187"/>
      <c r="CE208" s="187"/>
      <c r="CF208" s="187"/>
      <c r="CG208" s="187"/>
      <c r="CH208" s="187"/>
      <c r="CI208" s="187"/>
      <c r="CJ208" s="187"/>
      <c r="CK208" s="187"/>
      <c r="CL208" s="187"/>
      <c r="CM208" s="187"/>
      <c r="CN208" s="187"/>
      <c r="CO208" s="187"/>
      <c r="CP208" s="187"/>
      <c r="CQ208" s="187"/>
      <c r="CR208" s="187"/>
      <c r="CS208" s="187"/>
      <c r="CT208" s="187"/>
      <c r="CU208" s="187"/>
      <c r="CV208" s="187"/>
      <c r="CW208" s="187"/>
      <c r="CX208" s="187"/>
      <c r="CY208" s="187"/>
      <c r="CZ208" s="187"/>
      <c r="DA208" s="187"/>
      <c r="DB208" s="187"/>
      <c r="DC208" s="187"/>
      <c r="DD208" s="187"/>
      <c r="DE208" s="187"/>
      <c r="DF208" s="187"/>
      <c r="DG208" s="187"/>
      <c r="DH208" s="187"/>
      <c r="DI208" s="187"/>
      <c r="DJ208" s="187"/>
      <c r="DK208" s="187"/>
      <c r="DL208" s="187"/>
      <c r="DM208" s="187"/>
      <c r="DN208" s="187"/>
      <c r="DO208" s="187"/>
      <c r="DP208" s="187"/>
      <c r="DQ208" s="187"/>
      <c r="DR208" s="187"/>
      <c r="DS208" s="187"/>
      <c r="DT208" s="187"/>
      <c r="DU208" s="187"/>
      <c r="DV208" s="187"/>
      <c r="DW208" s="187"/>
      <c r="DX208" s="187"/>
      <c r="DY208" s="187"/>
      <c r="DZ208" s="187"/>
      <c r="EA208" s="187"/>
      <c r="EB208" s="187"/>
      <c r="EC208" s="187"/>
      <c r="ED208" s="187"/>
      <c r="EE208" s="187"/>
      <c r="EF208" s="187"/>
      <c r="EG208" s="187"/>
      <c r="EH208" s="187"/>
      <c r="EI208" s="187"/>
      <c r="EJ208" s="187"/>
      <c r="EK208" s="187"/>
      <c r="EL208" s="187"/>
      <c r="EM208" s="187"/>
      <c r="EN208" s="187"/>
      <c r="EO208" s="187"/>
      <c r="EP208" s="187"/>
      <c r="EQ208" s="187"/>
      <c r="ER208" s="187"/>
      <c r="ES208" s="187"/>
      <c r="ET208" s="187"/>
      <c r="EU208" s="187"/>
      <c r="EV208" s="187"/>
      <c r="EW208" s="187"/>
      <c r="EX208" s="187"/>
      <c r="EY208" s="187"/>
      <c r="EZ208" s="187"/>
      <c r="FA208" s="187"/>
      <c r="FB208" s="187"/>
      <c r="FC208" s="187"/>
    </row>
    <row r="209" spans="1:159" ht="15" x14ac:dyDescent="0.25">
      <c r="A209" s="187" t="s">
        <v>472</v>
      </c>
      <c r="B209" s="187" t="s">
        <v>473</v>
      </c>
      <c r="C209" s="187">
        <v>3841</v>
      </c>
      <c r="D209" s="187">
        <v>0</v>
      </c>
      <c r="E209" s="187">
        <v>293</v>
      </c>
      <c r="F209" s="187">
        <v>610</v>
      </c>
      <c r="G209" s="187">
        <v>925</v>
      </c>
      <c r="H209" s="187">
        <v>5669</v>
      </c>
      <c r="I209" s="187">
        <v>4744</v>
      </c>
      <c r="J209" s="187">
        <v>22</v>
      </c>
      <c r="K209" s="187">
        <v>126.06</v>
      </c>
      <c r="L209" s="187">
        <v>123.03</v>
      </c>
      <c r="M209" s="187">
        <v>9.9700000000000006</v>
      </c>
      <c r="N209" s="187">
        <v>135.16999999999999</v>
      </c>
      <c r="O209" s="187">
        <v>2882</v>
      </c>
      <c r="P209" s="187">
        <v>112.87</v>
      </c>
      <c r="Q209" s="187">
        <v>105.1</v>
      </c>
      <c r="R209" s="187">
        <v>91.05</v>
      </c>
      <c r="S209" s="187">
        <v>200.84</v>
      </c>
      <c r="T209" s="187">
        <v>620</v>
      </c>
      <c r="U209" s="187">
        <v>184.13</v>
      </c>
      <c r="V209" s="187">
        <v>584</v>
      </c>
      <c r="W209" s="187">
        <v>277.2</v>
      </c>
      <c r="X209" s="187">
        <v>152</v>
      </c>
      <c r="Y209" s="187">
        <v>115</v>
      </c>
      <c r="Z209" s="187">
        <v>0</v>
      </c>
      <c r="AA209" s="187">
        <v>14</v>
      </c>
      <c r="AB209" s="187">
        <v>50</v>
      </c>
      <c r="AC209" s="187">
        <v>31</v>
      </c>
      <c r="AD209" s="187">
        <v>3684</v>
      </c>
      <c r="AE209" s="187">
        <v>13</v>
      </c>
      <c r="AF209" s="187">
        <v>34</v>
      </c>
      <c r="AG209" s="187">
        <v>47</v>
      </c>
      <c r="AH209" s="187"/>
      <c r="AI209" s="187"/>
      <c r="AJ209" s="187"/>
      <c r="AK209" s="187"/>
      <c r="AL209" s="187"/>
      <c r="AM209" s="187"/>
      <c r="AN209" s="187"/>
      <c r="AO209" s="187"/>
      <c r="AP209" s="187"/>
      <c r="AQ209" s="187"/>
      <c r="AR209" s="187"/>
      <c r="AS209" s="187"/>
      <c r="AT209" s="187"/>
      <c r="AU209" s="187"/>
      <c r="AV209" s="187"/>
      <c r="AW209" s="187"/>
      <c r="AX209" s="187"/>
      <c r="AY209" s="187"/>
      <c r="AZ209" s="187"/>
      <c r="BA209" s="187"/>
      <c r="BB209" s="187"/>
      <c r="BC209" s="187"/>
      <c r="BD209" s="187"/>
      <c r="BE209" s="187"/>
      <c r="BF209" s="187"/>
      <c r="BG209" s="187"/>
      <c r="BH209" s="187"/>
      <c r="BI209" s="187"/>
      <c r="BJ209" s="187"/>
      <c r="BK209" s="187"/>
      <c r="BL209" s="187"/>
      <c r="BM209" s="187"/>
      <c r="BN209" s="187"/>
      <c r="BO209" s="187"/>
      <c r="BP209" s="187"/>
      <c r="BQ209" s="187"/>
      <c r="BR209" s="187"/>
      <c r="BS209" s="187"/>
      <c r="BT209" s="187"/>
      <c r="BU209" s="187"/>
      <c r="BV209" s="187"/>
      <c r="BW209" s="187"/>
      <c r="BX209" s="187"/>
      <c r="BY209" s="187"/>
      <c r="BZ209" s="187"/>
      <c r="CA209" s="187"/>
      <c r="CB209" s="187"/>
      <c r="CC209" s="187"/>
      <c r="CD209" s="187"/>
      <c r="CE209" s="187"/>
      <c r="CF209" s="187"/>
      <c r="CG209" s="187"/>
      <c r="CH209" s="187"/>
      <c r="CI209" s="187"/>
      <c r="CJ209" s="187"/>
      <c r="CK209" s="187"/>
      <c r="CL209" s="187"/>
      <c r="CM209" s="187"/>
      <c r="CN209" s="187"/>
      <c r="CO209" s="187"/>
      <c r="CP209" s="187"/>
      <c r="CQ209" s="187"/>
      <c r="CR209" s="187"/>
      <c r="CS209" s="187"/>
      <c r="CT209" s="187"/>
      <c r="CU209" s="187"/>
      <c r="CV209" s="187"/>
      <c r="CW209" s="187"/>
      <c r="CX209" s="187"/>
      <c r="CY209" s="187"/>
      <c r="CZ209" s="187"/>
      <c r="DA209" s="187"/>
      <c r="DB209" s="187"/>
      <c r="DC209" s="187"/>
      <c r="DD209" s="187"/>
      <c r="DE209" s="187"/>
      <c r="DF209" s="187"/>
      <c r="DG209" s="187"/>
      <c r="DH209" s="187"/>
      <c r="DI209" s="187"/>
      <c r="DJ209" s="187"/>
      <c r="DK209" s="187"/>
      <c r="DL209" s="187"/>
      <c r="DM209" s="187"/>
      <c r="DN209" s="187"/>
      <c r="DO209" s="187"/>
      <c r="DP209" s="187"/>
      <c r="DQ209" s="187"/>
      <c r="DR209" s="187"/>
      <c r="DS209" s="187"/>
      <c r="DT209" s="187"/>
      <c r="DU209" s="187"/>
      <c r="DV209" s="187"/>
      <c r="DW209" s="187"/>
      <c r="DX209" s="187"/>
      <c r="DY209" s="187"/>
      <c r="DZ209" s="187"/>
      <c r="EA209" s="187"/>
      <c r="EB209" s="187"/>
      <c r="EC209" s="187"/>
      <c r="ED209" s="187"/>
      <c r="EE209" s="187"/>
      <c r="EF209" s="187"/>
      <c r="EG209" s="187"/>
      <c r="EH209" s="187"/>
      <c r="EI209" s="187"/>
      <c r="EJ209" s="187"/>
      <c r="EK209" s="187"/>
      <c r="EL209" s="187"/>
      <c r="EM209" s="187"/>
      <c r="EN209" s="187"/>
      <c r="EO209" s="187"/>
      <c r="EP209" s="187"/>
      <c r="EQ209" s="187"/>
      <c r="ER209" s="187"/>
      <c r="ES209" s="187"/>
      <c r="ET209" s="187"/>
      <c r="EU209" s="187"/>
      <c r="EV209" s="187"/>
      <c r="EW209" s="187"/>
      <c r="EX209" s="187"/>
      <c r="EY209" s="187"/>
      <c r="EZ209" s="187"/>
      <c r="FA209" s="187"/>
      <c r="FB209" s="187"/>
      <c r="FC209" s="187"/>
    </row>
    <row r="210" spans="1:159" ht="15" x14ac:dyDescent="0.25">
      <c r="A210" s="187" t="s">
        <v>474</v>
      </c>
      <c r="B210" s="187" t="s">
        <v>475</v>
      </c>
      <c r="C210" s="187">
        <v>3507</v>
      </c>
      <c r="D210" s="187">
        <v>0</v>
      </c>
      <c r="E210" s="187">
        <v>308</v>
      </c>
      <c r="F210" s="187">
        <v>1094</v>
      </c>
      <c r="G210" s="187">
        <v>826</v>
      </c>
      <c r="H210" s="187">
        <v>5735</v>
      </c>
      <c r="I210" s="187">
        <v>4909</v>
      </c>
      <c r="J210" s="187">
        <v>22</v>
      </c>
      <c r="K210" s="187">
        <v>131.96</v>
      </c>
      <c r="L210" s="187">
        <v>131.38</v>
      </c>
      <c r="M210" s="187">
        <v>12.58</v>
      </c>
      <c r="N210" s="187">
        <v>139.71</v>
      </c>
      <c r="O210" s="187">
        <v>2834</v>
      </c>
      <c r="P210" s="187">
        <v>110.9</v>
      </c>
      <c r="Q210" s="187">
        <v>102</v>
      </c>
      <c r="R210" s="187">
        <v>57.52</v>
      </c>
      <c r="S210" s="187">
        <v>168.09</v>
      </c>
      <c r="T210" s="187">
        <v>1229</v>
      </c>
      <c r="U210" s="187">
        <v>200.94</v>
      </c>
      <c r="V210" s="187">
        <v>393</v>
      </c>
      <c r="W210" s="187">
        <v>142.72999999999999</v>
      </c>
      <c r="X210" s="187">
        <v>53</v>
      </c>
      <c r="Y210" s="187">
        <v>3</v>
      </c>
      <c r="Z210" s="187">
        <v>2</v>
      </c>
      <c r="AA210" s="187">
        <v>7</v>
      </c>
      <c r="AB210" s="187">
        <v>0</v>
      </c>
      <c r="AC210" s="187">
        <v>15</v>
      </c>
      <c r="AD210" s="187">
        <v>3373</v>
      </c>
      <c r="AE210" s="187">
        <v>49</v>
      </c>
      <c r="AF210" s="187">
        <v>14</v>
      </c>
      <c r="AG210" s="187">
        <v>63</v>
      </c>
      <c r="AH210" s="187"/>
      <c r="AI210" s="187"/>
      <c r="AJ210" s="187"/>
      <c r="AK210" s="187"/>
      <c r="AL210" s="187"/>
      <c r="AM210" s="187"/>
      <c r="AN210" s="187"/>
      <c r="AO210" s="187"/>
      <c r="AP210" s="187"/>
      <c r="AQ210" s="187"/>
      <c r="AR210" s="187"/>
      <c r="AS210" s="187"/>
      <c r="AT210" s="187"/>
      <c r="AU210" s="187"/>
      <c r="AV210" s="187"/>
      <c r="AW210" s="187"/>
      <c r="AX210" s="187"/>
      <c r="AY210" s="187"/>
      <c r="AZ210" s="187"/>
      <c r="BA210" s="187"/>
      <c r="BB210" s="187"/>
      <c r="BC210" s="187"/>
      <c r="BD210" s="187"/>
      <c r="BE210" s="187"/>
      <c r="BF210" s="187"/>
      <c r="BG210" s="187"/>
      <c r="BH210" s="187"/>
      <c r="BI210" s="187"/>
      <c r="BJ210" s="187"/>
      <c r="BK210" s="187"/>
      <c r="BL210" s="187"/>
      <c r="BM210" s="187"/>
      <c r="BN210" s="187"/>
      <c r="BO210" s="187"/>
      <c r="BP210" s="187"/>
      <c r="BQ210" s="187"/>
      <c r="BR210" s="187"/>
      <c r="BS210" s="187"/>
      <c r="BT210" s="187"/>
      <c r="BU210" s="187"/>
      <c r="BV210" s="187"/>
      <c r="BW210" s="187"/>
      <c r="BX210" s="187"/>
      <c r="BY210" s="187"/>
      <c r="BZ210" s="187"/>
      <c r="CA210" s="187"/>
      <c r="CB210" s="187"/>
      <c r="CC210" s="187"/>
      <c r="CD210" s="187"/>
      <c r="CE210" s="187"/>
      <c r="CF210" s="187"/>
      <c r="CG210" s="187"/>
      <c r="CH210" s="187"/>
      <c r="CI210" s="187"/>
      <c r="CJ210" s="187"/>
      <c r="CK210" s="187"/>
      <c r="CL210" s="187"/>
      <c r="CM210" s="187"/>
      <c r="CN210" s="187"/>
      <c r="CO210" s="187"/>
      <c r="CP210" s="187"/>
      <c r="CQ210" s="187"/>
      <c r="CR210" s="187"/>
      <c r="CS210" s="187"/>
      <c r="CT210" s="187"/>
      <c r="CU210" s="187"/>
      <c r="CV210" s="187"/>
      <c r="CW210" s="187"/>
      <c r="CX210" s="187"/>
      <c r="CY210" s="187"/>
      <c r="CZ210" s="187"/>
      <c r="DA210" s="187"/>
      <c r="DB210" s="187"/>
      <c r="DC210" s="187"/>
      <c r="DD210" s="187"/>
      <c r="DE210" s="187"/>
      <c r="DF210" s="187"/>
      <c r="DG210" s="187"/>
      <c r="DH210" s="187"/>
      <c r="DI210" s="187"/>
      <c r="DJ210" s="187"/>
      <c r="DK210" s="187"/>
      <c r="DL210" s="187"/>
      <c r="DM210" s="187"/>
      <c r="DN210" s="187"/>
      <c r="DO210" s="187"/>
      <c r="DP210" s="187"/>
      <c r="DQ210" s="187"/>
      <c r="DR210" s="187"/>
      <c r="DS210" s="187"/>
      <c r="DT210" s="187"/>
      <c r="DU210" s="187"/>
      <c r="DV210" s="187"/>
      <c r="DW210" s="187"/>
      <c r="DX210" s="187"/>
      <c r="DY210" s="187"/>
      <c r="DZ210" s="187"/>
      <c r="EA210" s="187"/>
      <c r="EB210" s="187"/>
      <c r="EC210" s="187"/>
      <c r="ED210" s="187"/>
      <c r="EE210" s="187"/>
      <c r="EF210" s="187"/>
      <c r="EG210" s="187"/>
      <c r="EH210" s="187"/>
      <c r="EI210" s="187"/>
      <c r="EJ210" s="187"/>
      <c r="EK210" s="187"/>
      <c r="EL210" s="187"/>
      <c r="EM210" s="187"/>
      <c r="EN210" s="187"/>
      <c r="EO210" s="187"/>
      <c r="EP210" s="187"/>
      <c r="EQ210" s="187"/>
      <c r="ER210" s="187"/>
      <c r="ES210" s="187"/>
      <c r="ET210" s="187"/>
      <c r="EU210" s="187"/>
      <c r="EV210" s="187"/>
      <c r="EW210" s="187"/>
      <c r="EX210" s="187"/>
      <c r="EY210" s="187"/>
      <c r="EZ210" s="187"/>
      <c r="FA210" s="187"/>
      <c r="FB210" s="187"/>
      <c r="FC210" s="187"/>
    </row>
    <row r="211" spans="1:159" ht="15" x14ac:dyDescent="0.25">
      <c r="A211" s="187" t="s">
        <v>476</v>
      </c>
      <c r="B211" s="187" t="s">
        <v>477</v>
      </c>
      <c r="C211" s="187">
        <v>11513</v>
      </c>
      <c r="D211" s="187">
        <v>0</v>
      </c>
      <c r="E211" s="187">
        <v>335</v>
      </c>
      <c r="F211" s="187">
        <v>635</v>
      </c>
      <c r="G211" s="187">
        <v>317</v>
      </c>
      <c r="H211" s="187">
        <v>12800</v>
      </c>
      <c r="I211" s="187">
        <v>12483</v>
      </c>
      <c r="J211" s="187">
        <v>24</v>
      </c>
      <c r="K211" s="187">
        <v>93.07</v>
      </c>
      <c r="L211" s="187">
        <v>92.95</v>
      </c>
      <c r="M211" s="187">
        <v>4.67</v>
      </c>
      <c r="N211" s="187">
        <v>95.37</v>
      </c>
      <c r="O211" s="187">
        <v>10662</v>
      </c>
      <c r="P211" s="187">
        <v>91.62</v>
      </c>
      <c r="Q211" s="187">
        <v>80.739999999999995</v>
      </c>
      <c r="R211" s="187">
        <v>57</v>
      </c>
      <c r="S211" s="187">
        <v>148.27000000000001</v>
      </c>
      <c r="T211" s="187">
        <v>654</v>
      </c>
      <c r="U211" s="187">
        <v>112.64</v>
      </c>
      <c r="V211" s="187">
        <v>764</v>
      </c>
      <c r="W211" s="187">
        <v>147.25</v>
      </c>
      <c r="X211" s="187">
        <v>218</v>
      </c>
      <c r="Y211" s="187">
        <v>0</v>
      </c>
      <c r="Z211" s="187">
        <v>44</v>
      </c>
      <c r="AA211" s="187">
        <v>3</v>
      </c>
      <c r="AB211" s="187">
        <v>7</v>
      </c>
      <c r="AC211" s="187">
        <v>11</v>
      </c>
      <c r="AD211" s="187">
        <v>11513</v>
      </c>
      <c r="AE211" s="187">
        <v>117</v>
      </c>
      <c r="AF211" s="187">
        <v>141</v>
      </c>
      <c r="AG211" s="187">
        <v>258</v>
      </c>
      <c r="AH211" s="187"/>
      <c r="AI211" s="187"/>
      <c r="AJ211" s="187"/>
      <c r="AK211" s="187"/>
      <c r="AL211" s="187"/>
      <c r="AM211" s="187"/>
      <c r="AN211" s="187"/>
      <c r="AO211" s="187"/>
      <c r="AP211" s="187"/>
      <c r="AQ211" s="187"/>
      <c r="AR211" s="187"/>
      <c r="AS211" s="187"/>
      <c r="AT211" s="187"/>
      <c r="AU211" s="187"/>
      <c r="AV211" s="187"/>
      <c r="AW211" s="187"/>
      <c r="AX211" s="187"/>
      <c r="AY211" s="187"/>
      <c r="AZ211" s="187"/>
      <c r="BA211" s="187"/>
      <c r="BB211" s="187"/>
      <c r="BC211" s="187"/>
      <c r="BD211" s="187"/>
      <c r="BE211" s="187"/>
      <c r="BF211" s="187"/>
      <c r="BG211" s="187"/>
      <c r="BH211" s="187"/>
      <c r="BI211" s="187"/>
      <c r="BJ211" s="187"/>
      <c r="BK211" s="187"/>
      <c r="BL211" s="187"/>
      <c r="BM211" s="187"/>
      <c r="BN211" s="187"/>
      <c r="BO211" s="187"/>
      <c r="BP211" s="187"/>
      <c r="BQ211" s="187"/>
      <c r="BR211" s="187"/>
      <c r="BS211" s="187"/>
      <c r="BT211" s="187"/>
      <c r="BU211" s="187"/>
      <c r="BV211" s="187"/>
      <c r="BW211" s="187"/>
      <c r="BX211" s="187"/>
      <c r="BY211" s="187"/>
      <c r="BZ211" s="187"/>
      <c r="CA211" s="187"/>
      <c r="CB211" s="187"/>
      <c r="CC211" s="187"/>
      <c r="CD211" s="187"/>
      <c r="CE211" s="187"/>
      <c r="CF211" s="187"/>
      <c r="CG211" s="187"/>
      <c r="CH211" s="187"/>
      <c r="CI211" s="187"/>
      <c r="CJ211" s="187"/>
      <c r="CK211" s="187"/>
      <c r="CL211" s="187"/>
      <c r="CM211" s="187"/>
      <c r="CN211" s="187"/>
      <c r="CO211" s="187"/>
      <c r="CP211" s="187"/>
      <c r="CQ211" s="187"/>
      <c r="CR211" s="187"/>
      <c r="CS211" s="187"/>
      <c r="CT211" s="187"/>
      <c r="CU211" s="187"/>
      <c r="CV211" s="187"/>
      <c r="CW211" s="187"/>
      <c r="CX211" s="187"/>
      <c r="CY211" s="187"/>
      <c r="CZ211" s="187"/>
      <c r="DA211" s="187"/>
      <c r="DB211" s="187"/>
      <c r="DC211" s="187"/>
      <c r="DD211" s="187"/>
      <c r="DE211" s="187"/>
      <c r="DF211" s="187"/>
      <c r="DG211" s="187"/>
      <c r="DH211" s="187"/>
      <c r="DI211" s="187"/>
      <c r="DJ211" s="187"/>
      <c r="DK211" s="187"/>
      <c r="DL211" s="187"/>
      <c r="DM211" s="187"/>
      <c r="DN211" s="187"/>
      <c r="DO211" s="187"/>
      <c r="DP211" s="187"/>
      <c r="DQ211" s="187"/>
      <c r="DR211" s="187"/>
      <c r="DS211" s="187"/>
      <c r="DT211" s="187"/>
      <c r="DU211" s="187"/>
      <c r="DV211" s="187"/>
      <c r="DW211" s="187"/>
      <c r="DX211" s="187"/>
      <c r="DY211" s="187"/>
      <c r="DZ211" s="187"/>
      <c r="EA211" s="187"/>
      <c r="EB211" s="187"/>
      <c r="EC211" s="187"/>
      <c r="ED211" s="187"/>
      <c r="EE211" s="187"/>
      <c r="EF211" s="187"/>
      <c r="EG211" s="187"/>
      <c r="EH211" s="187"/>
      <c r="EI211" s="187"/>
      <c r="EJ211" s="187"/>
      <c r="EK211" s="187"/>
      <c r="EL211" s="187"/>
      <c r="EM211" s="187"/>
      <c r="EN211" s="187"/>
      <c r="EO211" s="187"/>
      <c r="EP211" s="187"/>
      <c r="EQ211" s="187"/>
      <c r="ER211" s="187"/>
      <c r="ES211" s="187"/>
      <c r="ET211" s="187"/>
      <c r="EU211" s="187"/>
      <c r="EV211" s="187"/>
      <c r="EW211" s="187"/>
      <c r="EX211" s="187"/>
      <c r="EY211" s="187"/>
      <c r="EZ211" s="187"/>
      <c r="FA211" s="187"/>
      <c r="FB211" s="187"/>
      <c r="FC211" s="187"/>
    </row>
    <row r="212" spans="1:159" ht="15" x14ac:dyDescent="0.25">
      <c r="A212" s="187" t="s">
        <v>478</v>
      </c>
      <c r="B212" s="187" t="s">
        <v>479</v>
      </c>
      <c r="C212" s="187">
        <v>1965</v>
      </c>
      <c r="D212" s="187">
        <v>0</v>
      </c>
      <c r="E212" s="187">
        <v>169</v>
      </c>
      <c r="F212" s="187">
        <v>180</v>
      </c>
      <c r="G212" s="187">
        <v>275</v>
      </c>
      <c r="H212" s="187">
        <v>2589</v>
      </c>
      <c r="I212" s="187">
        <v>2314</v>
      </c>
      <c r="J212" s="187">
        <v>8</v>
      </c>
      <c r="K212" s="187">
        <v>97.49</v>
      </c>
      <c r="L212" s="187">
        <v>96</v>
      </c>
      <c r="M212" s="187">
        <v>5.23</v>
      </c>
      <c r="N212" s="187">
        <v>102.03</v>
      </c>
      <c r="O212" s="187">
        <v>1542</v>
      </c>
      <c r="P212" s="187">
        <v>121.28</v>
      </c>
      <c r="Q212" s="187">
        <v>95.64</v>
      </c>
      <c r="R212" s="187">
        <v>74.680000000000007</v>
      </c>
      <c r="S212" s="187">
        <v>190.28</v>
      </c>
      <c r="T212" s="187">
        <v>250</v>
      </c>
      <c r="U212" s="187">
        <v>126.96</v>
      </c>
      <c r="V212" s="187">
        <v>214</v>
      </c>
      <c r="W212" s="187">
        <v>259.23</v>
      </c>
      <c r="X212" s="187">
        <v>44</v>
      </c>
      <c r="Y212" s="187">
        <v>0</v>
      </c>
      <c r="Z212" s="187">
        <v>2</v>
      </c>
      <c r="AA212" s="187">
        <v>1</v>
      </c>
      <c r="AB212" s="187">
        <v>5</v>
      </c>
      <c r="AC212" s="187">
        <v>7</v>
      </c>
      <c r="AD212" s="187">
        <v>1801</v>
      </c>
      <c r="AE212" s="187">
        <v>13</v>
      </c>
      <c r="AF212" s="187">
        <v>4</v>
      </c>
      <c r="AG212" s="187">
        <v>17</v>
      </c>
      <c r="AH212" s="187"/>
      <c r="AI212" s="187"/>
      <c r="AJ212" s="187"/>
      <c r="AK212" s="187"/>
      <c r="AL212" s="187"/>
      <c r="AM212" s="187"/>
      <c r="AN212" s="187"/>
      <c r="AO212" s="187"/>
      <c r="AP212" s="187"/>
      <c r="AQ212" s="187"/>
      <c r="AR212" s="187"/>
      <c r="AS212" s="187"/>
      <c r="AT212" s="187"/>
      <c r="AU212" s="187"/>
      <c r="AV212" s="187"/>
      <c r="AW212" s="187"/>
      <c r="AX212" s="187"/>
      <c r="AY212" s="187"/>
      <c r="AZ212" s="187"/>
      <c r="BA212" s="187"/>
      <c r="BB212" s="187"/>
      <c r="BC212" s="187"/>
      <c r="BD212" s="187"/>
      <c r="BE212" s="187"/>
      <c r="BF212" s="187"/>
      <c r="BG212" s="187"/>
      <c r="BH212" s="187"/>
      <c r="BI212" s="187"/>
      <c r="BJ212" s="187"/>
      <c r="BK212" s="187"/>
      <c r="BL212" s="187"/>
      <c r="BM212" s="187"/>
      <c r="BN212" s="187"/>
      <c r="BO212" s="187"/>
      <c r="BP212" s="187"/>
      <c r="BQ212" s="187"/>
      <c r="BR212" s="187"/>
      <c r="BS212" s="187"/>
      <c r="BT212" s="187"/>
      <c r="BU212" s="187"/>
      <c r="BV212" s="187"/>
      <c r="BW212" s="187"/>
      <c r="BX212" s="187"/>
      <c r="BY212" s="187"/>
      <c r="BZ212" s="187"/>
      <c r="CA212" s="187"/>
      <c r="CB212" s="187"/>
      <c r="CC212" s="187"/>
      <c r="CD212" s="187"/>
      <c r="CE212" s="187"/>
      <c r="CF212" s="187"/>
      <c r="CG212" s="187"/>
      <c r="CH212" s="187"/>
      <c r="CI212" s="187"/>
      <c r="CJ212" s="187"/>
      <c r="CK212" s="187"/>
      <c r="CL212" s="187"/>
      <c r="CM212" s="187"/>
      <c r="CN212" s="187"/>
      <c r="CO212" s="187"/>
      <c r="CP212" s="187"/>
      <c r="CQ212" s="187"/>
      <c r="CR212" s="187"/>
      <c r="CS212" s="187"/>
      <c r="CT212" s="187"/>
      <c r="CU212" s="187"/>
      <c r="CV212" s="187"/>
      <c r="CW212" s="187"/>
      <c r="CX212" s="187"/>
      <c r="CY212" s="187"/>
      <c r="CZ212" s="187"/>
      <c r="DA212" s="187"/>
      <c r="DB212" s="187"/>
      <c r="DC212" s="187"/>
      <c r="DD212" s="187"/>
      <c r="DE212" s="187"/>
      <c r="DF212" s="187"/>
      <c r="DG212" s="187"/>
      <c r="DH212" s="187"/>
      <c r="DI212" s="187"/>
      <c r="DJ212" s="187"/>
      <c r="DK212" s="187"/>
      <c r="DL212" s="187"/>
      <c r="DM212" s="187"/>
      <c r="DN212" s="187"/>
      <c r="DO212" s="187"/>
      <c r="DP212" s="187"/>
      <c r="DQ212" s="187"/>
      <c r="DR212" s="187"/>
      <c r="DS212" s="187"/>
      <c r="DT212" s="187"/>
      <c r="DU212" s="187"/>
      <c r="DV212" s="187"/>
      <c r="DW212" s="187"/>
      <c r="DX212" s="187"/>
      <c r="DY212" s="187"/>
      <c r="DZ212" s="187"/>
      <c r="EA212" s="187"/>
      <c r="EB212" s="187"/>
      <c r="EC212" s="187"/>
      <c r="ED212" s="187"/>
      <c r="EE212" s="187"/>
      <c r="EF212" s="187"/>
      <c r="EG212" s="187"/>
      <c r="EH212" s="187"/>
      <c r="EI212" s="187"/>
      <c r="EJ212" s="187"/>
      <c r="EK212" s="187"/>
      <c r="EL212" s="187"/>
      <c r="EM212" s="187"/>
      <c r="EN212" s="187"/>
      <c r="EO212" s="187"/>
      <c r="EP212" s="187"/>
      <c r="EQ212" s="187"/>
      <c r="ER212" s="187"/>
      <c r="ES212" s="187"/>
      <c r="ET212" s="187"/>
      <c r="EU212" s="187"/>
      <c r="EV212" s="187"/>
      <c r="EW212" s="187"/>
      <c r="EX212" s="187"/>
      <c r="EY212" s="187"/>
      <c r="EZ212" s="187"/>
      <c r="FA212" s="187"/>
      <c r="FB212" s="187"/>
      <c r="FC212" s="187"/>
    </row>
    <row r="213" spans="1:159" ht="15" x14ac:dyDescent="0.25">
      <c r="A213" s="187" t="s">
        <v>480</v>
      </c>
      <c r="B213" s="187" t="s">
        <v>481</v>
      </c>
      <c r="C213" s="187">
        <v>6279</v>
      </c>
      <c r="D213" s="187">
        <v>0</v>
      </c>
      <c r="E213" s="187">
        <v>400</v>
      </c>
      <c r="F213" s="187">
        <v>610</v>
      </c>
      <c r="G213" s="187">
        <v>1034</v>
      </c>
      <c r="H213" s="187">
        <v>8323</v>
      </c>
      <c r="I213" s="187">
        <v>7289</v>
      </c>
      <c r="J213" s="187">
        <v>14</v>
      </c>
      <c r="K213" s="187">
        <v>126.33</v>
      </c>
      <c r="L213" s="187">
        <v>126.58</v>
      </c>
      <c r="M213" s="187">
        <v>5.42</v>
      </c>
      <c r="N213" s="187">
        <v>131.47999999999999</v>
      </c>
      <c r="O213" s="187">
        <v>5221</v>
      </c>
      <c r="P213" s="187">
        <v>134.02000000000001</v>
      </c>
      <c r="Q213" s="187">
        <v>106.8</v>
      </c>
      <c r="R213" s="187">
        <v>39.049999999999997</v>
      </c>
      <c r="S213" s="187">
        <v>171.49</v>
      </c>
      <c r="T213" s="187">
        <v>694</v>
      </c>
      <c r="U213" s="187">
        <v>165.24</v>
      </c>
      <c r="V213" s="187">
        <v>940</v>
      </c>
      <c r="W213" s="187">
        <v>183.96</v>
      </c>
      <c r="X213" s="187">
        <v>18</v>
      </c>
      <c r="Y213" s="187">
        <v>216</v>
      </c>
      <c r="Z213" s="187">
        <v>5</v>
      </c>
      <c r="AA213" s="187">
        <v>6</v>
      </c>
      <c r="AB213" s="187">
        <v>80</v>
      </c>
      <c r="AC213" s="187">
        <v>12</v>
      </c>
      <c r="AD213" s="187">
        <v>6278</v>
      </c>
      <c r="AE213" s="187">
        <v>37</v>
      </c>
      <c r="AF213" s="187">
        <v>78</v>
      </c>
      <c r="AG213" s="187">
        <v>115</v>
      </c>
      <c r="AH213" s="187"/>
      <c r="AI213" s="187"/>
      <c r="AJ213" s="187"/>
      <c r="AK213" s="187"/>
      <c r="AL213" s="187"/>
      <c r="AM213" s="187"/>
      <c r="AN213" s="187"/>
      <c r="AO213" s="187"/>
      <c r="AP213" s="187"/>
      <c r="AQ213" s="187"/>
      <c r="AR213" s="187"/>
      <c r="AS213" s="187"/>
      <c r="AT213" s="187"/>
      <c r="AU213" s="187"/>
      <c r="AV213" s="187"/>
      <c r="AW213" s="187"/>
      <c r="AX213" s="187"/>
      <c r="AY213" s="187"/>
      <c r="AZ213" s="187"/>
      <c r="BA213" s="187"/>
      <c r="BB213" s="187"/>
      <c r="BC213" s="187"/>
      <c r="BD213" s="187"/>
      <c r="BE213" s="187"/>
      <c r="BF213" s="187"/>
      <c r="BG213" s="187"/>
      <c r="BH213" s="187"/>
      <c r="BI213" s="187"/>
      <c r="BJ213" s="187"/>
      <c r="BK213" s="187"/>
      <c r="BL213" s="187"/>
      <c r="BM213" s="187"/>
      <c r="BN213" s="187"/>
      <c r="BO213" s="187"/>
      <c r="BP213" s="187"/>
      <c r="BQ213" s="187"/>
      <c r="BR213" s="187"/>
      <c r="BS213" s="187"/>
      <c r="BT213" s="187"/>
      <c r="BU213" s="187"/>
      <c r="BV213" s="187"/>
      <c r="BW213" s="187"/>
      <c r="BX213" s="187"/>
      <c r="BY213" s="187"/>
      <c r="BZ213" s="187"/>
      <c r="CA213" s="187"/>
      <c r="CB213" s="187"/>
      <c r="CC213" s="187"/>
      <c r="CD213" s="187"/>
      <c r="CE213" s="187"/>
      <c r="CF213" s="187"/>
      <c r="CG213" s="187"/>
      <c r="CH213" s="187"/>
      <c r="CI213" s="187"/>
      <c r="CJ213" s="187"/>
      <c r="CK213" s="187"/>
      <c r="CL213" s="187"/>
      <c r="CM213" s="187"/>
      <c r="CN213" s="187"/>
      <c r="CO213" s="187"/>
      <c r="CP213" s="187"/>
      <c r="CQ213" s="187"/>
      <c r="CR213" s="187"/>
      <c r="CS213" s="187"/>
      <c r="CT213" s="187"/>
      <c r="CU213" s="187"/>
      <c r="CV213" s="187"/>
      <c r="CW213" s="187"/>
      <c r="CX213" s="187"/>
      <c r="CY213" s="187"/>
      <c r="CZ213" s="187"/>
      <c r="DA213" s="187"/>
      <c r="DB213" s="187"/>
      <c r="DC213" s="187"/>
      <c r="DD213" s="187"/>
      <c r="DE213" s="187"/>
      <c r="DF213" s="187"/>
      <c r="DG213" s="187"/>
      <c r="DH213" s="187"/>
      <c r="DI213" s="187"/>
      <c r="DJ213" s="187"/>
      <c r="DK213" s="187"/>
      <c r="DL213" s="187"/>
      <c r="DM213" s="187"/>
      <c r="DN213" s="187"/>
      <c r="DO213" s="187"/>
      <c r="DP213" s="187"/>
      <c r="DQ213" s="187"/>
      <c r="DR213" s="187"/>
      <c r="DS213" s="187"/>
      <c r="DT213" s="187"/>
      <c r="DU213" s="187"/>
      <c r="DV213" s="187"/>
      <c r="DW213" s="187"/>
      <c r="DX213" s="187"/>
      <c r="DY213" s="187"/>
      <c r="DZ213" s="187"/>
      <c r="EA213" s="187"/>
      <c r="EB213" s="187"/>
      <c r="EC213" s="187"/>
      <c r="ED213" s="187"/>
      <c r="EE213" s="187"/>
      <c r="EF213" s="187"/>
      <c r="EG213" s="187"/>
      <c r="EH213" s="187"/>
      <c r="EI213" s="187"/>
      <c r="EJ213" s="187"/>
      <c r="EK213" s="187"/>
      <c r="EL213" s="187"/>
      <c r="EM213" s="187"/>
      <c r="EN213" s="187"/>
      <c r="EO213" s="187"/>
      <c r="EP213" s="187"/>
      <c r="EQ213" s="187"/>
      <c r="ER213" s="187"/>
      <c r="ES213" s="187"/>
      <c r="ET213" s="187"/>
      <c r="EU213" s="187"/>
      <c r="EV213" s="187"/>
      <c r="EW213" s="187"/>
      <c r="EX213" s="187"/>
      <c r="EY213" s="187"/>
      <c r="EZ213" s="187"/>
      <c r="FA213" s="187"/>
      <c r="FB213" s="187"/>
      <c r="FC213" s="187"/>
    </row>
    <row r="214" spans="1:159" ht="15" x14ac:dyDescent="0.25">
      <c r="A214" s="187" t="s">
        <v>482</v>
      </c>
      <c r="B214" s="187" t="s">
        <v>483</v>
      </c>
      <c r="C214" s="187">
        <v>1461</v>
      </c>
      <c r="D214" s="187">
        <v>0</v>
      </c>
      <c r="E214" s="187">
        <v>81</v>
      </c>
      <c r="F214" s="187">
        <v>750</v>
      </c>
      <c r="G214" s="187">
        <v>576</v>
      </c>
      <c r="H214" s="187">
        <v>2868</v>
      </c>
      <c r="I214" s="187">
        <v>2292</v>
      </c>
      <c r="J214" s="187">
        <v>0</v>
      </c>
      <c r="K214" s="187">
        <v>91.13</v>
      </c>
      <c r="L214" s="187">
        <v>90.29</v>
      </c>
      <c r="M214" s="187">
        <v>4.3899999999999997</v>
      </c>
      <c r="N214" s="187">
        <v>94.26</v>
      </c>
      <c r="O214" s="187">
        <v>956</v>
      </c>
      <c r="P214" s="187">
        <v>78.86</v>
      </c>
      <c r="Q214" s="187">
        <v>74.59</v>
      </c>
      <c r="R214" s="187">
        <v>23.71</v>
      </c>
      <c r="S214" s="187">
        <v>101.92</v>
      </c>
      <c r="T214" s="187">
        <v>772</v>
      </c>
      <c r="U214" s="187">
        <v>109.32</v>
      </c>
      <c r="V214" s="187">
        <v>503</v>
      </c>
      <c r="W214" s="187">
        <v>143.43</v>
      </c>
      <c r="X214" s="187">
        <v>12</v>
      </c>
      <c r="Y214" s="187">
        <v>0</v>
      </c>
      <c r="Z214" s="187">
        <v>0</v>
      </c>
      <c r="AA214" s="187">
        <v>2</v>
      </c>
      <c r="AB214" s="187">
        <v>81</v>
      </c>
      <c r="AC214" s="187">
        <v>24</v>
      </c>
      <c r="AD214" s="187">
        <v>1461</v>
      </c>
      <c r="AE214" s="187">
        <v>27</v>
      </c>
      <c r="AF214" s="187">
        <v>8</v>
      </c>
      <c r="AG214" s="187">
        <v>35</v>
      </c>
      <c r="AH214" s="187"/>
      <c r="AI214" s="187"/>
      <c r="AJ214" s="187"/>
      <c r="AK214" s="187"/>
      <c r="AL214" s="187"/>
      <c r="AM214" s="187"/>
      <c r="AN214" s="187"/>
      <c r="AO214" s="187"/>
      <c r="AP214" s="187"/>
      <c r="AQ214" s="187"/>
      <c r="AR214" s="187"/>
      <c r="AS214" s="187"/>
      <c r="AT214" s="187"/>
      <c r="AU214" s="187"/>
      <c r="AV214" s="187"/>
      <c r="AW214" s="187"/>
      <c r="AX214" s="187"/>
      <c r="AY214" s="187"/>
      <c r="AZ214" s="187"/>
      <c r="BA214" s="187"/>
      <c r="BB214" s="187"/>
      <c r="BC214" s="187"/>
      <c r="BD214" s="187"/>
      <c r="BE214" s="187"/>
      <c r="BF214" s="187"/>
      <c r="BG214" s="187"/>
      <c r="BH214" s="187"/>
      <c r="BI214" s="187"/>
      <c r="BJ214" s="187"/>
      <c r="BK214" s="187"/>
      <c r="BL214" s="187"/>
      <c r="BM214" s="187"/>
      <c r="BN214" s="187"/>
      <c r="BO214" s="187"/>
      <c r="BP214" s="187"/>
      <c r="BQ214" s="187"/>
      <c r="BR214" s="187"/>
      <c r="BS214" s="187"/>
      <c r="BT214" s="187"/>
      <c r="BU214" s="187"/>
      <c r="BV214" s="187"/>
      <c r="BW214" s="187"/>
      <c r="BX214" s="187"/>
      <c r="BY214" s="187"/>
      <c r="BZ214" s="187"/>
      <c r="CA214" s="187"/>
      <c r="CB214" s="187"/>
      <c r="CC214" s="187"/>
      <c r="CD214" s="187"/>
      <c r="CE214" s="187"/>
      <c r="CF214" s="187"/>
      <c r="CG214" s="187"/>
      <c r="CH214" s="187"/>
      <c r="CI214" s="187"/>
      <c r="CJ214" s="187"/>
      <c r="CK214" s="187"/>
      <c r="CL214" s="187"/>
      <c r="CM214" s="187"/>
      <c r="CN214" s="187"/>
      <c r="CO214" s="187"/>
      <c r="CP214" s="187"/>
      <c r="CQ214" s="187"/>
      <c r="CR214" s="187"/>
      <c r="CS214" s="187"/>
      <c r="CT214" s="187"/>
      <c r="CU214" s="187"/>
      <c r="CV214" s="187"/>
      <c r="CW214" s="187"/>
      <c r="CX214" s="187"/>
      <c r="CY214" s="187"/>
      <c r="CZ214" s="187"/>
      <c r="DA214" s="187"/>
      <c r="DB214" s="187"/>
      <c r="DC214" s="187"/>
      <c r="DD214" s="187"/>
      <c r="DE214" s="187"/>
      <c r="DF214" s="187"/>
      <c r="DG214" s="187"/>
      <c r="DH214" s="187"/>
      <c r="DI214" s="187"/>
      <c r="DJ214" s="187"/>
      <c r="DK214" s="187"/>
      <c r="DL214" s="187"/>
      <c r="DM214" s="187"/>
      <c r="DN214" s="187"/>
      <c r="DO214" s="187"/>
      <c r="DP214" s="187"/>
      <c r="DQ214" s="187"/>
      <c r="DR214" s="187"/>
      <c r="DS214" s="187"/>
      <c r="DT214" s="187"/>
      <c r="DU214" s="187"/>
      <c r="DV214" s="187"/>
      <c r="DW214" s="187"/>
      <c r="DX214" s="187"/>
      <c r="DY214" s="187"/>
      <c r="DZ214" s="187"/>
      <c r="EA214" s="187"/>
      <c r="EB214" s="187"/>
      <c r="EC214" s="187"/>
      <c r="ED214" s="187"/>
      <c r="EE214" s="187"/>
      <c r="EF214" s="187"/>
      <c r="EG214" s="187"/>
      <c r="EH214" s="187"/>
      <c r="EI214" s="187"/>
      <c r="EJ214" s="187"/>
      <c r="EK214" s="187"/>
      <c r="EL214" s="187"/>
      <c r="EM214" s="187"/>
      <c r="EN214" s="187"/>
      <c r="EO214" s="187"/>
      <c r="EP214" s="187"/>
      <c r="EQ214" s="187"/>
      <c r="ER214" s="187"/>
      <c r="ES214" s="187"/>
      <c r="ET214" s="187"/>
      <c r="EU214" s="187"/>
      <c r="EV214" s="187"/>
      <c r="EW214" s="187"/>
      <c r="EX214" s="187"/>
      <c r="EY214" s="187"/>
      <c r="EZ214" s="187"/>
      <c r="FA214" s="187"/>
      <c r="FB214" s="187"/>
      <c r="FC214" s="187"/>
    </row>
    <row r="215" spans="1:159" ht="15" x14ac:dyDescent="0.25">
      <c r="A215" s="187" t="s">
        <v>484</v>
      </c>
      <c r="B215" s="187" t="s">
        <v>485</v>
      </c>
      <c r="C215" s="187">
        <v>8847</v>
      </c>
      <c r="D215" s="187">
        <v>6</v>
      </c>
      <c r="E215" s="187">
        <v>275</v>
      </c>
      <c r="F215" s="187">
        <v>812</v>
      </c>
      <c r="G215" s="187">
        <v>456</v>
      </c>
      <c r="H215" s="187">
        <v>10396</v>
      </c>
      <c r="I215" s="187">
        <v>9940</v>
      </c>
      <c r="J215" s="187">
        <v>15</v>
      </c>
      <c r="K215" s="187">
        <v>131.36000000000001</v>
      </c>
      <c r="L215" s="187">
        <v>141.91</v>
      </c>
      <c r="M215" s="187">
        <v>11.62</v>
      </c>
      <c r="N215" s="187">
        <v>139.36000000000001</v>
      </c>
      <c r="O215" s="187">
        <v>7846</v>
      </c>
      <c r="P215" s="187">
        <v>129.91</v>
      </c>
      <c r="Q215" s="187">
        <v>120.85</v>
      </c>
      <c r="R215" s="187">
        <v>51</v>
      </c>
      <c r="S215" s="187">
        <v>177.27</v>
      </c>
      <c r="T215" s="187">
        <v>1007</v>
      </c>
      <c r="U215" s="187">
        <v>213.5</v>
      </c>
      <c r="V215" s="187">
        <v>869</v>
      </c>
      <c r="W215" s="187">
        <v>268.02</v>
      </c>
      <c r="X215" s="187">
        <v>4</v>
      </c>
      <c r="Y215" s="187">
        <v>1</v>
      </c>
      <c r="Z215" s="187">
        <v>2</v>
      </c>
      <c r="AA215" s="187">
        <v>2</v>
      </c>
      <c r="AB215" s="187">
        <v>22</v>
      </c>
      <c r="AC215" s="187">
        <v>19</v>
      </c>
      <c r="AD215" s="187">
        <v>8800</v>
      </c>
      <c r="AE215" s="187">
        <v>29</v>
      </c>
      <c r="AF215" s="187">
        <v>177</v>
      </c>
      <c r="AG215" s="187">
        <v>206</v>
      </c>
      <c r="AH215" s="187"/>
      <c r="AI215" s="187"/>
      <c r="AJ215" s="187"/>
      <c r="AK215" s="187"/>
      <c r="AL215" s="187"/>
      <c r="AM215" s="187"/>
      <c r="AN215" s="187"/>
      <c r="AO215" s="187"/>
      <c r="AP215" s="187"/>
      <c r="AQ215" s="187"/>
      <c r="AR215" s="187"/>
      <c r="AS215" s="187"/>
      <c r="AT215" s="187"/>
      <c r="AU215" s="187"/>
      <c r="AV215" s="187"/>
      <c r="AW215" s="187"/>
      <c r="AX215" s="187"/>
      <c r="AY215" s="187"/>
      <c r="AZ215" s="187"/>
      <c r="BA215" s="187"/>
      <c r="BB215" s="187"/>
      <c r="BC215" s="187"/>
      <c r="BD215" s="187"/>
      <c r="BE215" s="187"/>
      <c r="BF215" s="187"/>
      <c r="BG215" s="187"/>
      <c r="BH215" s="187"/>
      <c r="BI215" s="187"/>
      <c r="BJ215" s="187"/>
      <c r="BK215" s="187"/>
      <c r="BL215" s="187"/>
      <c r="BM215" s="187"/>
      <c r="BN215" s="187"/>
      <c r="BO215" s="187"/>
      <c r="BP215" s="187"/>
      <c r="BQ215" s="187"/>
      <c r="BR215" s="187"/>
      <c r="BS215" s="187"/>
      <c r="BT215" s="187"/>
      <c r="BU215" s="187"/>
      <c r="BV215" s="187"/>
      <c r="BW215" s="187"/>
      <c r="BX215" s="187"/>
      <c r="BY215" s="187"/>
      <c r="BZ215" s="187"/>
      <c r="CA215" s="187"/>
      <c r="CB215" s="187"/>
      <c r="CC215" s="187"/>
      <c r="CD215" s="187"/>
      <c r="CE215" s="187"/>
      <c r="CF215" s="187"/>
      <c r="CG215" s="187"/>
      <c r="CH215" s="187"/>
      <c r="CI215" s="187"/>
      <c r="CJ215" s="187"/>
      <c r="CK215" s="187"/>
      <c r="CL215" s="187"/>
      <c r="CM215" s="187"/>
      <c r="CN215" s="187"/>
      <c r="CO215" s="187"/>
      <c r="CP215" s="187"/>
      <c r="CQ215" s="187"/>
      <c r="CR215" s="187"/>
      <c r="CS215" s="187"/>
      <c r="CT215" s="187"/>
      <c r="CU215" s="187"/>
      <c r="CV215" s="187"/>
      <c r="CW215" s="187"/>
      <c r="CX215" s="187"/>
      <c r="CY215" s="187"/>
      <c r="CZ215" s="187"/>
      <c r="DA215" s="187"/>
      <c r="DB215" s="187"/>
      <c r="DC215" s="187"/>
      <c r="DD215" s="187"/>
      <c r="DE215" s="187"/>
      <c r="DF215" s="187"/>
      <c r="DG215" s="187"/>
      <c r="DH215" s="187"/>
      <c r="DI215" s="187"/>
      <c r="DJ215" s="187"/>
      <c r="DK215" s="187"/>
      <c r="DL215" s="187"/>
      <c r="DM215" s="187"/>
      <c r="DN215" s="187"/>
      <c r="DO215" s="187"/>
      <c r="DP215" s="187"/>
      <c r="DQ215" s="187"/>
      <c r="DR215" s="187"/>
      <c r="DS215" s="187"/>
      <c r="DT215" s="187"/>
      <c r="DU215" s="187"/>
      <c r="DV215" s="187"/>
      <c r="DW215" s="187"/>
      <c r="DX215" s="187"/>
      <c r="DY215" s="187"/>
      <c r="DZ215" s="187"/>
      <c r="EA215" s="187"/>
      <c r="EB215" s="187"/>
      <c r="EC215" s="187"/>
      <c r="ED215" s="187"/>
      <c r="EE215" s="187"/>
      <c r="EF215" s="187"/>
      <c r="EG215" s="187"/>
      <c r="EH215" s="187"/>
      <c r="EI215" s="187"/>
      <c r="EJ215" s="187"/>
      <c r="EK215" s="187"/>
      <c r="EL215" s="187"/>
      <c r="EM215" s="187"/>
      <c r="EN215" s="187"/>
      <c r="EO215" s="187"/>
      <c r="EP215" s="187"/>
      <c r="EQ215" s="187"/>
      <c r="ER215" s="187"/>
      <c r="ES215" s="187"/>
      <c r="ET215" s="187"/>
      <c r="EU215" s="187"/>
      <c r="EV215" s="187"/>
      <c r="EW215" s="187"/>
      <c r="EX215" s="187"/>
      <c r="EY215" s="187"/>
      <c r="EZ215" s="187"/>
      <c r="FA215" s="187"/>
      <c r="FB215" s="187"/>
      <c r="FC215" s="187"/>
    </row>
    <row r="216" spans="1:159" ht="15" x14ac:dyDescent="0.25">
      <c r="A216" s="187" t="s">
        <v>486</v>
      </c>
      <c r="B216" s="187" t="s">
        <v>487</v>
      </c>
      <c r="C216" s="187">
        <v>722</v>
      </c>
      <c r="D216" s="187">
        <v>0</v>
      </c>
      <c r="E216" s="187">
        <v>118</v>
      </c>
      <c r="F216" s="187">
        <v>96</v>
      </c>
      <c r="G216" s="187">
        <v>66</v>
      </c>
      <c r="H216" s="187">
        <v>1002</v>
      </c>
      <c r="I216" s="187">
        <v>936</v>
      </c>
      <c r="J216" s="187">
        <v>2</v>
      </c>
      <c r="K216" s="187">
        <v>97.53</v>
      </c>
      <c r="L216" s="187">
        <v>93.49</v>
      </c>
      <c r="M216" s="187">
        <v>3.69</v>
      </c>
      <c r="N216" s="187">
        <v>100.4</v>
      </c>
      <c r="O216" s="187">
        <v>529</v>
      </c>
      <c r="P216" s="187">
        <v>114.57</v>
      </c>
      <c r="Q216" s="187">
        <v>105.43</v>
      </c>
      <c r="R216" s="187">
        <v>86.25</v>
      </c>
      <c r="S216" s="187">
        <v>193.4</v>
      </c>
      <c r="T216" s="187">
        <v>151</v>
      </c>
      <c r="U216" s="187">
        <v>120.23</v>
      </c>
      <c r="V216" s="187">
        <v>177</v>
      </c>
      <c r="W216" s="187">
        <v>341.17</v>
      </c>
      <c r="X216" s="187">
        <v>53</v>
      </c>
      <c r="Y216" s="187">
        <v>0</v>
      </c>
      <c r="Z216" s="187">
        <v>0</v>
      </c>
      <c r="AA216" s="187">
        <v>1</v>
      </c>
      <c r="AB216" s="187">
        <v>1</v>
      </c>
      <c r="AC216" s="187">
        <v>0</v>
      </c>
      <c r="AD216" s="187">
        <v>722</v>
      </c>
      <c r="AE216" s="187">
        <v>3</v>
      </c>
      <c r="AF216" s="187">
        <v>2</v>
      </c>
      <c r="AG216" s="187">
        <v>5</v>
      </c>
      <c r="AH216" s="187"/>
      <c r="AI216" s="187"/>
      <c r="AJ216" s="187"/>
      <c r="AK216" s="187"/>
      <c r="AL216" s="187"/>
      <c r="AM216" s="187"/>
      <c r="AN216" s="187"/>
      <c r="AO216" s="187"/>
      <c r="AP216" s="187"/>
      <c r="AQ216" s="187"/>
      <c r="AR216" s="187"/>
      <c r="AS216" s="187"/>
      <c r="AT216" s="187"/>
      <c r="AU216" s="187"/>
      <c r="AV216" s="187"/>
      <c r="AW216" s="187"/>
      <c r="AX216" s="187"/>
      <c r="AY216" s="187"/>
      <c r="AZ216" s="187"/>
      <c r="BA216" s="187"/>
      <c r="BB216" s="187"/>
      <c r="BC216" s="187"/>
      <c r="BD216" s="187"/>
      <c r="BE216" s="187"/>
      <c r="BF216" s="187"/>
      <c r="BG216" s="187"/>
      <c r="BH216" s="187"/>
      <c r="BI216" s="187"/>
      <c r="BJ216" s="187"/>
      <c r="BK216" s="187"/>
      <c r="BL216" s="187"/>
      <c r="BM216" s="187"/>
      <c r="BN216" s="187"/>
      <c r="BO216" s="187"/>
      <c r="BP216" s="187"/>
      <c r="BQ216" s="187"/>
      <c r="BR216" s="187"/>
      <c r="BS216" s="187"/>
      <c r="BT216" s="187"/>
      <c r="BU216" s="187"/>
      <c r="BV216" s="187"/>
      <c r="BW216" s="187"/>
      <c r="BX216" s="187"/>
      <c r="BY216" s="187"/>
      <c r="BZ216" s="187"/>
      <c r="CA216" s="187"/>
      <c r="CB216" s="187"/>
      <c r="CC216" s="187"/>
      <c r="CD216" s="187"/>
      <c r="CE216" s="187"/>
      <c r="CF216" s="187"/>
      <c r="CG216" s="187"/>
      <c r="CH216" s="187"/>
      <c r="CI216" s="187"/>
      <c r="CJ216" s="187"/>
      <c r="CK216" s="187"/>
      <c r="CL216" s="187"/>
      <c r="CM216" s="187"/>
      <c r="CN216" s="187"/>
      <c r="CO216" s="187"/>
      <c r="CP216" s="187"/>
      <c r="CQ216" s="187"/>
      <c r="CR216" s="187"/>
      <c r="CS216" s="187"/>
      <c r="CT216" s="187"/>
      <c r="CU216" s="187"/>
      <c r="CV216" s="187"/>
      <c r="CW216" s="187"/>
      <c r="CX216" s="187"/>
      <c r="CY216" s="187"/>
      <c r="CZ216" s="187"/>
      <c r="DA216" s="187"/>
      <c r="DB216" s="187"/>
      <c r="DC216" s="187"/>
      <c r="DD216" s="187"/>
      <c r="DE216" s="187"/>
      <c r="DF216" s="187"/>
      <c r="DG216" s="187"/>
      <c r="DH216" s="187"/>
      <c r="DI216" s="187"/>
      <c r="DJ216" s="187"/>
      <c r="DK216" s="187"/>
      <c r="DL216" s="187"/>
      <c r="DM216" s="187"/>
      <c r="DN216" s="187"/>
      <c r="DO216" s="187"/>
      <c r="DP216" s="187"/>
      <c r="DQ216" s="187"/>
      <c r="DR216" s="187"/>
      <c r="DS216" s="187"/>
      <c r="DT216" s="187"/>
      <c r="DU216" s="187"/>
      <c r="DV216" s="187"/>
      <c r="DW216" s="187"/>
      <c r="DX216" s="187"/>
      <c r="DY216" s="187"/>
      <c r="DZ216" s="187"/>
      <c r="EA216" s="187"/>
      <c r="EB216" s="187"/>
      <c r="EC216" s="187"/>
      <c r="ED216" s="187"/>
      <c r="EE216" s="187"/>
      <c r="EF216" s="187"/>
      <c r="EG216" s="187"/>
      <c r="EH216" s="187"/>
      <c r="EI216" s="187"/>
      <c r="EJ216" s="187"/>
      <c r="EK216" s="187"/>
      <c r="EL216" s="187"/>
      <c r="EM216" s="187"/>
      <c r="EN216" s="187"/>
      <c r="EO216" s="187"/>
      <c r="EP216" s="187"/>
      <c r="EQ216" s="187"/>
      <c r="ER216" s="187"/>
      <c r="ES216" s="187"/>
      <c r="ET216" s="187"/>
      <c r="EU216" s="187"/>
      <c r="EV216" s="187"/>
      <c r="EW216" s="187"/>
      <c r="EX216" s="187"/>
      <c r="EY216" s="187"/>
      <c r="EZ216" s="187"/>
      <c r="FA216" s="187"/>
      <c r="FB216" s="187"/>
      <c r="FC216" s="187"/>
    </row>
    <row r="217" spans="1:159" ht="15" x14ac:dyDescent="0.25">
      <c r="A217" s="187" t="s">
        <v>488</v>
      </c>
      <c r="B217" s="187" t="s">
        <v>489</v>
      </c>
      <c r="C217" s="187">
        <v>17992</v>
      </c>
      <c r="D217" s="187">
        <v>0</v>
      </c>
      <c r="E217" s="187">
        <v>720</v>
      </c>
      <c r="F217" s="187">
        <v>1985</v>
      </c>
      <c r="G217" s="187">
        <v>314</v>
      </c>
      <c r="H217" s="187">
        <v>21011</v>
      </c>
      <c r="I217" s="187">
        <v>20697</v>
      </c>
      <c r="J217" s="187">
        <v>28</v>
      </c>
      <c r="K217" s="187">
        <v>81.38</v>
      </c>
      <c r="L217" s="187">
        <v>80.819999999999993</v>
      </c>
      <c r="M217" s="187">
        <v>5.67</v>
      </c>
      <c r="N217" s="187">
        <v>86.45</v>
      </c>
      <c r="O217" s="187">
        <v>15653</v>
      </c>
      <c r="P217" s="187">
        <v>80.819999999999993</v>
      </c>
      <c r="Q217" s="187">
        <v>75.400000000000006</v>
      </c>
      <c r="R217" s="187">
        <v>44.59</v>
      </c>
      <c r="S217" s="187">
        <v>123.41</v>
      </c>
      <c r="T217" s="187">
        <v>2440</v>
      </c>
      <c r="U217" s="187">
        <v>104.77</v>
      </c>
      <c r="V217" s="187">
        <v>2249</v>
      </c>
      <c r="W217" s="187">
        <v>276.35000000000002</v>
      </c>
      <c r="X217" s="187">
        <v>37</v>
      </c>
      <c r="Y217" s="187">
        <v>0</v>
      </c>
      <c r="Z217" s="187">
        <v>133</v>
      </c>
      <c r="AA217" s="187">
        <v>6</v>
      </c>
      <c r="AB217" s="187">
        <v>11</v>
      </c>
      <c r="AC217" s="187">
        <v>4</v>
      </c>
      <c r="AD217" s="187">
        <v>17797</v>
      </c>
      <c r="AE217" s="187">
        <v>31</v>
      </c>
      <c r="AF217" s="187">
        <v>658</v>
      </c>
      <c r="AG217" s="187">
        <v>689</v>
      </c>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c r="BR217" s="187"/>
      <c r="BS217" s="187"/>
      <c r="BT217" s="187"/>
      <c r="BU217" s="187"/>
      <c r="BV217" s="187"/>
      <c r="BW217" s="187"/>
      <c r="BX217" s="187"/>
      <c r="BY217" s="187"/>
      <c r="BZ217" s="187"/>
      <c r="CA217" s="187"/>
      <c r="CB217" s="187"/>
      <c r="CC217" s="187"/>
      <c r="CD217" s="187"/>
      <c r="CE217" s="187"/>
      <c r="CF217" s="187"/>
      <c r="CG217" s="187"/>
      <c r="CH217" s="187"/>
      <c r="CI217" s="187"/>
      <c r="CJ217" s="187"/>
      <c r="CK217" s="187"/>
      <c r="CL217" s="187"/>
      <c r="CM217" s="187"/>
      <c r="CN217" s="187"/>
      <c r="CO217" s="187"/>
      <c r="CP217" s="187"/>
      <c r="CQ217" s="187"/>
      <c r="CR217" s="187"/>
      <c r="CS217" s="187"/>
      <c r="CT217" s="187"/>
      <c r="CU217" s="187"/>
      <c r="CV217" s="187"/>
      <c r="CW217" s="187"/>
      <c r="CX217" s="187"/>
      <c r="CY217" s="187"/>
      <c r="CZ217" s="187"/>
      <c r="DA217" s="187"/>
      <c r="DB217" s="187"/>
      <c r="DC217" s="187"/>
      <c r="DD217" s="187"/>
      <c r="DE217" s="187"/>
      <c r="DF217" s="187"/>
      <c r="DG217" s="187"/>
      <c r="DH217" s="187"/>
      <c r="DI217" s="187"/>
      <c r="DJ217" s="187"/>
      <c r="DK217" s="187"/>
      <c r="DL217" s="187"/>
      <c r="DM217" s="187"/>
      <c r="DN217" s="187"/>
      <c r="DO217" s="187"/>
      <c r="DP217" s="187"/>
      <c r="DQ217" s="187"/>
      <c r="DR217" s="187"/>
      <c r="DS217" s="187"/>
      <c r="DT217" s="187"/>
      <c r="DU217" s="187"/>
      <c r="DV217" s="187"/>
      <c r="DW217" s="187"/>
      <c r="DX217" s="187"/>
      <c r="DY217" s="187"/>
      <c r="DZ217" s="187"/>
      <c r="EA217" s="187"/>
      <c r="EB217" s="187"/>
      <c r="EC217" s="187"/>
      <c r="ED217" s="187"/>
      <c r="EE217" s="187"/>
      <c r="EF217" s="187"/>
      <c r="EG217" s="187"/>
      <c r="EH217" s="187"/>
      <c r="EI217" s="187"/>
      <c r="EJ217" s="187"/>
      <c r="EK217" s="187"/>
      <c r="EL217" s="187"/>
      <c r="EM217" s="187"/>
      <c r="EN217" s="187"/>
      <c r="EO217" s="187"/>
      <c r="EP217" s="187"/>
      <c r="EQ217" s="187"/>
      <c r="ER217" s="187"/>
      <c r="ES217" s="187"/>
      <c r="ET217" s="187"/>
      <c r="EU217" s="187"/>
      <c r="EV217" s="187"/>
      <c r="EW217" s="187"/>
      <c r="EX217" s="187"/>
      <c r="EY217" s="187"/>
      <c r="EZ217" s="187"/>
      <c r="FA217" s="187"/>
      <c r="FB217" s="187"/>
      <c r="FC217" s="187"/>
    </row>
    <row r="218" spans="1:159" ht="15" x14ac:dyDescent="0.25">
      <c r="A218" s="187" t="s">
        <v>490</v>
      </c>
      <c r="B218" s="187" t="s">
        <v>491</v>
      </c>
      <c r="C218" s="187">
        <v>2541</v>
      </c>
      <c r="D218" s="187">
        <v>0</v>
      </c>
      <c r="E218" s="187">
        <v>50</v>
      </c>
      <c r="F218" s="187">
        <v>698</v>
      </c>
      <c r="G218" s="187">
        <v>352</v>
      </c>
      <c r="H218" s="187">
        <v>3641</v>
      </c>
      <c r="I218" s="187">
        <v>3289</v>
      </c>
      <c r="J218" s="187">
        <v>7</v>
      </c>
      <c r="K218" s="187">
        <v>106.41</v>
      </c>
      <c r="L218" s="187">
        <v>106.51</v>
      </c>
      <c r="M218" s="187">
        <v>9.51</v>
      </c>
      <c r="N218" s="187">
        <v>111.51</v>
      </c>
      <c r="O218" s="187">
        <v>1758</v>
      </c>
      <c r="P218" s="187">
        <v>92.92</v>
      </c>
      <c r="Q218" s="187">
        <v>90.58</v>
      </c>
      <c r="R218" s="187">
        <v>47.7</v>
      </c>
      <c r="S218" s="187">
        <v>140.56</v>
      </c>
      <c r="T218" s="187">
        <v>745</v>
      </c>
      <c r="U218" s="187">
        <v>159.6</v>
      </c>
      <c r="V218" s="187">
        <v>781</v>
      </c>
      <c r="W218" s="187">
        <v>0</v>
      </c>
      <c r="X218" s="187">
        <v>0</v>
      </c>
      <c r="Y218" s="187">
        <v>0</v>
      </c>
      <c r="Z218" s="187">
        <v>2</v>
      </c>
      <c r="AA218" s="187">
        <v>0</v>
      </c>
      <c r="AB218" s="187">
        <v>30</v>
      </c>
      <c r="AC218" s="187">
        <v>5</v>
      </c>
      <c r="AD218" s="187">
        <v>2541</v>
      </c>
      <c r="AE218" s="187">
        <v>18</v>
      </c>
      <c r="AF218" s="187">
        <v>16</v>
      </c>
      <c r="AG218" s="187">
        <v>34</v>
      </c>
      <c r="AH218" s="187"/>
      <c r="AI218" s="187"/>
      <c r="AJ218" s="187"/>
      <c r="AK218" s="187"/>
      <c r="AL218" s="187"/>
      <c r="AM218" s="187"/>
      <c r="AN218" s="187"/>
      <c r="AO218" s="187"/>
      <c r="AP218" s="187"/>
      <c r="AQ218" s="187"/>
      <c r="AR218" s="187"/>
      <c r="AS218" s="187"/>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s="187"/>
      <c r="BO218" s="187"/>
      <c r="BP218" s="187"/>
      <c r="BQ218" s="187"/>
      <c r="BR218" s="187"/>
      <c r="BS218" s="187"/>
      <c r="BT218" s="187"/>
      <c r="BU218" s="187"/>
      <c r="BV218" s="187"/>
      <c r="BW218" s="187"/>
      <c r="BX218" s="187"/>
      <c r="BY218" s="187"/>
      <c r="BZ218" s="187"/>
      <c r="CA218" s="187"/>
      <c r="CB218" s="187"/>
      <c r="CC218" s="187"/>
      <c r="CD218" s="187"/>
      <c r="CE218" s="187"/>
      <c r="CF218" s="187"/>
      <c r="CG218" s="187"/>
      <c r="CH218" s="187"/>
      <c r="CI218" s="187"/>
      <c r="CJ218" s="187"/>
      <c r="CK218" s="187"/>
      <c r="CL218" s="187"/>
      <c r="CM218" s="187"/>
      <c r="CN218" s="187"/>
      <c r="CO218" s="187"/>
      <c r="CP218" s="187"/>
      <c r="CQ218" s="187"/>
      <c r="CR218" s="187"/>
      <c r="CS218" s="187"/>
      <c r="CT218" s="187"/>
      <c r="CU218" s="187"/>
      <c r="CV218" s="187"/>
      <c r="CW218" s="187"/>
      <c r="CX218" s="187"/>
      <c r="CY218" s="187"/>
      <c r="CZ218" s="187"/>
      <c r="DA218" s="187"/>
      <c r="DB218" s="187"/>
      <c r="DC218" s="187"/>
      <c r="DD218" s="187"/>
      <c r="DE218" s="187"/>
      <c r="DF218" s="187"/>
      <c r="DG218" s="187"/>
      <c r="DH218" s="187"/>
      <c r="DI218" s="187"/>
      <c r="DJ218" s="187"/>
      <c r="DK218" s="187"/>
      <c r="DL218" s="187"/>
      <c r="DM218" s="187"/>
      <c r="DN218" s="187"/>
      <c r="DO218" s="187"/>
      <c r="DP218" s="187"/>
      <c r="DQ218" s="187"/>
      <c r="DR218" s="187"/>
      <c r="DS218" s="187"/>
      <c r="DT218" s="187"/>
      <c r="DU218" s="187"/>
      <c r="DV218" s="187"/>
      <c r="DW218" s="187"/>
      <c r="DX218" s="187"/>
      <c r="DY218" s="187"/>
      <c r="DZ218" s="187"/>
      <c r="EA218" s="187"/>
      <c r="EB218" s="187"/>
      <c r="EC218" s="187"/>
      <c r="ED218" s="187"/>
      <c r="EE218" s="187"/>
      <c r="EF218" s="187"/>
      <c r="EG218" s="187"/>
      <c r="EH218" s="187"/>
      <c r="EI218" s="187"/>
      <c r="EJ218" s="187"/>
      <c r="EK218" s="187"/>
      <c r="EL218" s="187"/>
      <c r="EM218" s="187"/>
      <c r="EN218" s="187"/>
      <c r="EO218" s="187"/>
      <c r="EP218" s="187"/>
      <c r="EQ218" s="187"/>
      <c r="ER218" s="187"/>
      <c r="ES218" s="187"/>
      <c r="ET218" s="187"/>
      <c r="EU218" s="187"/>
      <c r="EV218" s="187"/>
      <c r="EW218" s="187"/>
      <c r="EX218" s="187"/>
      <c r="EY218" s="187"/>
      <c r="EZ218" s="187"/>
      <c r="FA218" s="187"/>
      <c r="FB218" s="187"/>
      <c r="FC218" s="187"/>
    </row>
    <row r="219" spans="1:159" ht="15" x14ac:dyDescent="0.25">
      <c r="A219" s="187" t="s">
        <v>492</v>
      </c>
      <c r="B219" s="187" t="s">
        <v>493</v>
      </c>
      <c r="C219" s="187">
        <v>4189</v>
      </c>
      <c r="D219" s="187">
        <v>0</v>
      </c>
      <c r="E219" s="187">
        <v>98</v>
      </c>
      <c r="F219" s="187">
        <v>378</v>
      </c>
      <c r="G219" s="187">
        <v>31</v>
      </c>
      <c r="H219" s="187">
        <v>4696</v>
      </c>
      <c r="I219" s="187">
        <v>4665</v>
      </c>
      <c r="J219" s="187">
        <v>2</v>
      </c>
      <c r="K219" s="187">
        <v>78.739999999999995</v>
      </c>
      <c r="L219" s="187">
        <v>76.180000000000007</v>
      </c>
      <c r="M219" s="187">
        <v>5.49</v>
      </c>
      <c r="N219" s="187">
        <v>79.31</v>
      </c>
      <c r="O219" s="187">
        <v>3596</v>
      </c>
      <c r="P219" s="187">
        <v>92.1</v>
      </c>
      <c r="Q219" s="187">
        <v>82.34</v>
      </c>
      <c r="R219" s="187">
        <v>39.4</v>
      </c>
      <c r="S219" s="187">
        <v>129.13</v>
      </c>
      <c r="T219" s="187">
        <v>416</v>
      </c>
      <c r="U219" s="187">
        <v>101.67</v>
      </c>
      <c r="V219" s="187">
        <v>584</v>
      </c>
      <c r="W219" s="187">
        <v>0</v>
      </c>
      <c r="X219" s="187">
        <v>0</v>
      </c>
      <c r="Y219" s="187">
        <v>0</v>
      </c>
      <c r="Z219" s="187">
        <v>12</v>
      </c>
      <c r="AA219" s="187">
        <v>2</v>
      </c>
      <c r="AB219" s="187">
        <v>0</v>
      </c>
      <c r="AC219" s="187">
        <v>3</v>
      </c>
      <c r="AD219" s="187">
        <v>4184</v>
      </c>
      <c r="AE219" s="187">
        <v>31</v>
      </c>
      <c r="AF219" s="187">
        <v>33</v>
      </c>
      <c r="AG219" s="187">
        <v>64</v>
      </c>
      <c r="AH219" s="187"/>
      <c r="AI219" s="187"/>
      <c r="AJ219" s="187"/>
      <c r="AK219" s="187"/>
      <c r="AL219" s="187"/>
      <c r="AM219" s="187"/>
      <c r="AN219" s="187"/>
      <c r="AO219" s="187"/>
      <c r="AP219" s="187"/>
      <c r="AQ219" s="187"/>
      <c r="AR219" s="187"/>
      <c r="AS219" s="187"/>
      <c r="AT219" s="187"/>
      <c r="AU219" s="187"/>
      <c r="AV219" s="187"/>
      <c r="AW219" s="187"/>
      <c r="AX219" s="187"/>
      <c r="AY219" s="187"/>
      <c r="AZ219" s="187"/>
      <c r="BA219" s="187"/>
      <c r="BB219" s="187"/>
      <c r="BC219" s="187"/>
      <c r="BD219" s="187"/>
      <c r="BE219" s="187"/>
      <c r="BF219" s="187"/>
      <c r="BG219" s="187"/>
      <c r="BH219" s="187"/>
      <c r="BI219" s="187"/>
      <c r="BJ219" s="187"/>
      <c r="BK219" s="187"/>
      <c r="BL219" s="187"/>
      <c r="BM219" s="187"/>
      <c r="BN219" s="187"/>
      <c r="BO219" s="187"/>
      <c r="BP219" s="187"/>
      <c r="BQ219" s="187"/>
      <c r="BR219" s="187"/>
      <c r="BS219" s="187"/>
      <c r="BT219" s="187"/>
      <c r="BU219" s="187"/>
      <c r="BV219" s="187"/>
      <c r="BW219" s="187"/>
      <c r="BX219" s="187"/>
      <c r="BY219" s="187"/>
      <c r="BZ219" s="187"/>
      <c r="CA219" s="187"/>
      <c r="CB219" s="187"/>
      <c r="CC219" s="187"/>
      <c r="CD219" s="187"/>
      <c r="CE219" s="187"/>
      <c r="CF219" s="187"/>
      <c r="CG219" s="187"/>
      <c r="CH219" s="187"/>
      <c r="CI219" s="187"/>
      <c r="CJ219" s="187"/>
      <c r="CK219" s="187"/>
      <c r="CL219" s="187"/>
      <c r="CM219" s="187"/>
      <c r="CN219" s="187"/>
      <c r="CO219" s="187"/>
      <c r="CP219" s="187"/>
      <c r="CQ219" s="187"/>
      <c r="CR219" s="187"/>
      <c r="CS219" s="187"/>
      <c r="CT219" s="187"/>
      <c r="CU219" s="187"/>
      <c r="CV219" s="187"/>
      <c r="CW219" s="187"/>
      <c r="CX219" s="187"/>
      <c r="CY219" s="187"/>
      <c r="CZ219" s="187"/>
      <c r="DA219" s="187"/>
      <c r="DB219" s="187"/>
      <c r="DC219" s="187"/>
      <c r="DD219" s="187"/>
      <c r="DE219" s="187"/>
      <c r="DF219" s="187"/>
      <c r="DG219" s="187"/>
      <c r="DH219" s="187"/>
      <c r="DI219" s="187"/>
      <c r="DJ219" s="187"/>
      <c r="DK219" s="187"/>
      <c r="DL219" s="187"/>
      <c r="DM219" s="187"/>
      <c r="DN219" s="187"/>
      <c r="DO219" s="187"/>
      <c r="DP219" s="187"/>
      <c r="DQ219" s="187"/>
      <c r="DR219" s="187"/>
      <c r="DS219" s="187"/>
      <c r="DT219" s="187"/>
      <c r="DU219" s="187"/>
      <c r="DV219" s="187"/>
      <c r="DW219" s="187"/>
      <c r="DX219" s="187"/>
      <c r="DY219" s="187"/>
      <c r="DZ219" s="187"/>
      <c r="EA219" s="187"/>
      <c r="EB219" s="187"/>
      <c r="EC219" s="187"/>
      <c r="ED219" s="187"/>
      <c r="EE219" s="187"/>
      <c r="EF219" s="187"/>
      <c r="EG219" s="187"/>
      <c r="EH219" s="187"/>
      <c r="EI219" s="187"/>
      <c r="EJ219" s="187"/>
      <c r="EK219" s="187"/>
      <c r="EL219" s="187"/>
      <c r="EM219" s="187"/>
      <c r="EN219" s="187"/>
      <c r="EO219" s="187"/>
      <c r="EP219" s="187"/>
      <c r="EQ219" s="187"/>
      <c r="ER219" s="187"/>
      <c r="ES219" s="187"/>
      <c r="ET219" s="187"/>
      <c r="EU219" s="187"/>
      <c r="EV219" s="187"/>
      <c r="EW219" s="187"/>
      <c r="EX219" s="187"/>
      <c r="EY219" s="187"/>
      <c r="EZ219" s="187"/>
      <c r="FA219" s="187"/>
      <c r="FB219" s="187"/>
      <c r="FC219" s="187"/>
    </row>
    <row r="220" spans="1:159" ht="15" x14ac:dyDescent="0.25">
      <c r="A220" s="187" t="s">
        <v>494</v>
      </c>
      <c r="B220" s="187" t="s">
        <v>495</v>
      </c>
      <c r="C220" s="187">
        <v>3787</v>
      </c>
      <c r="D220" s="187">
        <v>0</v>
      </c>
      <c r="E220" s="187">
        <v>76</v>
      </c>
      <c r="F220" s="187">
        <v>685</v>
      </c>
      <c r="G220" s="187">
        <v>438</v>
      </c>
      <c r="H220" s="187">
        <v>4986</v>
      </c>
      <c r="I220" s="187">
        <v>4548</v>
      </c>
      <c r="J220" s="187">
        <v>87</v>
      </c>
      <c r="K220" s="187">
        <v>101.89</v>
      </c>
      <c r="L220" s="187">
        <v>101.4</v>
      </c>
      <c r="M220" s="187">
        <v>3.57</v>
      </c>
      <c r="N220" s="187">
        <v>104.83</v>
      </c>
      <c r="O220" s="187">
        <v>3136</v>
      </c>
      <c r="P220" s="187">
        <v>89.55</v>
      </c>
      <c r="Q220" s="187">
        <v>83.44</v>
      </c>
      <c r="R220" s="187">
        <v>49.2</v>
      </c>
      <c r="S220" s="187">
        <v>136.6</v>
      </c>
      <c r="T220" s="187">
        <v>621</v>
      </c>
      <c r="U220" s="187">
        <v>133.81</v>
      </c>
      <c r="V220" s="187">
        <v>647</v>
      </c>
      <c r="W220" s="187">
        <v>102.62</v>
      </c>
      <c r="X220" s="187">
        <v>5</v>
      </c>
      <c r="Y220" s="187">
        <v>347</v>
      </c>
      <c r="Z220" s="187">
        <v>1</v>
      </c>
      <c r="AA220" s="187">
        <v>7</v>
      </c>
      <c r="AB220" s="187">
        <v>68</v>
      </c>
      <c r="AC220" s="187">
        <v>4</v>
      </c>
      <c r="AD220" s="187">
        <v>3787</v>
      </c>
      <c r="AE220" s="187">
        <v>4</v>
      </c>
      <c r="AF220" s="187">
        <v>7</v>
      </c>
      <c r="AG220" s="187">
        <v>11</v>
      </c>
      <c r="AH220" s="187"/>
      <c r="AI220" s="187"/>
      <c r="AJ220" s="187"/>
      <c r="AK220" s="187"/>
      <c r="AL220" s="187"/>
      <c r="AM220" s="187"/>
      <c r="AN220" s="187"/>
      <c r="AO220" s="187"/>
      <c r="AP220" s="187"/>
      <c r="AQ220" s="187"/>
      <c r="AR220" s="187"/>
      <c r="AS220" s="187"/>
      <c r="AT220" s="187"/>
      <c r="AU220" s="187"/>
      <c r="AV220" s="187"/>
      <c r="AW220" s="187"/>
      <c r="AX220" s="187"/>
      <c r="AY220" s="187"/>
      <c r="AZ220" s="187"/>
      <c r="BA220" s="187"/>
      <c r="BB220" s="187"/>
      <c r="BC220" s="187"/>
      <c r="BD220" s="187"/>
      <c r="BE220" s="187"/>
      <c r="BF220" s="187"/>
      <c r="BG220" s="187"/>
      <c r="BH220" s="187"/>
      <c r="BI220" s="187"/>
      <c r="BJ220" s="187"/>
      <c r="BK220" s="187"/>
      <c r="BL220" s="187"/>
      <c r="BM220" s="187"/>
      <c r="BN220" s="187"/>
      <c r="BO220" s="187"/>
      <c r="BP220" s="187"/>
      <c r="BQ220" s="187"/>
      <c r="BR220" s="187"/>
      <c r="BS220" s="187"/>
      <c r="BT220" s="187"/>
      <c r="BU220" s="187"/>
      <c r="BV220" s="187"/>
      <c r="BW220" s="187"/>
      <c r="BX220" s="187"/>
      <c r="BY220" s="187"/>
      <c r="BZ220" s="187"/>
      <c r="CA220" s="187"/>
      <c r="CB220" s="187"/>
      <c r="CC220" s="187"/>
      <c r="CD220" s="187"/>
      <c r="CE220" s="187"/>
      <c r="CF220" s="187"/>
      <c r="CG220" s="187"/>
      <c r="CH220" s="187"/>
      <c r="CI220" s="187"/>
      <c r="CJ220" s="187"/>
      <c r="CK220" s="187"/>
      <c r="CL220" s="187"/>
      <c r="CM220" s="187"/>
      <c r="CN220" s="187"/>
      <c r="CO220" s="187"/>
      <c r="CP220" s="187"/>
      <c r="CQ220" s="187"/>
      <c r="CR220" s="187"/>
      <c r="CS220" s="187"/>
      <c r="CT220" s="187"/>
      <c r="CU220" s="187"/>
      <c r="CV220" s="187"/>
      <c r="CW220" s="187"/>
      <c r="CX220" s="187"/>
      <c r="CY220" s="187"/>
      <c r="CZ220" s="187"/>
      <c r="DA220" s="187"/>
      <c r="DB220" s="187"/>
      <c r="DC220" s="187"/>
      <c r="DD220" s="187"/>
      <c r="DE220" s="187"/>
      <c r="DF220" s="187"/>
      <c r="DG220" s="187"/>
      <c r="DH220" s="187"/>
      <c r="DI220" s="187"/>
      <c r="DJ220" s="187"/>
      <c r="DK220" s="187"/>
      <c r="DL220" s="187"/>
      <c r="DM220" s="187"/>
      <c r="DN220" s="187"/>
      <c r="DO220" s="187"/>
      <c r="DP220" s="187"/>
      <c r="DQ220" s="187"/>
      <c r="DR220" s="187"/>
      <c r="DS220" s="187"/>
      <c r="DT220" s="187"/>
      <c r="DU220" s="187"/>
      <c r="DV220" s="187"/>
      <c r="DW220" s="187"/>
      <c r="DX220" s="187"/>
      <c r="DY220" s="187"/>
      <c r="DZ220" s="187"/>
      <c r="EA220" s="187"/>
      <c r="EB220" s="187"/>
      <c r="EC220" s="187"/>
      <c r="ED220" s="187"/>
      <c r="EE220" s="187"/>
      <c r="EF220" s="187"/>
      <c r="EG220" s="187"/>
      <c r="EH220" s="187"/>
      <c r="EI220" s="187"/>
      <c r="EJ220" s="187"/>
      <c r="EK220" s="187"/>
      <c r="EL220" s="187"/>
      <c r="EM220" s="187"/>
      <c r="EN220" s="187"/>
      <c r="EO220" s="187"/>
      <c r="EP220" s="187"/>
      <c r="EQ220" s="187"/>
      <c r="ER220" s="187"/>
      <c r="ES220" s="187"/>
      <c r="ET220" s="187"/>
      <c r="EU220" s="187"/>
      <c r="EV220" s="187"/>
      <c r="EW220" s="187"/>
      <c r="EX220" s="187"/>
      <c r="EY220" s="187"/>
      <c r="EZ220" s="187"/>
      <c r="FA220" s="187"/>
      <c r="FB220" s="187"/>
      <c r="FC220" s="187"/>
    </row>
    <row r="221" spans="1:159" ht="15" x14ac:dyDescent="0.25">
      <c r="A221" s="187" t="s">
        <v>496</v>
      </c>
      <c r="B221" s="187" t="s">
        <v>497</v>
      </c>
      <c r="C221" s="187">
        <v>3629</v>
      </c>
      <c r="D221" s="187">
        <v>0</v>
      </c>
      <c r="E221" s="187">
        <v>492</v>
      </c>
      <c r="F221" s="187">
        <v>871</v>
      </c>
      <c r="G221" s="187">
        <v>356</v>
      </c>
      <c r="H221" s="187">
        <v>5348</v>
      </c>
      <c r="I221" s="187">
        <v>4992</v>
      </c>
      <c r="J221" s="187">
        <v>9</v>
      </c>
      <c r="K221" s="187">
        <v>87.38</v>
      </c>
      <c r="L221" s="187">
        <v>84.38</v>
      </c>
      <c r="M221" s="187">
        <v>8.25</v>
      </c>
      <c r="N221" s="187">
        <v>91.86</v>
      </c>
      <c r="O221" s="187">
        <v>2785</v>
      </c>
      <c r="P221" s="187">
        <v>98.88</v>
      </c>
      <c r="Q221" s="187">
        <v>77.66</v>
      </c>
      <c r="R221" s="187">
        <v>45.36</v>
      </c>
      <c r="S221" s="187">
        <v>141.58000000000001</v>
      </c>
      <c r="T221" s="187">
        <v>1284</v>
      </c>
      <c r="U221" s="187">
        <v>106.87</v>
      </c>
      <c r="V221" s="187">
        <v>751</v>
      </c>
      <c r="W221" s="187">
        <v>184.62</v>
      </c>
      <c r="X221" s="187">
        <v>51</v>
      </c>
      <c r="Y221" s="187">
        <v>0</v>
      </c>
      <c r="Z221" s="187">
        <v>2</v>
      </c>
      <c r="AA221" s="187">
        <v>11</v>
      </c>
      <c r="AB221" s="187">
        <v>0</v>
      </c>
      <c r="AC221" s="187">
        <v>5</v>
      </c>
      <c r="AD221" s="187">
        <v>3574</v>
      </c>
      <c r="AE221" s="187">
        <v>58</v>
      </c>
      <c r="AF221" s="187">
        <v>16</v>
      </c>
      <c r="AG221" s="187">
        <v>74</v>
      </c>
      <c r="AH221" s="187"/>
      <c r="AI221" s="187"/>
      <c r="AJ221" s="187"/>
      <c r="AK221" s="187"/>
      <c r="AL221" s="187"/>
      <c r="AM221" s="187"/>
      <c r="AN221" s="187"/>
      <c r="AO221" s="187"/>
      <c r="AP221" s="187"/>
      <c r="AQ221" s="187"/>
      <c r="AR221" s="187"/>
      <c r="AS221" s="187"/>
      <c r="AT221" s="187"/>
      <c r="AU221" s="187"/>
      <c r="AV221" s="187"/>
      <c r="AW221" s="187"/>
      <c r="AX221" s="187"/>
      <c r="AY221" s="187"/>
      <c r="AZ221" s="187"/>
      <c r="BA221" s="187"/>
      <c r="BB221" s="187"/>
      <c r="BC221" s="187"/>
      <c r="BD221" s="187"/>
      <c r="BE221" s="187"/>
      <c r="BF221" s="187"/>
      <c r="BG221" s="187"/>
      <c r="BH221" s="187"/>
      <c r="BI221" s="187"/>
      <c r="BJ221" s="187"/>
      <c r="BK221" s="187"/>
      <c r="BL221" s="187"/>
      <c r="BM221" s="187"/>
      <c r="BN221" s="187"/>
      <c r="BO221" s="187"/>
      <c r="BP221" s="187"/>
      <c r="BQ221" s="187"/>
      <c r="BR221" s="187"/>
      <c r="BS221" s="187"/>
      <c r="BT221" s="187"/>
      <c r="BU221" s="187"/>
      <c r="BV221" s="187"/>
      <c r="BW221" s="187"/>
      <c r="BX221" s="187"/>
      <c r="BY221" s="187"/>
      <c r="BZ221" s="187"/>
      <c r="CA221" s="187"/>
      <c r="CB221" s="187"/>
      <c r="CC221" s="187"/>
      <c r="CD221" s="187"/>
      <c r="CE221" s="187"/>
      <c r="CF221" s="187"/>
      <c r="CG221" s="187"/>
      <c r="CH221" s="187"/>
      <c r="CI221" s="187"/>
      <c r="CJ221" s="187"/>
      <c r="CK221" s="187"/>
      <c r="CL221" s="187"/>
      <c r="CM221" s="187"/>
      <c r="CN221" s="187"/>
      <c r="CO221" s="187"/>
      <c r="CP221" s="187"/>
      <c r="CQ221" s="187"/>
      <c r="CR221" s="187"/>
      <c r="CS221" s="187"/>
      <c r="CT221" s="187"/>
      <c r="CU221" s="187"/>
      <c r="CV221" s="187"/>
      <c r="CW221" s="187"/>
      <c r="CX221" s="187"/>
      <c r="CY221" s="187"/>
      <c r="CZ221" s="187"/>
      <c r="DA221" s="187"/>
      <c r="DB221" s="187"/>
      <c r="DC221" s="187"/>
      <c r="DD221" s="187"/>
      <c r="DE221" s="187"/>
      <c r="DF221" s="187"/>
      <c r="DG221" s="187"/>
      <c r="DH221" s="187"/>
      <c r="DI221" s="187"/>
      <c r="DJ221" s="187"/>
      <c r="DK221" s="187"/>
      <c r="DL221" s="187"/>
      <c r="DM221" s="187"/>
      <c r="DN221" s="187"/>
      <c r="DO221" s="187"/>
      <c r="DP221" s="187"/>
      <c r="DQ221" s="187"/>
      <c r="DR221" s="187"/>
      <c r="DS221" s="187"/>
      <c r="DT221" s="187"/>
      <c r="DU221" s="187"/>
      <c r="DV221" s="187"/>
      <c r="DW221" s="187"/>
      <c r="DX221" s="187"/>
      <c r="DY221" s="187"/>
      <c r="DZ221" s="187"/>
      <c r="EA221" s="187"/>
      <c r="EB221" s="187"/>
      <c r="EC221" s="187"/>
      <c r="ED221" s="187"/>
      <c r="EE221" s="187"/>
      <c r="EF221" s="187"/>
      <c r="EG221" s="187"/>
      <c r="EH221" s="187"/>
      <c r="EI221" s="187"/>
      <c r="EJ221" s="187"/>
      <c r="EK221" s="187"/>
      <c r="EL221" s="187"/>
      <c r="EM221" s="187"/>
      <c r="EN221" s="187"/>
      <c r="EO221" s="187"/>
      <c r="EP221" s="187"/>
      <c r="EQ221" s="187"/>
      <c r="ER221" s="187"/>
      <c r="ES221" s="187"/>
      <c r="ET221" s="187"/>
      <c r="EU221" s="187"/>
      <c r="EV221" s="187"/>
      <c r="EW221" s="187"/>
      <c r="EX221" s="187"/>
      <c r="EY221" s="187"/>
      <c r="EZ221" s="187"/>
      <c r="FA221" s="187"/>
      <c r="FB221" s="187"/>
      <c r="FC221" s="187"/>
    </row>
    <row r="222" spans="1:159" ht="15" x14ac:dyDescent="0.25">
      <c r="A222" s="187" t="s">
        <v>498</v>
      </c>
      <c r="B222" s="187" t="s">
        <v>499</v>
      </c>
      <c r="C222" s="187">
        <v>2825</v>
      </c>
      <c r="D222" s="187">
        <v>0</v>
      </c>
      <c r="E222" s="187">
        <v>37</v>
      </c>
      <c r="F222" s="187">
        <v>241</v>
      </c>
      <c r="G222" s="187">
        <v>762</v>
      </c>
      <c r="H222" s="187">
        <v>3865</v>
      </c>
      <c r="I222" s="187">
        <v>3103</v>
      </c>
      <c r="J222" s="187">
        <v>15</v>
      </c>
      <c r="K222" s="187">
        <v>106.61</v>
      </c>
      <c r="L222" s="187">
        <v>104.7</v>
      </c>
      <c r="M222" s="187">
        <v>6.84</v>
      </c>
      <c r="N222" s="187">
        <v>111.83</v>
      </c>
      <c r="O222" s="187">
        <v>2379</v>
      </c>
      <c r="P222" s="187">
        <v>106.85</v>
      </c>
      <c r="Q222" s="187">
        <v>96.3</v>
      </c>
      <c r="R222" s="187">
        <v>50.47</v>
      </c>
      <c r="S222" s="187">
        <v>156.44</v>
      </c>
      <c r="T222" s="187">
        <v>231</v>
      </c>
      <c r="U222" s="187">
        <v>141.36000000000001</v>
      </c>
      <c r="V222" s="187">
        <v>415</v>
      </c>
      <c r="W222" s="187">
        <v>0</v>
      </c>
      <c r="X222" s="187">
        <v>0</v>
      </c>
      <c r="Y222" s="187">
        <v>0</v>
      </c>
      <c r="Z222" s="187">
        <v>1</v>
      </c>
      <c r="AA222" s="187">
        <v>2</v>
      </c>
      <c r="AB222" s="187">
        <v>39</v>
      </c>
      <c r="AC222" s="187">
        <v>13</v>
      </c>
      <c r="AD222" s="187">
        <v>2776</v>
      </c>
      <c r="AE222" s="187">
        <v>17</v>
      </c>
      <c r="AF222" s="187">
        <v>44</v>
      </c>
      <c r="AG222" s="187">
        <v>61</v>
      </c>
      <c r="AH222" s="187"/>
      <c r="AI222" s="187"/>
      <c r="AJ222" s="187"/>
      <c r="AK222" s="187"/>
      <c r="AL222" s="187"/>
      <c r="AM222" s="187"/>
      <c r="AN222" s="187"/>
      <c r="AO222" s="187"/>
      <c r="AP222" s="187"/>
      <c r="AQ222" s="187"/>
      <c r="AR222" s="187"/>
      <c r="AS222" s="187"/>
      <c r="AT222" s="187"/>
      <c r="AU222" s="187"/>
      <c r="AV222" s="187"/>
      <c r="AW222" s="187"/>
      <c r="AX222" s="187"/>
      <c r="AY222" s="187"/>
      <c r="AZ222" s="187"/>
      <c r="BA222" s="187"/>
      <c r="BB222" s="187"/>
      <c r="BC222" s="187"/>
      <c r="BD222" s="187"/>
      <c r="BE222" s="187"/>
      <c r="BF222" s="187"/>
      <c r="BG222" s="187"/>
      <c r="BH222" s="187"/>
      <c r="BI222" s="187"/>
      <c r="BJ222" s="187"/>
      <c r="BK222" s="187"/>
      <c r="BL222" s="187"/>
      <c r="BM222" s="187"/>
      <c r="BN222" s="187"/>
      <c r="BO222" s="187"/>
      <c r="BP222" s="187"/>
      <c r="BQ222" s="187"/>
      <c r="BR222" s="187"/>
      <c r="BS222" s="187"/>
      <c r="BT222" s="187"/>
      <c r="BU222" s="187"/>
      <c r="BV222" s="187"/>
      <c r="BW222" s="187"/>
      <c r="BX222" s="187"/>
      <c r="BY222" s="187"/>
      <c r="BZ222" s="187"/>
      <c r="CA222" s="187"/>
      <c r="CB222" s="187"/>
      <c r="CC222" s="187"/>
      <c r="CD222" s="187"/>
      <c r="CE222" s="187"/>
      <c r="CF222" s="187"/>
      <c r="CG222" s="187"/>
      <c r="CH222" s="187"/>
      <c r="CI222" s="187"/>
      <c r="CJ222" s="187"/>
      <c r="CK222" s="187"/>
      <c r="CL222" s="187"/>
      <c r="CM222" s="187"/>
      <c r="CN222" s="187"/>
      <c r="CO222" s="187"/>
      <c r="CP222" s="187"/>
      <c r="CQ222" s="187"/>
      <c r="CR222" s="187"/>
      <c r="CS222" s="187"/>
      <c r="CT222" s="187"/>
      <c r="CU222" s="187"/>
      <c r="CV222" s="187"/>
      <c r="CW222" s="187"/>
      <c r="CX222" s="187"/>
      <c r="CY222" s="187"/>
      <c r="CZ222" s="187"/>
      <c r="DA222" s="187"/>
      <c r="DB222" s="187"/>
      <c r="DC222" s="187"/>
      <c r="DD222" s="187"/>
      <c r="DE222" s="187"/>
      <c r="DF222" s="187"/>
      <c r="DG222" s="187"/>
      <c r="DH222" s="187"/>
      <c r="DI222" s="187"/>
      <c r="DJ222" s="187"/>
      <c r="DK222" s="187"/>
      <c r="DL222" s="187"/>
      <c r="DM222" s="187"/>
      <c r="DN222" s="187"/>
      <c r="DO222" s="187"/>
      <c r="DP222" s="187"/>
      <c r="DQ222" s="187"/>
      <c r="DR222" s="187"/>
      <c r="DS222" s="187"/>
      <c r="DT222" s="187"/>
      <c r="DU222" s="187"/>
      <c r="DV222" s="187"/>
      <c r="DW222" s="187"/>
      <c r="DX222" s="187"/>
      <c r="DY222" s="187"/>
      <c r="DZ222" s="187"/>
      <c r="EA222" s="187"/>
      <c r="EB222" s="187"/>
      <c r="EC222" s="187"/>
      <c r="ED222" s="187"/>
      <c r="EE222" s="187"/>
      <c r="EF222" s="187"/>
      <c r="EG222" s="187"/>
      <c r="EH222" s="187"/>
      <c r="EI222" s="187"/>
      <c r="EJ222" s="187"/>
      <c r="EK222" s="187"/>
      <c r="EL222" s="187"/>
      <c r="EM222" s="187"/>
      <c r="EN222" s="187"/>
      <c r="EO222" s="187"/>
      <c r="EP222" s="187"/>
      <c r="EQ222" s="187"/>
      <c r="ER222" s="187"/>
      <c r="ES222" s="187"/>
      <c r="ET222" s="187"/>
      <c r="EU222" s="187"/>
      <c r="EV222" s="187"/>
      <c r="EW222" s="187"/>
      <c r="EX222" s="187"/>
      <c r="EY222" s="187"/>
      <c r="EZ222" s="187"/>
      <c r="FA222" s="187"/>
      <c r="FB222" s="187"/>
      <c r="FC222" s="187"/>
    </row>
    <row r="223" spans="1:159" ht="15" x14ac:dyDescent="0.25">
      <c r="A223" s="187" t="s">
        <v>500</v>
      </c>
      <c r="B223" s="187" t="s">
        <v>501</v>
      </c>
      <c r="C223" s="187">
        <v>1431</v>
      </c>
      <c r="D223" s="187">
        <v>288</v>
      </c>
      <c r="E223" s="187">
        <v>90</v>
      </c>
      <c r="F223" s="187">
        <v>286</v>
      </c>
      <c r="G223" s="187">
        <v>418</v>
      </c>
      <c r="H223" s="187">
        <v>2513</v>
      </c>
      <c r="I223" s="187">
        <v>2095</v>
      </c>
      <c r="J223" s="187">
        <v>13</v>
      </c>
      <c r="K223" s="187">
        <v>128.41</v>
      </c>
      <c r="L223" s="187">
        <v>125.41</v>
      </c>
      <c r="M223" s="187">
        <v>12.41</v>
      </c>
      <c r="N223" s="187">
        <v>138.85</v>
      </c>
      <c r="O223" s="187">
        <v>860</v>
      </c>
      <c r="P223" s="187">
        <v>121.19</v>
      </c>
      <c r="Q223" s="187">
        <v>111.58</v>
      </c>
      <c r="R223" s="187">
        <v>30.32</v>
      </c>
      <c r="S223" s="187">
        <v>150.72999999999999</v>
      </c>
      <c r="T223" s="187">
        <v>311</v>
      </c>
      <c r="U223" s="187">
        <v>222.8</v>
      </c>
      <c r="V223" s="187">
        <v>367</v>
      </c>
      <c r="W223" s="187">
        <v>169.87</v>
      </c>
      <c r="X223" s="187">
        <v>39</v>
      </c>
      <c r="Y223" s="187">
        <v>48</v>
      </c>
      <c r="Z223" s="187">
        <v>0</v>
      </c>
      <c r="AA223" s="187">
        <v>1</v>
      </c>
      <c r="AB223" s="187">
        <v>19</v>
      </c>
      <c r="AC223" s="187">
        <v>11</v>
      </c>
      <c r="AD223" s="187">
        <v>1371</v>
      </c>
      <c r="AE223" s="187">
        <v>4</v>
      </c>
      <c r="AF223" s="187">
        <v>4</v>
      </c>
      <c r="AG223" s="187">
        <v>8</v>
      </c>
      <c r="AH223" s="187"/>
      <c r="AI223" s="187"/>
      <c r="AJ223" s="187"/>
      <c r="AK223" s="187"/>
      <c r="AL223" s="187"/>
      <c r="AM223" s="187"/>
      <c r="AN223" s="187"/>
      <c r="AO223" s="187"/>
      <c r="AP223" s="187"/>
      <c r="AQ223" s="187"/>
      <c r="AR223" s="187"/>
      <c r="AS223" s="187"/>
      <c r="AT223" s="187"/>
      <c r="AU223" s="187"/>
      <c r="AV223" s="187"/>
      <c r="AW223" s="187"/>
      <c r="AX223" s="187"/>
      <c r="AY223" s="187"/>
      <c r="AZ223" s="187"/>
      <c r="BA223" s="187"/>
      <c r="BB223" s="187"/>
      <c r="BC223" s="187"/>
      <c r="BD223" s="187"/>
      <c r="BE223" s="187"/>
      <c r="BF223" s="187"/>
      <c r="BG223" s="187"/>
      <c r="BH223" s="187"/>
      <c r="BI223" s="187"/>
      <c r="BJ223" s="187"/>
      <c r="BK223" s="187"/>
      <c r="BL223" s="187"/>
      <c r="BM223" s="187"/>
      <c r="BN223" s="187"/>
      <c r="BO223" s="187"/>
      <c r="BP223" s="187"/>
      <c r="BQ223" s="187"/>
      <c r="BR223" s="187"/>
      <c r="BS223" s="187"/>
      <c r="BT223" s="187"/>
      <c r="BU223" s="187"/>
      <c r="BV223" s="187"/>
      <c r="BW223" s="187"/>
      <c r="BX223" s="187"/>
      <c r="BY223" s="187"/>
      <c r="BZ223" s="187"/>
      <c r="CA223" s="187"/>
      <c r="CB223" s="187"/>
      <c r="CC223" s="187"/>
      <c r="CD223" s="187"/>
      <c r="CE223" s="187"/>
      <c r="CF223" s="187"/>
      <c r="CG223" s="187"/>
      <c r="CH223" s="187"/>
      <c r="CI223" s="187"/>
      <c r="CJ223" s="187"/>
      <c r="CK223" s="187"/>
      <c r="CL223" s="187"/>
      <c r="CM223" s="187"/>
      <c r="CN223" s="187"/>
      <c r="CO223" s="187"/>
      <c r="CP223" s="187"/>
      <c r="CQ223" s="187"/>
      <c r="CR223" s="187"/>
      <c r="CS223" s="187"/>
      <c r="CT223" s="187"/>
      <c r="CU223" s="187"/>
      <c r="CV223" s="187"/>
      <c r="CW223" s="187"/>
      <c r="CX223" s="187"/>
      <c r="CY223" s="187"/>
      <c r="CZ223" s="187"/>
      <c r="DA223" s="187"/>
      <c r="DB223" s="187"/>
      <c r="DC223" s="187"/>
      <c r="DD223" s="187"/>
      <c r="DE223" s="187"/>
      <c r="DF223" s="187"/>
      <c r="DG223" s="187"/>
      <c r="DH223" s="187"/>
      <c r="DI223" s="187"/>
      <c r="DJ223" s="187"/>
      <c r="DK223" s="187"/>
      <c r="DL223" s="187"/>
      <c r="DM223" s="187"/>
      <c r="DN223" s="187"/>
      <c r="DO223" s="187"/>
      <c r="DP223" s="187"/>
      <c r="DQ223" s="187"/>
      <c r="DR223" s="187"/>
      <c r="DS223" s="187"/>
      <c r="DT223" s="187"/>
      <c r="DU223" s="187"/>
      <c r="DV223" s="187"/>
      <c r="DW223" s="187"/>
      <c r="DX223" s="187"/>
      <c r="DY223" s="187"/>
      <c r="DZ223" s="187"/>
      <c r="EA223" s="187"/>
      <c r="EB223" s="187"/>
      <c r="EC223" s="187"/>
      <c r="ED223" s="187"/>
      <c r="EE223" s="187"/>
      <c r="EF223" s="187"/>
      <c r="EG223" s="187"/>
      <c r="EH223" s="187"/>
      <c r="EI223" s="187"/>
      <c r="EJ223" s="187"/>
      <c r="EK223" s="187"/>
      <c r="EL223" s="187"/>
      <c r="EM223" s="187"/>
      <c r="EN223" s="187"/>
      <c r="EO223" s="187"/>
      <c r="EP223" s="187"/>
      <c r="EQ223" s="187"/>
      <c r="ER223" s="187"/>
      <c r="ES223" s="187"/>
      <c r="ET223" s="187"/>
      <c r="EU223" s="187"/>
      <c r="EV223" s="187"/>
      <c r="EW223" s="187"/>
      <c r="EX223" s="187"/>
      <c r="EY223" s="187"/>
      <c r="EZ223" s="187"/>
      <c r="FA223" s="187"/>
      <c r="FB223" s="187"/>
      <c r="FC223" s="187"/>
    </row>
    <row r="224" spans="1:159" ht="15" x14ac:dyDescent="0.25">
      <c r="A224" s="187" t="s">
        <v>502</v>
      </c>
      <c r="B224" s="187" t="s">
        <v>503</v>
      </c>
      <c r="C224" s="187">
        <v>3300</v>
      </c>
      <c r="D224" s="187">
        <v>0</v>
      </c>
      <c r="E224" s="187">
        <v>115</v>
      </c>
      <c r="F224" s="187">
        <v>1387</v>
      </c>
      <c r="G224" s="187">
        <v>684</v>
      </c>
      <c r="H224" s="187">
        <v>5486</v>
      </c>
      <c r="I224" s="187">
        <v>4802</v>
      </c>
      <c r="J224" s="187">
        <v>5</v>
      </c>
      <c r="K224" s="187">
        <v>102.91</v>
      </c>
      <c r="L224" s="187">
        <v>102.92</v>
      </c>
      <c r="M224" s="187">
        <v>5.0599999999999996</v>
      </c>
      <c r="N224" s="187">
        <v>105.04</v>
      </c>
      <c r="O224" s="187">
        <v>2764</v>
      </c>
      <c r="P224" s="187">
        <v>101.13</v>
      </c>
      <c r="Q224" s="187">
        <v>90.29</v>
      </c>
      <c r="R224" s="187">
        <v>22.59</v>
      </c>
      <c r="S224" s="187">
        <v>123.33</v>
      </c>
      <c r="T224" s="187">
        <v>1473</v>
      </c>
      <c r="U224" s="187">
        <v>126.54</v>
      </c>
      <c r="V224" s="187">
        <v>515</v>
      </c>
      <c r="W224" s="187">
        <v>130.38</v>
      </c>
      <c r="X224" s="187">
        <v>9</v>
      </c>
      <c r="Y224" s="187">
        <v>22</v>
      </c>
      <c r="Z224" s="187">
        <v>3</v>
      </c>
      <c r="AA224" s="187">
        <v>3</v>
      </c>
      <c r="AB224" s="187">
        <v>120</v>
      </c>
      <c r="AC224" s="187">
        <v>24</v>
      </c>
      <c r="AD224" s="187">
        <v>3278</v>
      </c>
      <c r="AE224" s="187">
        <v>42</v>
      </c>
      <c r="AF224" s="187">
        <v>8</v>
      </c>
      <c r="AG224" s="187">
        <v>50</v>
      </c>
      <c r="AH224" s="187"/>
      <c r="AI224" s="187"/>
      <c r="AJ224" s="187"/>
      <c r="AK224" s="187"/>
      <c r="AL224" s="187"/>
      <c r="AM224" s="187"/>
      <c r="AN224" s="187"/>
      <c r="AO224" s="187"/>
      <c r="AP224" s="187"/>
      <c r="AQ224" s="187"/>
      <c r="AR224" s="187"/>
      <c r="AS224" s="187"/>
      <c r="AT224" s="187"/>
      <c r="AU224" s="187"/>
      <c r="AV224" s="187"/>
      <c r="AW224" s="187"/>
      <c r="AX224" s="187"/>
      <c r="AY224" s="187"/>
      <c r="AZ224" s="187"/>
      <c r="BA224" s="187"/>
      <c r="BB224" s="187"/>
      <c r="BC224" s="187"/>
      <c r="BD224" s="187"/>
      <c r="BE224" s="187"/>
      <c r="BF224" s="187"/>
      <c r="BG224" s="187"/>
      <c r="BH224" s="187"/>
      <c r="BI224" s="187"/>
      <c r="BJ224" s="187"/>
      <c r="BK224" s="187"/>
      <c r="BL224" s="187"/>
      <c r="BM224" s="187"/>
      <c r="BN224" s="187"/>
      <c r="BO224" s="187"/>
      <c r="BP224" s="187"/>
      <c r="BQ224" s="187"/>
      <c r="BR224" s="187"/>
      <c r="BS224" s="187"/>
      <c r="BT224" s="187"/>
      <c r="BU224" s="187"/>
      <c r="BV224" s="187"/>
      <c r="BW224" s="187"/>
      <c r="BX224" s="187"/>
      <c r="BY224" s="187"/>
      <c r="BZ224" s="187"/>
      <c r="CA224" s="187"/>
      <c r="CB224" s="187"/>
      <c r="CC224" s="187"/>
      <c r="CD224" s="187"/>
      <c r="CE224" s="187"/>
      <c r="CF224" s="187"/>
      <c r="CG224" s="187"/>
      <c r="CH224" s="187"/>
      <c r="CI224" s="187"/>
      <c r="CJ224" s="187"/>
      <c r="CK224" s="187"/>
      <c r="CL224" s="187"/>
      <c r="CM224" s="187"/>
      <c r="CN224" s="187"/>
      <c r="CO224" s="187"/>
      <c r="CP224" s="187"/>
      <c r="CQ224" s="187"/>
      <c r="CR224" s="187"/>
      <c r="CS224" s="187"/>
      <c r="CT224" s="187"/>
      <c r="CU224" s="187"/>
      <c r="CV224" s="187"/>
      <c r="CW224" s="187"/>
      <c r="CX224" s="187"/>
      <c r="CY224" s="187"/>
      <c r="CZ224" s="187"/>
      <c r="DA224" s="187"/>
      <c r="DB224" s="187"/>
      <c r="DC224" s="187"/>
      <c r="DD224" s="187"/>
      <c r="DE224" s="187"/>
      <c r="DF224" s="187"/>
      <c r="DG224" s="187"/>
      <c r="DH224" s="187"/>
      <c r="DI224" s="187"/>
      <c r="DJ224" s="187"/>
      <c r="DK224" s="187"/>
      <c r="DL224" s="187"/>
      <c r="DM224" s="187"/>
      <c r="DN224" s="187"/>
      <c r="DO224" s="187"/>
      <c r="DP224" s="187"/>
      <c r="DQ224" s="187"/>
      <c r="DR224" s="187"/>
      <c r="DS224" s="187"/>
      <c r="DT224" s="187"/>
      <c r="DU224" s="187"/>
      <c r="DV224" s="187"/>
      <c r="DW224" s="187"/>
      <c r="DX224" s="187"/>
      <c r="DY224" s="187"/>
      <c r="DZ224" s="187"/>
      <c r="EA224" s="187"/>
      <c r="EB224" s="187"/>
      <c r="EC224" s="187"/>
      <c r="ED224" s="187"/>
      <c r="EE224" s="187"/>
      <c r="EF224" s="187"/>
      <c r="EG224" s="187"/>
      <c r="EH224" s="187"/>
      <c r="EI224" s="187"/>
      <c r="EJ224" s="187"/>
      <c r="EK224" s="187"/>
      <c r="EL224" s="187"/>
      <c r="EM224" s="187"/>
      <c r="EN224" s="187"/>
      <c r="EO224" s="187"/>
      <c r="EP224" s="187"/>
      <c r="EQ224" s="187"/>
      <c r="ER224" s="187"/>
      <c r="ES224" s="187"/>
      <c r="ET224" s="187"/>
      <c r="EU224" s="187"/>
      <c r="EV224" s="187"/>
      <c r="EW224" s="187"/>
      <c r="EX224" s="187"/>
      <c r="EY224" s="187"/>
      <c r="EZ224" s="187"/>
      <c r="FA224" s="187"/>
      <c r="FB224" s="187"/>
      <c r="FC224" s="187"/>
    </row>
    <row r="225" spans="1:159" ht="15" x14ac:dyDescent="0.25">
      <c r="A225" s="187" t="s">
        <v>504</v>
      </c>
      <c r="B225" s="187" t="s">
        <v>505</v>
      </c>
      <c r="C225" s="187">
        <v>5846</v>
      </c>
      <c r="D225" s="187">
        <v>5</v>
      </c>
      <c r="E225" s="187">
        <v>235</v>
      </c>
      <c r="F225" s="187">
        <v>648</v>
      </c>
      <c r="G225" s="187">
        <v>643</v>
      </c>
      <c r="H225" s="187">
        <v>7377</v>
      </c>
      <c r="I225" s="187">
        <v>6734</v>
      </c>
      <c r="J225" s="187">
        <v>34</v>
      </c>
      <c r="K225" s="187">
        <v>118.42</v>
      </c>
      <c r="L225" s="187">
        <v>114.05</v>
      </c>
      <c r="M225" s="187">
        <v>10.41</v>
      </c>
      <c r="N225" s="187">
        <v>124.14</v>
      </c>
      <c r="O225" s="187">
        <v>4487</v>
      </c>
      <c r="P225" s="187">
        <v>101.99</v>
      </c>
      <c r="Q225" s="187">
        <v>93.58</v>
      </c>
      <c r="R225" s="187">
        <v>52.51</v>
      </c>
      <c r="S225" s="187">
        <v>154.25</v>
      </c>
      <c r="T225" s="187">
        <v>836</v>
      </c>
      <c r="U225" s="187">
        <v>170.53</v>
      </c>
      <c r="V225" s="187">
        <v>1189</v>
      </c>
      <c r="W225" s="187">
        <v>133.16</v>
      </c>
      <c r="X225" s="187">
        <v>38</v>
      </c>
      <c r="Y225" s="187">
        <v>163</v>
      </c>
      <c r="Z225" s="187">
        <v>3</v>
      </c>
      <c r="AA225" s="187">
        <v>1</v>
      </c>
      <c r="AB225" s="187">
        <v>65</v>
      </c>
      <c r="AC225" s="187">
        <v>18</v>
      </c>
      <c r="AD225" s="187">
        <v>5485</v>
      </c>
      <c r="AE225" s="187">
        <v>42</v>
      </c>
      <c r="AF225" s="187">
        <v>53</v>
      </c>
      <c r="AG225" s="187">
        <v>95</v>
      </c>
      <c r="AH225" s="187"/>
      <c r="AI225" s="187"/>
      <c r="AJ225" s="187"/>
      <c r="AK225" s="187"/>
      <c r="AL225" s="187"/>
      <c r="AM225" s="187"/>
      <c r="AN225" s="187"/>
      <c r="AO225" s="187"/>
      <c r="AP225" s="187"/>
      <c r="AQ225" s="187"/>
      <c r="AR225" s="187"/>
      <c r="AS225" s="187"/>
      <c r="AT225" s="187"/>
      <c r="AU225" s="187"/>
      <c r="AV225" s="187"/>
      <c r="AW225" s="187"/>
      <c r="AX225" s="187"/>
      <c r="AY225" s="187"/>
      <c r="AZ225" s="187"/>
      <c r="BA225" s="187"/>
      <c r="BB225" s="187"/>
      <c r="BC225" s="187"/>
      <c r="BD225" s="187"/>
      <c r="BE225" s="187"/>
      <c r="BF225" s="187"/>
      <c r="BG225" s="187"/>
      <c r="BH225" s="187"/>
      <c r="BI225" s="187"/>
      <c r="BJ225" s="187"/>
      <c r="BK225" s="187"/>
      <c r="BL225" s="187"/>
      <c r="BM225" s="187"/>
      <c r="BN225" s="187"/>
      <c r="BO225" s="187"/>
      <c r="BP225" s="187"/>
      <c r="BQ225" s="187"/>
      <c r="BR225" s="187"/>
      <c r="BS225" s="187"/>
      <c r="BT225" s="187"/>
      <c r="BU225" s="187"/>
      <c r="BV225" s="187"/>
      <c r="BW225" s="187"/>
      <c r="BX225" s="187"/>
      <c r="BY225" s="187"/>
      <c r="BZ225" s="187"/>
      <c r="CA225" s="187"/>
      <c r="CB225" s="187"/>
      <c r="CC225" s="187"/>
      <c r="CD225" s="187"/>
      <c r="CE225" s="187"/>
      <c r="CF225" s="187"/>
      <c r="CG225" s="187"/>
      <c r="CH225" s="187"/>
      <c r="CI225" s="187"/>
      <c r="CJ225" s="187"/>
      <c r="CK225" s="187"/>
      <c r="CL225" s="187"/>
      <c r="CM225" s="187"/>
      <c r="CN225" s="187"/>
      <c r="CO225" s="187"/>
      <c r="CP225" s="187"/>
      <c r="CQ225" s="187"/>
      <c r="CR225" s="187"/>
      <c r="CS225" s="187"/>
      <c r="CT225" s="187"/>
      <c r="CU225" s="187"/>
      <c r="CV225" s="187"/>
      <c r="CW225" s="187"/>
      <c r="CX225" s="187"/>
      <c r="CY225" s="187"/>
      <c r="CZ225" s="187"/>
      <c r="DA225" s="187"/>
      <c r="DB225" s="187"/>
      <c r="DC225" s="187"/>
      <c r="DD225" s="187"/>
      <c r="DE225" s="187"/>
      <c r="DF225" s="187"/>
      <c r="DG225" s="187"/>
      <c r="DH225" s="187"/>
      <c r="DI225" s="187"/>
      <c r="DJ225" s="187"/>
      <c r="DK225" s="187"/>
      <c r="DL225" s="187"/>
      <c r="DM225" s="187"/>
      <c r="DN225" s="187"/>
      <c r="DO225" s="187"/>
      <c r="DP225" s="187"/>
      <c r="DQ225" s="187"/>
      <c r="DR225" s="187"/>
      <c r="DS225" s="187"/>
      <c r="DT225" s="187"/>
      <c r="DU225" s="187"/>
      <c r="DV225" s="187"/>
      <c r="DW225" s="187"/>
      <c r="DX225" s="187"/>
      <c r="DY225" s="187"/>
      <c r="DZ225" s="187"/>
      <c r="EA225" s="187"/>
      <c r="EB225" s="187"/>
      <c r="EC225" s="187"/>
      <c r="ED225" s="187"/>
      <c r="EE225" s="187"/>
      <c r="EF225" s="187"/>
      <c r="EG225" s="187"/>
      <c r="EH225" s="187"/>
      <c r="EI225" s="187"/>
      <c r="EJ225" s="187"/>
      <c r="EK225" s="187"/>
      <c r="EL225" s="187"/>
      <c r="EM225" s="187"/>
      <c r="EN225" s="187"/>
      <c r="EO225" s="187"/>
      <c r="EP225" s="187"/>
      <c r="EQ225" s="187"/>
      <c r="ER225" s="187"/>
      <c r="ES225" s="187"/>
      <c r="ET225" s="187"/>
      <c r="EU225" s="187"/>
      <c r="EV225" s="187"/>
      <c r="EW225" s="187"/>
      <c r="EX225" s="187"/>
      <c r="EY225" s="187"/>
      <c r="EZ225" s="187"/>
      <c r="FA225" s="187"/>
      <c r="FB225" s="187"/>
      <c r="FC225" s="187"/>
    </row>
    <row r="226" spans="1:159" ht="15" x14ac:dyDescent="0.25">
      <c r="A226" s="187" t="s">
        <v>506</v>
      </c>
      <c r="B226" s="187" t="s">
        <v>507</v>
      </c>
      <c r="C226" s="187">
        <v>1525</v>
      </c>
      <c r="D226" s="187">
        <v>0</v>
      </c>
      <c r="E226" s="187">
        <v>40</v>
      </c>
      <c r="F226" s="187">
        <v>267</v>
      </c>
      <c r="G226" s="187">
        <v>207</v>
      </c>
      <c r="H226" s="187">
        <v>2039</v>
      </c>
      <c r="I226" s="187">
        <v>1832</v>
      </c>
      <c r="J226" s="187">
        <v>5</v>
      </c>
      <c r="K226" s="187">
        <v>96.73</v>
      </c>
      <c r="L226" s="187">
        <v>99.64</v>
      </c>
      <c r="M226" s="187">
        <v>7.43</v>
      </c>
      <c r="N226" s="187">
        <v>99.96</v>
      </c>
      <c r="O226" s="187">
        <v>1261</v>
      </c>
      <c r="P226" s="187">
        <v>94.99</v>
      </c>
      <c r="Q226" s="187">
        <v>85.32</v>
      </c>
      <c r="R226" s="187">
        <v>41</v>
      </c>
      <c r="S226" s="187">
        <v>130.77000000000001</v>
      </c>
      <c r="T226" s="187">
        <v>204</v>
      </c>
      <c r="U226" s="187">
        <v>122.28</v>
      </c>
      <c r="V226" s="187">
        <v>233</v>
      </c>
      <c r="W226" s="187">
        <v>0</v>
      </c>
      <c r="X226" s="187">
        <v>0</v>
      </c>
      <c r="Y226" s="187">
        <v>0</v>
      </c>
      <c r="Z226" s="187">
        <v>4</v>
      </c>
      <c r="AA226" s="187">
        <v>0</v>
      </c>
      <c r="AB226" s="187">
        <v>1</v>
      </c>
      <c r="AC226" s="187">
        <v>4</v>
      </c>
      <c r="AD226" s="187">
        <v>1512</v>
      </c>
      <c r="AE226" s="187">
        <v>3</v>
      </c>
      <c r="AF226" s="187">
        <v>34</v>
      </c>
      <c r="AG226" s="187">
        <v>37</v>
      </c>
      <c r="AH226" s="187"/>
      <c r="AI226" s="187"/>
      <c r="AJ226" s="187"/>
      <c r="AK226" s="187"/>
      <c r="AL226" s="187"/>
      <c r="AM226" s="187"/>
      <c r="AN226" s="187"/>
      <c r="AO226" s="187"/>
      <c r="AP226" s="187"/>
      <c r="AQ226" s="187"/>
      <c r="AR226" s="187"/>
      <c r="AS226" s="187"/>
      <c r="AT226" s="187"/>
      <c r="AU226" s="187"/>
      <c r="AV226" s="187"/>
      <c r="AW226" s="187"/>
      <c r="AX226" s="187"/>
      <c r="AY226" s="187"/>
      <c r="AZ226" s="187"/>
      <c r="BA226" s="187"/>
      <c r="BB226" s="187"/>
      <c r="BC226" s="187"/>
      <c r="BD226" s="187"/>
      <c r="BE226" s="187"/>
      <c r="BF226" s="187"/>
      <c r="BG226" s="187"/>
      <c r="BH226" s="187"/>
      <c r="BI226" s="187"/>
      <c r="BJ226" s="187"/>
      <c r="BK226" s="187"/>
      <c r="BL226" s="187"/>
      <c r="BM226" s="187"/>
      <c r="BN226" s="187"/>
      <c r="BO226" s="187"/>
      <c r="BP226" s="187"/>
      <c r="BQ226" s="187"/>
      <c r="BR226" s="187"/>
      <c r="BS226" s="187"/>
      <c r="BT226" s="187"/>
      <c r="BU226" s="187"/>
      <c r="BV226" s="187"/>
      <c r="BW226" s="187"/>
      <c r="BX226" s="187"/>
      <c r="BY226" s="187"/>
      <c r="BZ226" s="187"/>
      <c r="CA226" s="187"/>
      <c r="CB226" s="187"/>
      <c r="CC226" s="187"/>
      <c r="CD226" s="187"/>
      <c r="CE226" s="187"/>
      <c r="CF226" s="187"/>
      <c r="CG226" s="187"/>
      <c r="CH226" s="187"/>
      <c r="CI226" s="187"/>
      <c r="CJ226" s="187"/>
      <c r="CK226" s="187"/>
      <c r="CL226" s="187"/>
      <c r="CM226" s="187"/>
      <c r="CN226" s="187"/>
      <c r="CO226" s="187"/>
      <c r="CP226" s="187"/>
      <c r="CQ226" s="187"/>
      <c r="CR226" s="187"/>
      <c r="CS226" s="187"/>
      <c r="CT226" s="187"/>
      <c r="CU226" s="187"/>
      <c r="CV226" s="187"/>
      <c r="CW226" s="187"/>
      <c r="CX226" s="187"/>
      <c r="CY226" s="187"/>
      <c r="CZ226" s="187"/>
      <c r="DA226" s="187"/>
      <c r="DB226" s="187"/>
      <c r="DC226" s="187"/>
      <c r="DD226" s="187"/>
      <c r="DE226" s="187"/>
      <c r="DF226" s="187"/>
      <c r="DG226" s="187"/>
      <c r="DH226" s="187"/>
      <c r="DI226" s="187"/>
      <c r="DJ226" s="187"/>
      <c r="DK226" s="187"/>
      <c r="DL226" s="187"/>
      <c r="DM226" s="187"/>
      <c r="DN226" s="187"/>
      <c r="DO226" s="187"/>
      <c r="DP226" s="187"/>
      <c r="DQ226" s="187"/>
      <c r="DR226" s="187"/>
      <c r="DS226" s="187"/>
      <c r="DT226" s="187"/>
      <c r="DU226" s="187"/>
      <c r="DV226" s="187"/>
      <c r="DW226" s="187"/>
      <c r="DX226" s="187"/>
      <c r="DY226" s="187"/>
      <c r="DZ226" s="187"/>
      <c r="EA226" s="187"/>
      <c r="EB226" s="187"/>
      <c r="EC226" s="187"/>
      <c r="ED226" s="187"/>
      <c r="EE226" s="187"/>
      <c r="EF226" s="187"/>
      <c r="EG226" s="187"/>
      <c r="EH226" s="187"/>
      <c r="EI226" s="187"/>
      <c r="EJ226" s="187"/>
      <c r="EK226" s="187"/>
      <c r="EL226" s="187"/>
      <c r="EM226" s="187"/>
      <c r="EN226" s="187"/>
      <c r="EO226" s="187"/>
      <c r="EP226" s="187"/>
      <c r="EQ226" s="187"/>
      <c r="ER226" s="187"/>
      <c r="ES226" s="187"/>
      <c r="ET226" s="187"/>
      <c r="EU226" s="187"/>
      <c r="EV226" s="187"/>
      <c r="EW226" s="187"/>
      <c r="EX226" s="187"/>
      <c r="EY226" s="187"/>
      <c r="EZ226" s="187"/>
      <c r="FA226" s="187"/>
      <c r="FB226" s="187"/>
      <c r="FC226" s="187"/>
    </row>
    <row r="227" spans="1:159" ht="15" x14ac:dyDescent="0.25">
      <c r="A227" s="187" t="s">
        <v>508</v>
      </c>
      <c r="B227" s="187" t="s">
        <v>509</v>
      </c>
      <c r="C227" s="187">
        <v>3286</v>
      </c>
      <c r="D227" s="187">
        <v>7</v>
      </c>
      <c r="E227" s="187">
        <v>30</v>
      </c>
      <c r="F227" s="187">
        <v>145</v>
      </c>
      <c r="G227" s="187">
        <v>185</v>
      </c>
      <c r="H227" s="187">
        <v>3653</v>
      </c>
      <c r="I227" s="187">
        <v>3468</v>
      </c>
      <c r="J227" s="187">
        <v>2</v>
      </c>
      <c r="K227" s="187">
        <v>95.96</v>
      </c>
      <c r="L227" s="187">
        <v>92.07</v>
      </c>
      <c r="M227" s="187">
        <v>4.25</v>
      </c>
      <c r="N227" s="187">
        <v>97.68</v>
      </c>
      <c r="O227" s="187">
        <v>2035</v>
      </c>
      <c r="P227" s="187">
        <v>87.81</v>
      </c>
      <c r="Q227" s="187">
        <v>83.89</v>
      </c>
      <c r="R227" s="187">
        <v>51.64</v>
      </c>
      <c r="S227" s="187">
        <v>138.81</v>
      </c>
      <c r="T227" s="187">
        <v>161</v>
      </c>
      <c r="U227" s="187">
        <v>108.7</v>
      </c>
      <c r="V227" s="187">
        <v>1184</v>
      </c>
      <c r="W227" s="187">
        <v>0</v>
      </c>
      <c r="X227" s="187">
        <v>0</v>
      </c>
      <c r="Y227" s="187">
        <v>0</v>
      </c>
      <c r="Z227" s="187">
        <v>2</v>
      </c>
      <c r="AA227" s="187">
        <v>3</v>
      </c>
      <c r="AB227" s="187">
        <v>39</v>
      </c>
      <c r="AC227" s="187">
        <v>2</v>
      </c>
      <c r="AD227" s="187">
        <v>3274</v>
      </c>
      <c r="AE227" s="187">
        <v>37</v>
      </c>
      <c r="AF227" s="187">
        <v>13</v>
      </c>
      <c r="AG227" s="187">
        <v>50</v>
      </c>
      <c r="AH227" s="187"/>
      <c r="AI227" s="187"/>
      <c r="AJ227" s="187"/>
      <c r="AK227" s="187"/>
      <c r="AL227" s="187"/>
      <c r="AM227" s="187"/>
      <c r="AN227" s="187"/>
      <c r="AO227" s="187"/>
      <c r="AP227" s="187"/>
      <c r="AQ227" s="187"/>
      <c r="AR227" s="187"/>
      <c r="AS227" s="187"/>
      <c r="AT227" s="187"/>
      <c r="AU227" s="187"/>
      <c r="AV227" s="187"/>
      <c r="AW227" s="187"/>
      <c r="AX227" s="187"/>
      <c r="AY227" s="187"/>
      <c r="AZ227" s="187"/>
      <c r="BA227" s="187"/>
      <c r="BB227" s="187"/>
      <c r="BC227" s="187"/>
      <c r="BD227" s="187"/>
      <c r="BE227" s="187"/>
      <c r="BF227" s="187"/>
      <c r="BG227" s="187"/>
      <c r="BH227" s="187"/>
      <c r="BI227" s="187"/>
      <c r="BJ227" s="187"/>
      <c r="BK227" s="187"/>
      <c r="BL227" s="187"/>
      <c r="BM227" s="187"/>
      <c r="BN227" s="187"/>
      <c r="BO227" s="187"/>
      <c r="BP227" s="187"/>
      <c r="BQ227" s="187"/>
      <c r="BR227" s="187"/>
      <c r="BS227" s="187"/>
      <c r="BT227" s="187"/>
      <c r="BU227" s="187"/>
      <c r="BV227" s="187"/>
      <c r="BW227" s="187"/>
      <c r="BX227" s="187"/>
      <c r="BY227" s="187"/>
      <c r="BZ227" s="187"/>
      <c r="CA227" s="187"/>
      <c r="CB227" s="187"/>
      <c r="CC227" s="187"/>
      <c r="CD227" s="187"/>
      <c r="CE227" s="187"/>
      <c r="CF227" s="187"/>
      <c r="CG227" s="187"/>
      <c r="CH227" s="187"/>
      <c r="CI227" s="187"/>
      <c r="CJ227" s="187"/>
      <c r="CK227" s="187"/>
      <c r="CL227" s="187"/>
      <c r="CM227" s="187"/>
      <c r="CN227" s="187"/>
      <c r="CO227" s="187"/>
      <c r="CP227" s="187"/>
      <c r="CQ227" s="187"/>
      <c r="CR227" s="187"/>
      <c r="CS227" s="187"/>
      <c r="CT227" s="187"/>
      <c r="CU227" s="187"/>
      <c r="CV227" s="187"/>
      <c r="CW227" s="187"/>
      <c r="CX227" s="187"/>
      <c r="CY227" s="187"/>
      <c r="CZ227" s="187"/>
      <c r="DA227" s="187"/>
      <c r="DB227" s="187"/>
      <c r="DC227" s="187"/>
      <c r="DD227" s="187"/>
      <c r="DE227" s="187"/>
      <c r="DF227" s="187"/>
      <c r="DG227" s="187"/>
      <c r="DH227" s="187"/>
      <c r="DI227" s="187"/>
      <c r="DJ227" s="187"/>
      <c r="DK227" s="187"/>
      <c r="DL227" s="187"/>
      <c r="DM227" s="187"/>
      <c r="DN227" s="187"/>
      <c r="DO227" s="187"/>
      <c r="DP227" s="187"/>
      <c r="DQ227" s="187"/>
      <c r="DR227" s="187"/>
      <c r="DS227" s="187"/>
      <c r="DT227" s="187"/>
      <c r="DU227" s="187"/>
      <c r="DV227" s="187"/>
      <c r="DW227" s="187"/>
      <c r="DX227" s="187"/>
      <c r="DY227" s="187"/>
      <c r="DZ227" s="187"/>
      <c r="EA227" s="187"/>
      <c r="EB227" s="187"/>
      <c r="EC227" s="187"/>
      <c r="ED227" s="187"/>
      <c r="EE227" s="187"/>
      <c r="EF227" s="187"/>
      <c r="EG227" s="187"/>
      <c r="EH227" s="187"/>
      <c r="EI227" s="187"/>
      <c r="EJ227" s="187"/>
      <c r="EK227" s="187"/>
      <c r="EL227" s="187"/>
      <c r="EM227" s="187"/>
      <c r="EN227" s="187"/>
      <c r="EO227" s="187"/>
      <c r="EP227" s="187"/>
      <c r="EQ227" s="187"/>
      <c r="ER227" s="187"/>
      <c r="ES227" s="187"/>
      <c r="ET227" s="187"/>
      <c r="EU227" s="187"/>
      <c r="EV227" s="187"/>
      <c r="EW227" s="187"/>
      <c r="EX227" s="187"/>
      <c r="EY227" s="187"/>
      <c r="EZ227" s="187"/>
      <c r="FA227" s="187"/>
      <c r="FB227" s="187"/>
      <c r="FC227" s="187"/>
    </row>
    <row r="228" spans="1:159" ht="15" x14ac:dyDescent="0.25">
      <c r="A228" s="187" t="s">
        <v>510</v>
      </c>
      <c r="B228" s="187" t="s">
        <v>511</v>
      </c>
      <c r="C228" s="187">
        <v>26633</v>
      </c>
      <c r="D228" s="187">
        <v>14</v>
      </c>
      <c r="E228" s="187">
        <v>1777</v>
      </c>
      <c r="F228" s="187">
        <v>1343</v>
      </c>
      <c r="G228" s="187">
        <v>503</v>
      </c>
      <c r="H228" s="187">
        <v>30270</v>
      </c>
      <c r="I228" s="187">
        <v>29767</v>
      </c>
      <c r="J228" s="187">
        <v>41</v>
      </c>
      <c r="K228" s="187">
        <v>83.55</v>
      </c>
      <c r="L228" s="187">
        <v>83.46</v>
      </c>
      <c r="M228" s="187">
        <v>9.52</v>
      </c>
      <c r="N228" s="187">
        <v>88</v>
      </c>
      <c r="O228" s="187">
        <v>23956</v>
      </c>
      <c r="P228" s="187">
        <v>86.41</v>
      </c>
      <c r="Q228" s="187">
        <v>79.010000000000005</v>
      </c>
      <c r="R228" s="187">
        <v>39.369999999999997</v>
      </c>
      <c r="S228" s="187">
        <v>123.96</v>
      </c>
      <c r="T228" s="187">
        <v>2710</v>
      </c>
      <c r="U228" s="187">
        <v>118.16</v>
      </c>
      <c r="V228" s="187">
        <v>2362</v>
      </c>
      <c r="W228" s="187">
        <v>206.16</v>
      </c>
      <c r="X228" s="187">
        <v>101</v>
      </c>
      <c r="Y228" s="187">
        <v>0</v>
      </c>
      <c r="Z228" s="187">
        <v>140</v>
      </c>
      <c r="AA228" s="187">
        <v>13</v>
      </c>
      <c r="AB228" s="187">
        <v>14</v>
      </c>
      <c r="AC228" s="187">
        <v>17</v>
      </c>
      <c r="AD228" s="187">
        <v>26532</v>
      </c>
      <c r="AE228" s="187">
        <v>87</v>
      </c>
      <c r="AF228" s="187">
        <v>145</v>
      </c>
      <c r="AG228" s="187">
        <v>232</v>
      </c>
      <c r="AH228" s="187"/>
      <c r="AI228" s="187"/>
      <c r="AJ228" s="187"/>
      <c r="AK228" s="187"/>
      <c r="AL228" s="187"/>
      <c r="AM228" s="187"/>
      <c r="AN228" s="187"/>
      <c r="AO228" s="187"/>
      <c r="AP228" s="187"/>
      <c r="AQ228" s="187"/>
      <c r="AR228" s="187"/>
      <c r="AS228" s="187"/>
      <c r="AT228" s="187"/>
      <c r="AU228" s="187"/>
      <c r="AV228" s="187"/>
      <c r="AW228" s="187"/>
      <c r="AX228" s="187"/>
      <c r="AY228" s="187"/>
      <c r="AZ228" s="187"/>
      <c r="BA228" s="187"/>
      <c r="BB228" s="187"/>
      <c r="BC228" s="187"/>
      <c r="BD228" s="187"/>
      <c r="BE228" s="187"/>
      <c r="BF228" s="187"/>
      <c r="BG228" s="187"/>
      <c r="BH228" s="187"/>
      <c r="BI228" s="187"/>
      <c r="BJ228" s="187"/>
      <c r="BK228" s="187"/>
      <c r="BL228" s="187"/>
      <c r="BM228" s="187"/>
      <c r="BN228" s="187"/>
      <c r="BO228" s="187"/>
      <c r="BP228" s="187"/>
      <c r="BQ228" s="187"/>
      <c r="BR228" s="187"/>
      <c r="BS228" s="187"/>
      <c r="BT228" s="187"/>
      <c r="BU228" s="187"/>
      <c r="BV228" s="187"/>
      <c r="BW228" s="187"/>
      <c r="BX228" s="187"/>
      <c r="BY228" s="187"/>
      <c r="BZ228" s="187"/>
      <c r="CA228" s="187"/>
      <c r="CB228" s="187"/>
      <c r="CC228" s="187"/>
      <c r="CD228" s="187"/>
      <c r="CE228" s="187"/>
      <c r="CF228" s="187"/>
      <c r="CG228" s="187"/>
      <c r="CH228" s="187"/>
      <c r="CI228" s="187"/>
      <c r="CJ228" s="187"/>
      <c r="CK228" s="187"/>
      <c r="CL228" s="187"/>
      <c r="CM228" s="187"/>
      <c r="CN228" s="187"/>
      <c r="CO228" s="187"/>
      <c r="CP228" s="187"/>
      <c r="CQ228" s="187"/>
      <c r="CR228" s="187"/>
      <c r="CS228" s="187"/>
      <c r="CT228" s="187"/>
      <c r="CU228" s="187"/>
      <c r="CV228" s="187"/>
      <c r="CW228" s="187"/>
      <c r="CX228" s="187"/>
      <c r="CY228" s="187"/>
      <c r="CZ228" s="187"/>
      <c r="DA228" s="187"/>
      <c r="DB228" s="187"/>
      <c r="DC228" s="187"/>
      <c r="DD228" s="187"/>
      <c r="DE228" s="187"/>
      <c r="DF228" s="187"/>
      <c r="DG228" s="187"/>
      <c r="DH228" s="187"/>
      <c r="DI228" s="187"/>
      <c r="DJ228" s="187"/>
      <c r="DK228" s="187"/>
      <c r="DL228" s="187"/>
      <c r="DM228" s="187"/>
      <c r="DN228" s="187"/>
      <c r="DO228" s="187"/>
      <c r="DP228" s="187"/>
      <c r="DQ228" s="187"/>
      <c r="DR228" s="187"/>
      <c r="DS228" s="187"/>
      <c r="DT228" s="187"/>
      <c r="DU228" s="187"/>
      <c r="DV228" s="187"/>
      <c r="DW228" s="187"/>
      <c r="DX228" s="187"/>
      <c r="DY228" s="187"/>
      <c r="DZ228" s="187"/>
      <c r="EA228" s="187"/>
      <c r="EB228" s="187"/>
      <c r="EC228" s="187"/>
      <c r="ED228" s="187"/>
      <c r="EE228" s="187"/>
      <c r="EF228" s="187"/>
      <c r="EG228" s="187"/>
      <c r="EH228" s="187"/>
      <c r="EI228" s="187"/>
      <c r="EJ228" s="187"/>
      <c r="EK228" s="187"/>
      <c r="EL228" s="187"/>
      <c r="EM228" s="187"/>
      <c r="EN228" s="187"/>
      <c r="EO228" s="187"/>
      <c r="EP228" s="187"/>
      <c r="EQ228" s="187"/>
      <c r="ER228" s="187"/>
      <c r="ES228" s="187"/>
      <c r="ET228" s="187"/>
      <c r="EU228" s="187"/>
      <c r="EV228" s="187"/>
      <c r="EW228" s="187"/>
      <c r="EX228" s="187"/>
      <c r="EY228" s="187"/>
      <c r="EZ228" s="187"/>
      <c r="FA228" s="187"/>
      <c r="FB228" s="187"/>
      <c r="FC228" s="187"/>
    </row>
    <row r="229" spans="1:159" ht="15" x14ac:dyDescent="0.25">
      <c r="A229" s="187" t="s">
        <v>512</v>
      </c>
      <c r="B229" s="187" t="s">
        <v>513</v>
      </c>
      <c r="C229" s="187">
        <v>6031</v>
      </c>
      <c r="D229" s="187">
        <v>56</v>
      </c>
      <c r="E229" s="187">
        <v>447</v>
      </c>
      <c r="F229" s="187">
        <v>1041</v>
      </c>
      <c r="G229" s="187">
        <v>570</v>
      </c>
      <c r="H229" s="187">
        <v>8145</v>
      </c>
      <c r="I229" s="187">
        <v>7575</v>
      </c>
      <c r="J229" s="187">
        <v>66</v>
      </c>
      <c r="K229" s="187">
        <v>95.09</v>
      </c>
      <c r="L229" s="187">
        <v>93.08</v>
      </c>
      <c r="M229" s="187">
        <v>8.1300000000000008</v>
      </c>
      <c r="N229" s="187">
        <v>101.46</v>
      </c>
      <c r="O229" s="187">
        <v>4466</v>
      </c>
      <c r="P229" s="187">
        <v>104.9</v>
      </c>
      <c r="Q229" s="187">
        <v>92.37</v>
      </c>
      <c r="R229" s="187">
        <v>55.57</v>
      </c>
      <c r="S229" s="187">
        <v>157.88999999999999</v>
      </c>
      <c r="T229" s="187">
        <v>1252</v>
      </c>
      <c r="U229" s="187">
        <v>120.97</v>
      </c>
      <c r="V229" s="187">
        <v>1063</v>
      </c>
      <c r="W229" s="187">
        <v>248.72</v>
      </c>
      <c r="X229" s="187">
        <v>102</v>
      </c>
      <c r="Y229" s="187">
        <v>0</v>
      </c>
      <c r="Z229" s="187">
        <v>4</v>
      </c>
      <c r="AA229" s="187">
        <v>20</v>
      </c>
      <c r="AB229" s="187">
        <v>5</v>
      </c>
      <c r="AC229" s="187">
        <v>14</v>
      </c>
      <c r="AD229" s="187">
        <v>5802</v>
      </c>
      <c r="AE229" s="187">
        <v>22</v>
      </c>
      <c r="AF229" s="187">
        <v>14</v>
      </c>
      <c r="AG229" s="187">
        <v>36</v>
      </c>
      <c r="AH229" s="187"/>
      <c r="AI229" s="187"/>
      <c r="AJ229" s="187"/>
      <c r="AK229" s="187"/>
      <c r="AL229" s="187"/>
      <c r="AM229" s="187"/>
      <c r="AN229" s="187"/>
      <c r="AO229" s="187"/>
      <c r="AP229" s="187"/>
      <c r="AQ229" s="187"/>
      <c r="AR229" s="187"/>
      <c r="AS229" s="187"/>
      <c r="AT229" s="187"/>
      <c r="AU229" s="187"/>
      <c r="AV229" s="187"/>
      <c r="AW229" s="187"/>
      <c r="AX229" s="187"/>
      <c r="AY229" s="187"/>
      <c r="AZ229" s="187"/>
      <c r="BA229" s="187"/>
      <c r="BB229" s="187"/>
      <c r="BC229" s="187"/>
      <c r="BD229" s="187"/>
      <c r="BE229" s="187"/>
      <c r="BF229" s="187"/>
      <c r="BG229" s="187"/>
      <c r="BH229" s="187"/>
      <c r="BI229" s="187"/>
      <c r="BJ229" s="187"/>
      <c r="BK229" s="187"/>
      <c r="BL229" s="187"/>
      <c r="BM229" s="187"/>
      <c r="BN229" s="187"/>
      <c r="BO229" s="187"/>
      <c r="BP229" s="187"/>
      <c r="BQ229" s="187"/>
      <c r="BR229" s="187"/>
      <c r="BS229" s="187"/>
      <c r="BT229" s="187"/>
      <c r="BU229" s="187"/>
      <c r="BV229" s="187"/>
      <c r="BW229" s="187"/>
      <c r="BX229" s="187"/>
      <c r="BY229" s="187"/>
      <c r="BZ229" s="187"/>
      <c r="CA229" s="187"/>
      <c r="CB229" s="187"/>
      <c r="CC229" s="187"/>
      <c r="CD229" s="187"/>
      <c r="CE229" s="187"/>
      <c r="CF229" s="187"/>
      <c r="CG229" s="187"/>
      <c r="CH229" s="187"/>
      <c r="CI229" s="187"/>
      <c r="CJ229" s="187"/>
      <c r="CK229" s="187"/>
      <c r="CL229" s="187"/>
      <c r="CM229" s="187"/>
      <c r="CN229" s="187"/>
      <c r="CO229" s="187"/>
      <c r="CP229" s="187"/>
      <c r="CQ229" s="187"/>
      <c r="CR229" s="187"/>
      <c r="CS229" s="187"/>
      <c r="CT229" s="187"/>
      <c r="CU229" s="187"/>
      <c r="CV229" s="187"/>
      <c r="CW229" s="187"/>
      <c r="CX229" s="187"/>
      <c r="CY229" s="187"/>
      <c r="CZ229" s="187"/>
      <c r="DA229" s="187"/>
      <c r="DB229" s="187"/>
      <c r="DC229" s="187"/>
      <c r="DD229" s="187"/>
      <c r="DE229" s="187"/>
      <c r="DF229" s="187"/>
      <c r="DG229" s="187"/>
      <c r="DH229" s="187"/>
      <c r="DI229" s="187"/>
      <c r="DJ229" s="187"/>
      <c r="DK229" s="187"/>
      <c r="DL229" s="187"/>
      <c r="DM229" s="187"/>
      <c r="DN229" s="187"/>
      <c r="DO229" s="187"/>
      <c r="DP229" s="187"/>
      <c r="DQ229" s="187"/>
      <c r="DR229" s="187"/>
      <c r="DS229" s="187"/>
      <c r="DT229" s="187"/>
      <c r="DU229" s="187"/>
      <c r="DV229" s="187"/>
      <c r="DW229" s="187"/>
      <c r="DX229" s="187"/>
      <c r="DY229" s="187"/>
      <c r="DZ229" s="187"/>
      <c r="EA229" s="187"/>
      <c r="EB229" s="187"/>
      <c r="EC229" s="187"/>
      <c r="ED229" s="187"/>
      <c r="EE229" s="187"/>
      <c r="EF229" s="187"/>
      <c r="EG229" s="187"/>
      <c r="EH229" s="187"/>
      <c r="EI229" s="187"/>
      <c r="EJ229" s="187"/>
      <c r="EK229" s="187"/>
      <c r="EL229" s="187"/>
      <c r="EM229" s="187"/>
      <c r="EN229" s="187"/>
      <c r="EO229" s="187"/>
      <c r="EP229" s="187"/>
      <c r="EQ229" s="187"/>
      <c r="ER229" s="187"/>
      <c r="ES229" s="187"/>
      <c r="ET229" s="187"/>
      <c r="EU229" s="187"/>
      <c r="EV229" s="187"/>
      <c r="EW229" s="187"/>
      <c r="EX229" s="187"/>
      <c r="EY229" s="187"/>
      <c r="EZ229" s="187"/>
      <c r="FA229" s="187"/>
      <c r="FB229" s="187"/>
      <c r="FC229" s="187"/>
    </row>
    <row r="230" spans="1:159" ht="15" x14ac:dyDescent="0.25">
      <c r="A230" s="187" t="s">
        <v>514</v>
      </c>
      <c r="B230" s="187" t="s">
        <v>515</v>
      </c>
      <c r="C230" s="187">
        <v>6282</v>
      </c>
      <c r="D230" s="187">
        <v>0</v>
      </c>
      <c r="E230" s="187">
        <v>136</v>
      </c>
      <c r="F230" s="187">
        <v>746</v>
      </c>
      <c r="G230" s="187">
        <v>539</v>
      </c>
      <c r="H230" s="187">
        <v>7703</v>
      </c>
      <c r="I230" s="187">
        <v>7164</v>
      </c>
      <c r="J230" s="187">
        <v>40</v>
      </c>
      <c r="K230" s="187">
        <v>89.64</v>
      </c>
      <c r="L230" s="187">
        <v>88.98</v>
      </c>
      <c r="M230" s="187">
        <v>4.2699999999999996</v>
      </c>
      <c r="N230" s="187">
        <v>91.44</v>
      </c>
      <c r="O230" s="187">
        <v>5380</v>
      </c>
      <c r="P230" s="187">
        <v>96.55</v>
      </c>
      <c r="Q230" s="187">
        <v>89.61</v>
      </c>
      <c r="R230" s="187">
        <v>40.369999999999997</v>
      </c>
      <c r="S230" s="187">
        <v>136.38999999999999</v>
      </c>
      <c r="T230" s="187">
        <v>691</v>
      </c>
      <c r="U230" s="187">
        <v>111.98</v>
      </c>
      <c r="V230" s="187">
        <v>878</v>
      </c>
      <c r="W230" s="187">
        <v>228.42</v>
      </c>
      <c r="X230" s="187">
        <v>151</v>
      </c>
      <c r="Y230" s="187">
        <v>14</v>
      </c>
      <c r="Z230" s="187">
        <v>10</v>
      </c>
      <c r="AA230" s="187">
        <v>0</v>
      </c>
      <c r="AB230" s="187">
        <v>39</v>
      </c>
      <c r="AC230" s="187">
        <v>26</v>
      </c>
      <c r="AD230" s="187">
        <v>6282</v>
      </c>
      <c r="AE230" s="187">
        <v>36</v>
      </c>
      <c r="AF230" s="187">
        <v>58</v>
      </c>
      <c r="AG230" s="187">
        <v>94</v>
      </c>
      <c r="AH230" s="187"/>
      <c r="AI230" s="187"/>
      <c r="AJ230" s="187"/>
      <c r="AK230" s="187"/>
      <c r="AL230" s="187"/>
      <c r="AM230" s="187"/>
      <c r="AN230" s="187"/>
      <c r="AO230" s="187"/>
      <c r="AP230" s="187"/>
      <c r="AQ230" s="187"/>
      <c r="AR230" s="187"/>
      <c r="AS230" s="187"/>
      <c r="AT230" s="187"/>
      <c r="AU230" s="187"/>
      <c r="AV230" s="187"/>
      <c r="AW230" s="187"/>
      <c r="AX230" s="187"/>
      <c r="AY230" s="187"/>
      <c r="AZ230" s="187"/>
      <c r="BA230" s="187"/>
      <c r="BB230" s="187"/>
      <c r="BC230" s="187"/>
      <c r="BD230" s="187"/>
      <c r="BE230" s="187"/>
      <c r="BF230" s="187"/>
      <c r="BG230" s="187"/>
      <c r="BH230" s="187"/>
      <c r="BI230" s="187"/>
      <c r="BJ230" s="187"/>
      <c r="BK230" s="187"/>
      <c r="BL230" s="187"/>
      <c r="BM230" s="187"/>
      <c r="BN230" s="187"/>
      <c r="BO230" s="187"/>
      <c r="BP230" s="187"/>
      <c r="BQ230" s="187"/>
      <c r="BR230" s="187"/>
      <c r="BS230" s="187"/>
      <c r="BT230" s="187"/>
      <c r="BU230" s="187"/>
      <c r="BV230" s="187"/>
      <c r="BW230" s="187"/>
      <c r="BX230" s="187"/>
      <c r="BY230" s="187"/>
      <c r="BZ230" s="187"/>
      <c r="CA230" s="187"/>
      <c r="CB230" s="187"/>
      <c r="CC230" s="187"/>
      <c r="CD230" s="187"/>
      <c r="CE230" s="187"/>
      <c r="CF230" s="187"/>
      <c r="CG230" s="187"/>
      <c r="CH230" s="187"/>
      <c r="CI230" s="187"/>
      <c r="CJ230" s="187"/>
      <c r="CK230" s="187"/>
      <c r="CL230" s="187"/>
      <c r="CM230" s="187"/>
      <c r="CN230" s="187"/>
      <c r="CO230" s="187"/>
      <c r="CP230" s="187"/>
      <c r="CQ230" s="187"/>
      <c r="CR230" s="187"/>
      <c r="CS230" s="187"/>
      <c r="CT230" s="187"/>
      <c r="CU230" s="187"/>
      <c r="CV230" s="187"/>
      <c r="CW230" s="187"/>
      <c r="CX230" s="187"/>
      <c r="CY230" s="187"/>
      <c r="CZ230" s="187"/>
      <c r="DA230" s="187"/>
      <c r="DB230" s="187"/>
      <c r="DC230" s="187"/>
      <c r="DD230" s="187"/>
      <c r="DE230" s="187"/>
      <c r="DF230" s="187"/>
      <c r="DG230" s="187"/>
      <c r="DH230" s="187"/>
      <c r="DI230" s="187"/>
      <c r="DJ230" s="187"/>
      <c r="DK230" s="187"/>
      <c r="DL230" s="187"/>
      <c r="DM230" s="187"/>
      <c r="DN230" s="187"/>
      <c r="DO230" s="187"/>
      <c r="DP230" s="187"/>
      <c r="DQ230" s="187"/>
      <c r="DR230" s="187"/>
      <c r="DS230" s="187"/>
      <c r="DT230" s="187"/>
      <c r="DU230" s="187"/>
      <c r="DV230" s="187"/>
      <c r="DW230" s="187"/>
      <c r="DX230" s="187"/>
      <c r="DY230" s="187"/>
      <c r="DZ230" s="187"/>
      <c r="EA230" s="187"/>
      <c r="EB230" s="187"/>
      <c r="EC230" s="187"/>
      <c r="ED230" s="187"/>
      <c r="EE230" s="187"/>
      <c r="EF230" s="187"/>
      <c r="EG230" s="187"/>
      <c r="EH230" s="187"/>
      <c r="EI230" s="187"/>
      <c r="EJ230" s="187"/>
      <c r="EK230" s="187"/>
      <c r="EL230" s="187"/>
      <c r="EM230" s="187"/>
      <c r="EN230" s="187"/>
      <c r="EO230" s="187"/>
      <c r="EP230" s="187"/>
      <c r="EQ230" s="187"/>
      <c r="ER230" s="187"/>
      <c r="ES230" s="187"/>
      <c r="ET230" s="187"/>
      <c r="EU230" s="187"/>
      <c r="EV230" s="187"/>
      <c r="EW230" s="187"/>
      <c r="EX230" s="187"/>
      <c r="EY230" s="187"/>
      <c r="EZ230" s="187"/>
      <c r="FA230" s="187"/>
      <c r="FB230" s="187"/>
      <c r="FC230" s="187"/>
    </row>
    <row r="231" spans="1:159" ht="15" x14ac:dyDescent="0.25">
      <c r="A231" s="187" t="s">
        <v>516</v>
      </c>
      <c r="B231" s="187" t="s">
        <v>517</v>
      </c>
      <c r="C231" s="187">
        <v>3097</v>
      </c>
      <c r="D231" s="187">
        <v>0</v>
      </c>
      <c r="E231" s="187">
        <v>334</v>
      </c>
      <c r="F231" s="187">
        <v>101</v>
      </c>
      <c r="G231" s="187">
        <v>451</v>
      </c>
      <c r="H231" s="187">
        <v>3983</v>
      </c>
      <c r="I231" s="187">
        <v>3532</v>
      </c>
      <c r="J231" s="187">
        <v>0</v>
      </c>
      <c r="K231" s="187">
        <v>98.38</v>
      </c>
      <c r="L231" s="187">
        <v>95.45</v>
      </c>
      <c r="M231" s="187">
        <v>4.8600000000000003</v>
      </c>
      <c r="N231" s="187">
        <v>102.48</v>
      </c>
      <c r="O231" s="187">
        <v>1659</v>
      </c>
      <c r="P231" s="187">
        <v>109.83</v>
      </c>
      <c r="Q231" s="187">
        <v>82.41</v>
      </c>
      <c r="R231" s="187">
        <v>53.26</v>
      </c>
      <c r="S231" s="187">
        <v>163.1</v>
      </c>
      <c r="T231" s="187">
        <v>240</v>
      </c>
      <c r="U231" s="187">
        <v>129.58000000000001</v>
      </c>
      <c r="V231" s="187">
        <v>793</v>
      </c>
      <c r="W231" s="187">
        <v>0</v>
      </c>
      <c r="X231" s="187">
        <v>0</v>
      </c>
      <c r="Y231" s="187">
        <v>0</v>
      </c>
      <c r="Z231" s="187">
        <v>3</v>
      </c>
      <c r="AA231" s="187">
        <v>0</v>
      </c>
      <c r="AB231" s="187">
        <v>28</v>
      </c>
      <c r="AC231" s="187">
        <v>6</v>
      </c>
      <c r="AD231" s="187">
        <v>2415</v>
      </c>
      <c r="AE231" s="187">
        <v>17</v>
      </c>
      <c r="AF231" s="187">
        <v>9</v>
      </c>
      <c r="AG231" s="187">
        <v>26</v>
      </c>
      <c r="AH231" s="187"/>
      <c r="AI231" s="187"/>
      <c r="AJ231" s="187"/>
      <c r="AK231" s="187"/>
      <c r="AL231" s="187"/>
      <c r="AM231" s="187"/>
      <c r="AN231" s="187"/>
      <c r="AO231" s="187"/>
      <c r="AP231" s="187"/>
      <c r="AQ231" s="187"/>
      <c r="AR231" s="187"/>
      <c r="AS231" s="187"/>
      <c r="AT231" s="187"/>
      <c r="AU231" s="187"/>
      <c r="AV231" s="187"/>
      <c r="AW231" s="187"/>
      <c r="AX231" s="187"/>
      <c r="AY231" s="187"/>
      <c r="AZ231" s="187"/>
      <c r="BA231" s="187"/>
      <c r="BB231" s="187"/>
      <c r="BC231" s="187"/>
      <c r="BD231" s="187"/>
      <c r="BE231" s="187"/>
      <c r="BF231" s="187"/>
      <c r="BG231" s="187"/>
      <c r="BH231" s="187"/>
      <c r="BI231" s="187"/>
      <c r="BJ231" s="187"/>
      <c r="BK231" s="187"/>
      <c r="BL231" s="187"/>
      <c r="BM231" s="187"/>
      <c r="BN231" s="187"/>
      <c r="BO231" s="187"/>
      <c r="BP231" s="187"/>
      <c r="BQ231" s="187"/>
      <c r="BR231" s="187"/>
      <c r="BS231" s="187"/>
      <c r="BT231" s="187"/>
      <c r="BU231" s="187"/>
      <c r="BV231" s="187"/>
      <c r="BW231" s="187"/>
      <c r="BX231" s="187"/>
      <c r="BY231" s="187"/>
      <c r="BZ231" s="187"/>
      <c r="CA231" s="187"/>
      <c r="CB231" s="187"/>
      <c r="CC231" s="187"/>
      <c r="CD231" s="187"/>
      <c r="CE231" s="187"/>
      <c r="CF231" s="187"/>
      <c r="CG231" s="187"/>
      <c r="CH231" s="187"/>
      <c r="CI231" s="187"/>
      <c r="CJ231" s="187"/>
      <c r="CK231" s="187"/>
      <c r="CL231" s="187"/>
      <c r="CM231" s="187"/>
      <c r="CN231" s="187"/>
      <c r="CO231" s="187"/>
      <c r="CP231" s="187"/>
      <c r="CQ231" s="187"/>
      <c r="CR231" s="187"/>
      <c r="CS231" s="187"/>
      <c r="CT231" s="187"/>
      <c r="CU231" s="187"/>
      <c r="CV231" s="187"/>
      <c r="CW231" s="187"/>
      <c r="CX231" s="187"/>
      <c r="CY231" s="187"/>
      <c r="CZ231" s="187"/>
      <c r="DA231" s="187"/>
      <c r="DB231" s="187"/>
      <c r="DC231" s="187"/>
      <c r="DD231" s="187"/>
      <c r="DE231" s="187"/>
      <c r="DF231" s="187"/>
      <c r="DG231" s="187"/>
      <c r="DH231" s="187"/>
      <c r="DI231" s="187"/>
      <c r="DJ231" s="187"/>
      <c r="DK231" s="187"/>
      <c r="DL231" s="187"/>
      <c r="DM231" s="187"/>
      <c r="DN231" s="187"/>
      <c r="DO231" s="187"/>
      <c r="DP231" s="187"/>
      <c r="DQ231" s="187"/>
      <c r="DR231" s="187"/>
      <c r="DS231" s="187"/>
      <c r="DT231" s="187"/>
      <c r="DU231" s="187"/>
      <c r="DV231" s="187"/>
      <c r="DW231" s="187"/>
      <c r="DX231" s="187"/>
      <c r="DY231" s="187"/>
      <c r="DZ231" s="187"/>
      <c r="EA231" s="187"/>
      <c r="EB231" s="187"/>
      <c r="EC231" s="187"/>
      <c r="ED231" s="187"/>
      <c r="EE231" s="187"/>
      <c r="EF231" s="187"/>
      <c r="EG231" s="187"/>
      <c r="EH231" s="187"/>
      <c r="EI231" s="187"/>
      <c r="EJ231" s="187"/>
      <c r="EK231" s="187"/>
      <c r="EL231" s="187"/>
      <c r="EM231" s="187"/>
      <c r="EN231" s="187"/>
      <c r="EO231" s="187"/>
      <c r="EP231" s="187"/>
      <c r="EQ231" s="187"/>
      <c r="ER231" s="187"/>
      <c r="ES231" s="187"/>
      <c r="ET231" s="187"/>
      <c r="EU231" s="187"/>
      <c r="EV231" s="187"/>
      <c r="EW231" s="187"/>
      <c r="EX231" s="187"/>
      <c r="EY231" s="187"/>
      <c r="EZ231" s="187"/>
      <c r="FA231" s="187"/>
      <c r="FB231" s="187"/>
      <c r="FC231" s="187"/>
    </row>
    <row r="232" spans="1:159" ht="15" x14ac:dyDescent="0.25">
      <c r="A232" s="187" t="s">
        <v>518</v>
      </c>
      <c r="B232" s="187" t="s">
        <v>519</v>
      </c>
      <c r="C232" s="187">
        <v>15570</v>
      </c>
      <c r="D232" s="187">
        <v>0</v>
      </c>
      <c r="E232" s="187">
        <v>1658</v>
      </c>
      <c r="F232" s="187">
        <v>1620</v>
      </c>
      <c r="G232" s="187">
        <v>866</v>
      </c>
      <c r="H232" s="187">
        <v>19714</v>
      </c>
      <c r="I232" s="187">
        <v>18848</v>
      </c>
      <c r="J232" s="187">
        <v>4</v>
      </c>
      <c r="K232" s="187">
        <v>92.21</v>
      </c>
      <c r="L232" s="187">
        <v>90</v>
      </c>
      <c r="M232" s="187">
        <v>12.16</v>
      </c>
      <c r="N232" s="187">
        <v>96.61</v>
      </c>
      <c r="O232" s="187">
        <v>13528</v>
      </c>
      <c r="P232" s="187">
        <v>85.88</v>
      </c>
      <c r="Q232" s="187">
        <v>80.42</v>
      </c>
      <c r="R232" s="187">
        <v>37.65</v>
      </c>
      <c r="S232" s="187">
        <v>122.03</v>
      </c>
      <c r="T232" s="187">
        <v>2925</v>
      </c>
      <c r="U232" s="187">
        <v>112.24</v>
      </c>
      <c r="V232" s="187">
        <v>1453</v>
      </c>
      <c r="W232" s="187">
        <v>135.21</v>
      </c>
      <c r="X232" s="187">
        <v>19</v>
      </c>
      <c r="Y232" s="187">
        <v>0</v>
      </c>
      <c r="Z232" s="187">
        <v>65</v>
      </c>
      <c r="AA232" s="187">
        <v>2</v>
      </c>
      <c r="AB232" s="187">
        <v>30</v>
      </c>
      <c r="AC232" s="187">
        <v>16</v>
      </c>
      <c r="AD232" s="187">
        <v>15162</v>
      </c>
      <c r="AE232" s="187">
        <v>49</v>
      </c>
      <c r="AF232" s="187">
        <v>133</v>
      </c>
      <c r="AG232" s="187">
        <v>182</v>
      </c>
      <c r="AH232" s="187"/>
      <c r="AI232" s="187"/>
      <c r="AJ232" s="187"/>
      <c r="AK232" s="187"/>
      <c r="AL232" s="187"/>
      <c r="AM232" s="187"/>
      <c r="AN232" s="187"/>
      <c r="AO232" s="187"/>
      <c r="AP232" s="187"/>
      <c r="AQ232" s="187"/>
      <c r="AR232" s="187"/>
      <c r="AS232" s="187"/>
      <c r="AT232" s="187"/>
      <c r="AU232" s="187"/>
      <c r="AV232" s="187"/>
      <c r="AW232" s="187"/>
      <c r="AX232" s="187"/>
      <c r="AY232" s="187"/>
      <c r="AZ232" s="187"/>
      <c r="BA232" s="187"/>
      <c r="BB232" s="187"/>
      <c r="BC232" s="187"/>
      <c r="BD232" s="187"/>
      <c r="BE232" s="187"/>
      <c r="BF232" s="187"/>
      <c r="BG232" s="187"/>
      <c r="BH232" s="187"/>
      <c r="BI232" s="187"/>
      <c r="BJ232" s="187"/>
      <c r="BK232" s="187"/>
      <c r="BL232" s="187"/>
      <c r="BM232" s="187"/>
      <c r="BN232" s="187"/>
      <c r="BO232" s="187"/>
      <c r="BP232" s="187"/>
      <c r="BQ232" s="187"/>
      <c r="BR232" s="187"/>
      <c r="BS232" s="187"/>
      <c r="BT232" s="187"/>
      <c r="BU232" s="187"/>
      <c r="BV232" s="187"/>
      <c r="BW232" s="187"/>
      <c r="BX232" s="187"/>
      <c r="BY232" s="187"/>
      <c r="BZ232" s="187"/>
      <c r="CA232" s="187"/>
      <c r="CB232" s="187"/>
      <c r="CC232" s="187"/>
      <c r="CD232" s="187"/>
      <c r="CE232" s="187"/>
      <c r="CF232" s="187"/>
      <c r="CG232" s="187"/>
      <c r="CH232" s="187"/>
      <c r="CI232" s="187"/>
      <c r="CJ232" s="187"/>
      <c r="CK232" s="187"/>
      <c r="CL232" s="187"/>
      <c r="CM232" s="187"/>
      <c r="CN232" s="187"/>
      <c r="CO232" s="187"/>
      <c r="CP232" s="187"/>
      <c r="CQ232" s="187"/>
      <c r="CR232" s="187"/>
      <c r="CS232" s="187"/>
      <c r="CT232" s="187"/>
      <c r="CU232" s="187"/>
      <c r="CV232" s="187"/>
      <c r="CW232" s="187"/>
      <c r="CX232" s="187"/>
      <c r="CY232" s="187"/>
      <c r="CZ232" s="187"/>
      <c r="DA232" s="187"/>
      <c r="DB232" s="187"/>
      <c r="DC232" s="187"/>
      <c r="DD232" s="187"/>
      <c r="DE232" s="187"/>
      <c r="DF232" s="187"/>
      <c r="DG232" s="187"/>
      <c r="DH232" s="187"/>
      <c r="DI232" s="187"/>
      <c r="DJ232" s="187"/>
      <c r="DK232" s="187"/>
      <c r="DL232" s="187"/>
      <c r="DM232" s="187"/>
      <c r="DN232" s="187"/>
      <c r="DO232" s="187"/>
      <c r="DP232" s="187"/>
      <c r="DQ232" s="187"/>
      <c r="DR232" s="187"/>
      <c r="DS232" s="187"/>
      <c r="DT232" s="187"/>
      <c r="DU232" s="187"/>
      <c r="DV232" s="187"/>
      <c r="DW232" s="187"/>
      <c r="DX232" s="187"/>
      <c r="DY232" s="187"/>
      <c r="DZ232" s="187"/>
      <c r="EA232" s="187"/>
      <c r="EB232" s="187"/>
      <c r="EC232" s="187"/>
      <c r="ED232" s="187"/>
      <c r="EE232" s="187"/>
      <c r="EF232" s="187"/>
      <c r="EG232" s="187"/>
      <c r="EH232" s="187"/>
      <c r="EI232" s="187"/>
      <c r="EJ232" s="187"/>
      <c r="EK232" s="187"/>
      <c r="EL232" s="187"/>
      <c r="EM232" s="187"/>
      <c r="EN232" s="187"/>
      <c r="EO232" s="187"/>
      <c r="EP232" s="187"/>
      <c r="EQ232" s="187"/>
      <c r="ER232" s="187"/>
      <c r="ES232" s="187"/>
      <c r="ET232" s="187"/>
      <c r="EU232" s="187"/>
      <c r="EV232" s="187"/>
      <c r="EW232" s="187"/>
      <c r="EX232" s="187"/>
      <c r="EY232" s="187"/>
      <c r="EZ232" s="187"/>
      <c r="FA232" s="187"/>
      <c r="FB232" s="187"/>
      <c r="FC232" s="187"/>
    </row>
    <row r="233" spans="1:159" ht="15" x14ac:dyDescent="0.25">
      <c r="A233" s="187" t="s">
        <v>520</v>
      </c>
      <c r="B233" s="187" t="s">
        <v>521</v>
      </c>
      <c r="C233" s="187">
        <v>1906</v>
      </c>
      <c r="D233" s="187">
        <v>0</v>
      </c>
      <c r="E233" s="187">
        <v>38</v>
      </c>
      <c r="F233" s="187">
        <v>195</v>
      </c>
      <c r="G233" s="187">
        <v>503</v>
      </c>
      <c r="H233" s="187">
        <v>2642</v>
      </c>
      <c r="I233" s="187">
        <v>2139</v>
      </c>
      <c r="J233" s="187">
        <v>17</v>
      </c>
      <c r="K233" s="187">
        <v>98.97</v>
      </c>
      <c r="L233" s="187">
        <v>90.97</v>
      </c>
      <c r="M233" s="187">
        <v>6.16</v>
      </c>
      <c r="N233" s="187">
        <v>103.12</v>
      </c>
      <c r="O233" s="187">
        <v>1102</v>
      </c>
      <c r="P233" s="187">
        <v>111.84</v>
      </c>
      <c r="Q233" s="187">
        <v>99.05</v>
      </c>
      <c r="R233" s="187">
        <v>61.73</v>
      </c>
      <c r="S233" s="187">
        <v>173.04</v>
      </c>
      <c r="T233" s="187">
        <v>233</v>
      </c>
      <c r="U233" s="187">
        <v>121.3</v>
      </c>
      <c r="V233" s="187">
        <v>607</v>
      </c>
      <c r="W233" s="187">
        <v>0</v>
      </c>
      <c r="X233" s="187">
        <v>0</v>
      </c>
      <c r="Y233" s="187">
        <v>0</v>
      </c>
      <c r="Z233" s="187">
        <v>0</v>
      </c>
      <c r="AA233" s="187">
        <v>2</v>
      </c>
      <c r="AB233" s="187">
        <v>39</v>
      </c>
      <c r="AC233" s="187">
        <v>11</v>
      </c>
      <c r="AD233" s="187">
        <v>1886</v>
      </c>
      <c r="AE233" s="187">
        <v>10</v>
      </c>
      <c r="AF233" s="187">
        <v>5</v>
      </c>
      <c r="AG233" s="187">
        <v>15</v>
      </c>
      <c r="AH233" s="187"/>
      <c r="AI233" s="187"/>
      <c r="AJ233" s="187"/>
      <c r="AK233" s="187"/>
      <c r="AL233" s="187"/>
      <c r="AM233" s="187"/>
      <c r="AN233" s="187"/>
      <c r="AO233" s="187"/>
      <c r="AP233" s="187"/>
      <c r="AQ233" s="187"/>
      <c r="AR233" s="187"/>
      <c r="AS233" s="187"/>
      <c r="AT233" s="187"/>
      <c r="AU233" s="187"/>
      <c r="AV233" s="187"/>
      <c r="AW233" s="187"/>
      <c r="AX233" s="187"/>
      <c r="AY233" s="187"/>
      <c r="AZ233" s="187"/>
      <c r="BA233" s="187"/>
      <c r="BB233" s="187"/>
      <c r="BC233" s="187"/>
      <c r="BD233" s="187"/>
      <c r="BE233" s="187"/>
      <c r="BF233" s="187"/>
      <c r="BG233" s="187"/>
      <c r="BH233" s="187"/>
      <c r="BI233" s="187"/>
      <c r="BJ233" s="187"/>
      <c r="BK233" s="187"/>
      <c r="BL233" s="187"/>
      <c r="BM233" s="187"/>
      <c r="BN233" s="187"/>
      <c r="BO233" s="187"/>
      <c r="BP233" s="187"/>
      <c r="BQ233" s="187"/>
      <c r="BR233" s="187"/>
      <c r="BS233" s="187"/>
      <c r="BT233" s="187"/>
      <c r="BU233" s="187"/>
      <c r="BV233" s="187"/>
      <c r="BW233" s="187"/>
      <c r="BX233" s="187"/>
      <c r="BY233" s="187"/>
      <c r="BZ233" s="187"/>
      <c r="CA233" s="187"/>
      <c r="CB233" s="187"/>
      <c r="CC233" s="187"/>
      <c r="CD233" s="187"/>
      <c r="CE233" s="187"/>
      <c r="CF233" s="187"/>
      <c r="CG233" s="187"/>
      <c r="CH233" s="187"/>
      <c r="CI233" s="187"/>
      <c r="CJ233" s="187"/>
      <c r="CK233" s="187"/>
      <c r="CL233" s="187"/>
      <c r="CM233" s="187"/>
      <c r="CN233" s="187"/>
      <c r="CO233" s="187"/>
      <c r="CP233" s="187"/>
      <c r="CQ233" s="187"/>
      <c r="CR233" s="187"/>
      <c r="CS233" s="187"/>
      <c r="CT233" s="187"/>
      <c r="CU233" s="187"/>
      <c r="CV233" s="187"/>
      <c r="CW233" s="187"/>
      <c r="CX233" s="187"/>
      <c r="CY233" s="187"/>
      <c r="CZ233" s="187"/>
      <c r="DA233" s="187"/>
      <c r="DB233" s="187"/>
      <c r="DC233" s="187"/>
      <c r="DD233" s="187"/>
      <c r="DE233" s="187"/>
      <c r="DF233" s="187"/>
      <c r="DG233" s="187"/>
      <c r="DH233" s="187"/>
      <c r="DI233" s="187"/>
      <c r="DJ233" s="187"/>
      <c r="DK233" s="187"/>
      <c r="DL233" s="187"/>
      <c r="DM233" s="187"/>
      <c r="DN233" s="187"/>
      <c r="DO233" s="187"/>
      <c r="DP233" s="187"/>
      <c r="DQ233" s="187"/>
      <c r="DR233" s="187"/>
      <c r="DS233" s="187"/>
      <c r="DT233" s="187"/>
      <c r="DU233" s="187"/>
      <c r="DV233" s="187"/>
      <c r="DW233" s="187"/>
      <c r="DX233" s="187"/>
      <c r="DY233" s="187"/>
      <c r="DZ233" s="187"/>
      <c r="EA233" s="187"/>
      <c r="EB233" s="187"/>
      <c r="EC233" s="187"/>
      <c r="ED233" s="187"/>
      <c r="EE233" s="187"/>
      <c r="EF233" s="187"/>
      <c r="EG233" s="187"/>
      <c r="EH233" s="187"/>
      <c r="EI233" s="187"/>
      <c r="EJ233" s="187"/>
      <c r="EK233" s="187"/>
      <c r="EL233" s="187"/>
      <c r="EM233" s="187"/>
      <c r="EN233" s="187"/>
      <c r="EO233" s="187"/>
      <c r="EP233" s="187"/>
      <c r="EQ233" s="187"/>
      <c r="ER233" s="187"/>
      <c r="ES233" s="187"/>
      <c r="ET233" s="187"/>
      <c r="EU233" s="187"/>
      <c r="EV233" s="187"/>
      <c r="EW233" s="187"/>
      <c r="EX233" s="187"/>
      <c r="EY233" s="187"/>
      <c r="EZ233" s="187"/>
      <c r="FA233" s="187"/>
      <c r="FB233" s="187"/>
      <c r="FC233" s="187"/>
    </row>
    <row r="234" spans="1:159" ht="15" x14ac:dyDescent="0.25">
      <c r="A234" s="187" t="s">
        <v>522</v>
      </c>
      <c r="B234" s="187" t="s">
        <v>523</v>
      </c>
      <c r="C234" s="187">
        <v>5863</v>
      </c>
      <c r="D234" s="187">
        <v>0</v>
      </c>
      <c r="E234" s="187">
        <v>87</v>
      </c>
      <c r="F234" s="187">
        <v>737</v>
      </c>
      <c r="G234" s="187">
        <v>992</v>
      </c>
      <c r="H234" s="187">
        <v>7679</v>
      </c>
      <c r="I234" s="187">
        <v>6687</v>
      </c>
      <c r="J234" s="187">
        <v>0</v>
      </c>
      <c r="K234" s="187">
        <v>113.28</v>
      </c>
      <c r="L234" s="187">
        <v>109.72</v>
      </c>
      <c r="M234" s="187">
        <v>4.95</v>
      </c>
      <c r="N234" s="187">
        <v>116.51</v>
      </c>
      <c r="O234" s="187">
        <v>5501</v>
      </c>
      <c r="P234" s="187">
        <v>96.96</v>
      </c>
      <c r="Q234" s="187">
        <v>90.72</v>
      </c>
      <c r="R234" s="187">
        <v>35.32</v>
      </c>
      <c r="S234" s="187">
        <v>131.43</v>
      </c>
      <c r="T234" s="187">
        <v>580</v>
      </c>
      <c r="U234" s="187">
        <v>172.26</v>
      </c>
      <c r="V234" s="187">
        <v>324</v>
      </c>
      <c r="W234" s="187">
        <v>141.55000000000001</v>
      </c>
      <c r="X234" s="187">
        <v>95</v>
      </c>
      <c r="Y234" s="187">
        <v>0</v>
      </c>
      <c r="Z234" s="187">
        <v>5</v>
      </c>
      <c r="AA234" s="187">
        <v>2</v>
      </c>
      <c r="AB234" s="187">
        <v>5</v>
      </c>
      <c r="AC234" s="187">
        <v>13</v>
      </c>
      <c r="AD234" s="187">
        <v>5847</v>
      </c>
      <c r="AE234" s="187">
        <v>42</v>
      </c>
      <c r="AF234" s="187">
        <v>46</v>
      </c>
      <c r="AG234" s="187">
        <v>88</v>
      </c>
      <c r="AH234" s="187"/>
      <c r="AI234" s="187"/>
      <c r="AJ234" s="187"/>
      <c r="AK234" s="187"/>
      <c r="AL234" s="187"/>
      <c r="AM234" s="187"/>
      <c r="AN234" s="187"/>
      <c r="AO234" s="187"/>
      <c r="AP234" s="187"/>
      <c r="AQ234" s="187"/>
      <c r="AR234" s="187"/>
      <c r="AS234" s="187"/>
      <c r="AT234" s="187"/>
      <c r="AU234" s="187"/>
      <c r="AV234" s="187"/>
      <c r="AW234" s="187"/>
      <c r="AX234" s="187"/>
      <c r="AY234" s="187"/>
      <c r="AZ234" s="187"/>
      <c r="BA234" s="187"/>
      <c r="BB234" s="187"/>
      <c r="BC234" s="187"/>
      <c r="BD234" s="187"/>
      <c r="BE234" s="187"/>
      <c r="BF234" s="187"/>
      <c r="BG234" s="187"/>
      <c r="BH234" s="187"/>
      <c r="BI234" s="187"/>
      <c r="BJ234" s="187"/>
      <c r="BK234" s="187"/>
      <c r="BL234" s="187"/>
      <c r="BM234" s="187"/>
      <c r="BN234" s="187"/>
      <c r="BO234" s="187"/>
      <c r="BP234" s="187"/>
      <c r="BQ234" s="187"/>
      <c r="BR234" s="187"/>
      <c r="BS234" s="187"/>
      <c r="BT234" s="187"/>
      <c r="BU234" s="187"/>
      <c r="BV234" s="187"/>
      <c r="BW234" s="187"/>
      <c r="BX234" s="187"/>
      <c r="BY234" s="187"/>
      <c r="BZ234" s="187"/>
      <c r="CA234" s="187"/>
      <c r="CB234" s="187"/>
      <c r="CC234" s="187"/>
      <c r="CD234" s="187"/>
      <c r="CE234" s="187"/>
      <c r="CF234" s="187"/>
      <c r="CG234" s="187"/>
      <c r="CH234" s="187"/>
      <c r="CI234" s="187"/>
      <c r="CJ234" s="187"/>
      <c r="CK234" s="187"/>
      <c r="CL234" s="187"/>
      <c r="CM234" s="187"/>
      <c r="CN234" s="187"/>
      <c r="CO234" s="187"/>
      <c r="CP234" s="187"/>
      <c r="CQ234" s="187"/>
      <c r="CR234" s="187"/>
      <c r="CS234" s="187"/>
      <c r="CT234" s="187"/>
      <c r="CU234" s="187"/>
      <c r="CV234" s="187"/>
      <c r="CW234" s="187"/>
      <c r="CX234" s="187"/>
      <c r="CY234" s="187"/>
      <c r="CZ234" s="187"/>
      <c r="DA234" s="187"/>
      <c r="DB234" s="187"/>
      <c r="DC234" s="187"/>
      <c r="DD234" s="187"/>
      <c r="DE234" s="187"/>
      <c r="DF234" s="187"/>
      <c r="DG234" s="187"/>
      <c r="DH234" s="187"/>
      <c r="DI234" s="187"/>
      <c r="DJ234" s="187"/>
      <c r="DK234" s="187"/>
      <c r="DL234" s="187"/>
      <c r="DM234" s="187"/>
      <c r="DN234" s="187"/>
      <c r="DO234" s="187"/>
      <c r="DP234" s="187"/>
      <c r="DQ234" s="187"/>
      <c r="DR234" s="187"/>
      <c r="DS234" s="187"/>
      <c r="DT234" s="187"/>
      <c r="DU234" s="187"/>
      <c r="DV234" s="187"/>
      <c r="DW234" s="187"/>
      <c r="DX234" s="187"/>
      <c r="DY234" s="187"/>
      <c r="DZ234" s="187"/>
      <c r="EA234" s="187"/>
      <c r="EB234" s="187"/>
      <c r="EC234" s="187"/>
      <c r="ED234" s="187"/>
      <c r="EE234" s="187"/>
      <c r="EF234" s="187"/>
      <c r="EG234" s="187"/>
      <c r="EH234" s="187"/>
      <c r="EI234" s="187"/>
      <c r="EJ234" s="187"/>
      <c r="EK234" s="187"/>
      <c r="EL234" s="187"/>
      <c r="EM234" s="187"/>
      <c r="EN234" s="187"/>
      <c r="EO234" s="187"/>
      <c r="EP234" s="187"/>
      <c r="EQ234" s="187"/>
      <c r="ER234" s="187"/>
      <c r="ES234" s="187"/>
      <c r="ET234" s="187"/>
      <c r="EU234" s="187"/>
      <c r="EV234" s="187"/>
      <c r="EW234" s="187"/>
      <c r="EX234" s="187"/>
      <c r="EY234" s="187"/>
      <c r="EZ234" s="187"/>
      <c r="FA234" s="187"/>
      <c r="FB234" s="187"/>
      <c r="FC234" s="187"/>
    </row>
    <row r="235" spans="1:159" ht="15" x14ac:dyDescent="0.25">
      <c r="A235" s="187" t="s">
        <v>524</v>
      </c>
      <c r="B235" s="187" t="s">
        <v>525</v>
      </c>
      <c r="C235" s="187">
        <v>15409</v>
      </c>
      <c r="D235" s="187">
        <v>2</v>
      </c>
      <c r="E235" s="187">
        <v>1403</v>
      </c>
      <c r="F235" s="187">
        <v>1121</v>
      </c>
      <c r="G235" s="187">
        <v>528</v>
      </c>
      <c r="H235" s="187">
        <v>18463</v>
      </c>
      <c r="I235" s="187">
        <v>17935</v>
      </c>
      <c r="J235" s="187">
        <v>13</v>
      </c>
      <c r="K235" s="187">
        <v>85.47</v>
      </c>
      <c r="L235" s="187">
        <v>83.85</v>
      </c>
      <c r="M235" s="187">
        <v>9.3000000000000007</v>
      </c>
      <c r="N235" s="187">
        <v>88.68</v>
      </c>
      <c r="O235" s="187">
        <v>12749</v>
      </c>
      <c r="P235" s="187">
        <v>92.63</v>
      </c>
      <c r="Q235" s="187">
        <v>81.319999999999993</v>
      </c>
      <c r="R235" s="187">
        <v>53.61</v>
      </c>
      <c r="S235" s="187">
        <v>143.84</v>
      </c>
      <c r="T235" s="187">
        <v>2165</v>
      </c>
      <c r="U235" s="187">
        <v>106.65</v>
      </c>
      <c r="V235" s="187">
        <v>2395</v>
      </c>
      <c r="W235" s="187">
        <v>158.27000000000001</v>
      </c>
      <c r="X235" s="187">
        <v>20</v>
      </c>
      <c r="Y235" s="187">
        <v>0</v>
      </c>
      <c r="Z235" s="187">
        <v>45</v>
      </c>
      <c r="AA235" s="187">
        <v>25</v>
      </c>
      <c r="AB235" s="187">
        <v>76</v>
      </c>
      <c r="AC235" s="187">
        <v>13</v>
      </c>
      <c r="AD235" s="187">
        <v>15303</v>
      </c>
      <c r="AE235" s="187">
        <v>89</v>
      </c>
      <c r="AF235" s="187">
        <v>106</v>
      </c>
      <c r="AG235" s="187">
        <v>195</v>
      </c>
      <c r="AH235" s="187"/>
      <c r="AI235" s="187"/>
      <c r="AJ235" s="187"/>
      <c r="AK235" s="187"/>
      <c r="AL235" s="187"/>
      <c r="AM235" s="187"/>
      <c r="AN235" s="187"/>
      <c r="AO235" s="187"/>
      <c r="AP235" s="187"/>
      <c r="AQ235" s="187"/>
      <c r="AR235" s="187"/>
      <c r="AS235" s="187"/>
      <c r="AT235" s="187"/>
      <c r="AU235" s="187"/>
      <c r="AV235" s="187"/>
      <c r="AW235" s="187"/>
      <c r="AX235" s="187"/>
      <c r="AY235" s="187"/>
      <c r="AZ235" s="187"/>
      <c r="BA235" s="187"/>
      <c r="BB235" s="187"/>
      <c r="BC235" s="187"/>
      <c r="BD235" s="187"/>
      <c r="BE235" s="187"/>
      <c r="BF235" s="187"/>
      <c r="BG235" s="187"/>
      <c r="BH235" s="187"/>
      <c r="BI235" s="187"/>
      <c r="BJ235" s="187"/>
      <c r="BK235" s="187"/>
      <c r="BL235" s="187"/>
      <c r="BM235" s="187"/>
      <c r="BN235" s="187"/>
      <c r="BO235" s="187"/>
      <c r="BP235" s="187"/>
      <c r="BQ235" s="187"/>
      <c r="BR235" s="187"/>
      <c r="BS235" s="187"/>
      <c r="BT235" s="187"/>
      <c r="BU235" s="187"/>
      <c r="BV235" s="187"/>
      <c r="BW235" s="187"/>
      <c r="BX235" s="187"/>
      <c r="BY235" s="187"/>
      <c r="BZ235" s="187"/>
      <c r="CA235" s="187"/>
      <c r="CB235" s="187"/>
      <c r="CC235" s="187"/>
      <c r="CD235" s="187"/>
      <c r="CE235" s="187"/>
      <c r="CF235" s="187"/>
      <c r="CG235" s="187"/>
      <c r="CH235" s="187"/>
      <c r="CI235" s="187"/>
      <c r="CJ235" s="187"/>
      <c r="CK235" s="187"/>
      <c r="CL235" s="187"/>
      <c r="CM235" s="187"/>
      <c r="CN235" s="187"/>
      <c r="CO235" s="187"/>
      <c r="CP235" s="187"/>
      <c r="CQ235" s="187"/>
      <c r="CR235" s="187"/>
      <c r="CS235" s="187"/>
      <c r="CT235" s="187"/>
      <c r="CU235" s="187"/>
      <c r="CV235" s="187"/>
      <c r="CW235" s="187"/>
      <c r="CX235" s="187"/>
      <c r="CY235" s="187"/>
      <c r="CZ235" s="187"/>
      <c r="DA235" s="187"/>
      <c r="DB235" s="187"/>
      <c r="DC235" s="187"/>
      <c r="DD235" s="187"/>
      <c r="DE235" s="187"/>
      <c r="DF235" s="187"/>
      <c r="DG235" s="187"/>
      <c r="DH235" s="187"/>
      <c r="DI235" s="187"/>
      <c r="DJ235" s="187"/>
      <c r="DK235" s="187"/>
      <c r="DL235" s="187"/>
      <c r="DM235" s="187"/>
      <c r="DN235" s="187"/>
      <c r="DO235" s="187"/>
      <c r="DP235" s="187"/>
      <c r="DQ235" s="187"/>
      <c r="DR235" s="187"/>
      <c r="DS235" s="187"/>
      <c r="DT235" s="187"/>
      <c r="DU235" s="187"/>
      <c r="DV235" s="187"/>
      <c r="DW235" s="187"/>
      <c r="DX235" s="187"/>
      <c r="DY235" s="187"/>
      <c r="DZ235" s="187"/>
      <c r="EA235" s="187"/>
      <c r="EB235" s="187"/>
      <c r="EC235" s="187"/>
      <c r="ED235" s="187"/>
      <c r="EE235" s="187"/>
      <c r="EF235" s="187"/>
      <c r="EG235" s="187"/>
      <c r="EH235" s="187"/>
      <c r="EI235" s="187"/>
      <c r="EJ235" s="187"/>
      <c r="EK235" s="187"/>
      <c r="EL235" s="187"/>
      <c r="EM235" s="187"/>
      <c r="EN235" s="187"/>
      <c r="EO235" s="187"/>
      <c r="EP235" s="187"/>
      <c r="EQ235" s="187"/>
      <c r="ER235" s="187"/>
      <c r="ES235" s="187"/>
      <c r="ET235" s="187"/>
      <c r="EU235" s="187"/>
      <c r="EV235" s="187"/>
      <c r="EW235" s="187"/>
      <c r="EX235" s="187"/>
      <c r="EY235" s="187"/>
      <c r="EZ235" s="187"/>
      <c r="FA235" s="187"/>
      <c r="FB235" s="187"/>
      <c r="FC235" s="187"/>
    </row>
    <row r="236" spans="1:159" ht="15" x14ac:dyDescent="0.25">
      <c r="A236" s="187" t="s">
        <v>526</v>
      </c>
      <c r="B236" s="187" t="s">
        <v>527</v>
      </c>
      <c r="C236" s="187">
        <v>12710</v>
      </c>
      <c r="D236" s="187">
        <v>161</v>
      </c>
      <c r="E236" s="187">
        <v>479</v>
      </c>
      <c r="F236" s="187">
        <v>1743</v>
      </c>
      <c r="G236" s="187">
        <v>1059</v>
      </c>
      <c r="H236" s="187">
        <v>16152</v>
      </c>
      <c r="I236" s="187">
        <v>15093</v>
      </c>
      <c r="J236" s="187">
        <v>4</v>
      </c>
      <c r="K236" s="187">
        <v>93.98</v>
      </c>
      <c r="L236" s="187">
        <v>91.97</v>
      </c>
      <c r="M236" s="187">
        <v>3.72</v>
      </c>
      <c r="N236" s="187">
        <v>95.98</v>
      </c>
      <c r="O236" s="187">
        <v>9936</v>
      </c>
      <c r="P236" s="187">
        <v>91.2</v>
      </c>
      <c r="Q236" s="187">
        <v>84.26</v>
      </c>
      <c r="R236" s="187">
        <v>28.27</v>
      </c>
      <c r="S236" s="187">
        <v>119.22</v>
      </c>
      <c r="T236" s="187">
        <v>1633</v>
      </c>
      <c r="U236" s="187">
        <v>115.27</v>
      </c>
      <c r="V236" s="187">
        <v>2068</v>
      </c>
      <c r="W236" s="187">
        <v>220.29</v>
      </c>
      <c r="X236" s="187">
        <v>482</v>
      </c>
      <c r="Y236" s="187">
        <v>0</v>
      </c>
      <c r="Z236" s="187">
        <v>15</v>
      </c>
      <c r="AA236" s="187">
        <v>10</v>
      </c>
      <c r="AB236" s="187">
        <v>77</v>
      </c>
      <c r="AC236" s="187">
        <v>27</v>
      </c>
      <c r="AD236" s="187">
        <v>12413</v>
      </c>
      <c r="AE236" s="187">
        <v>132</v>
      </c>
      <c r="AF236" s="187">
        <v>129</v>
      </c>
      <c r="AG236" s="187">
        <v>261</v>
      </c>
      <c r="AH236" s="187"/>
      <c r="AI236" s="187"/>
      <c r="AJ236" s="187"/>
      <c r="AK236" s="187"/>
      <c r="AL236" s="187"/>
      <c r="AM236" s="187"/>
      <c r="AN236" s="187"/>
      <c r="AO236" s="187"/>
      <c r="AP236" s="187"/>
      <c r="AQ236" s="187"/>
      <c r="AR236" s="187"/>
      <c r="AS236" s="187"/>
      <c r="AT236" s="187"/>
      <c r="AU236" s="187"/>
      <c r="AV236" s="187"/>
      <c r="AW236" s="187"/>
      <c r="AX236" s="187"/>
      <c r="AY236" s="187"/>
      <c r="AZ236" s="187"/>
      <c r="BA236" s="187"/>
      <c r="BB236" s="187"/>
      <c r="BC236" s="187"/>
      <c r="BD236" s="187"/>
      <c r="BE236" s="187"/>
      <c r="BF236" s="187"/>
      <c r="BG236" s="187"/>
      <c r="BH236" s="187"/>
      <c r="BI236" s="187"/>
      <c r="BJ236" s="187"/>
      <c r="BK236" s="187"/>
      <c r="BL236" s="187"/>
      <c r="BM236" s="187"/>
      <c r="BN236" s="187"/>
      <c r="BO236" s="187"/>
      <c r="BP236" s="187"/>
      <c r="BQ236" s="187"/>
      <c r="BR236" s="187"/>
      <c r="BS236" s="187"/>
      <c r="BT236" s="187"/>
      <c r="BU236" s="187"/>
      <c r="BV236" s="187"/>
      <c r="BW236" s="187"/>
      <c r="BX236" s="187"/>
      <c r="BY236" s="187"/>
      <c r="BZ236" s="187"/>
      <c r="CA236" s="187"/>
      <c r="CB236" s="187"/>
      <c r="CC236" s="187"/>
      <c r="CD236" s="187"/>
      <c r="CE236" s="187"/>
      <c r="CF236" s="187"/>
      <c r="CG236" s="187"/>
      <c r="CH236" s="187"/>
      <c r="CI236" s="187"/>
      <c r="CJ236" s="187"/>
      <c r="CK236" s="187"/>
      <c r="CL236" s="187"/>
      <c r="CM236" s="187"/>
      <c r="CN236" s="187"/>
      <c r="CO236" s="187"/>
      <c r="CP236" s="187"/>
      <c r="CQ236" s="187"/>
      <c r="CR236" s="187"/>
      <c r="CS236" s="187"/>
      <c r="CT236" s="187"/>
      <c r="CU236" s="187"/>
      <c r="CV236" s="187"/>
      <c r="CW236" s="187"/>
      <c r="CX236" s="187"/>
      <c r="CY236" s="187"/>
      <c r="CZ236" s="187"/>
      <c r="DA236" s="187"/>
      <c r="DB236" s="187"/>
      <c r="DC236" s="187"/>
      <c r="DD236" s="187"/>
      <c r="DE236" s="187"/>
      <c r="DF236" s="187"/>
      <c r="DG236" s="187"/>
      <c r="DH236" s="187"/>
      <c r="DI236" s="187"/>
      <c r="DJ236" s="187"/>
      <c r="DK236" s="187"/>
      <c r="DL236" s="187"/>
      <c r="DM236" s="187"/>
      <c r="DN236" s="187"/>
      <c r="DO236" s="187"/>
      <c r="DP236" s="187"/>
      <c r="DQ236" s="187"/>
      <c r="DR236" s="187"/>
      <c r="DS236" s="187"/>
      <c r="DT236" s="187"/>
      <c r="DU236" s="187"/>
      <c r="DV236" s="187"/>
      <c r="DW236" s="187"/>
      <c r="DX236" s="187"/>
      <c r="DY236" s="187"/>
      <c r="DZ236" s="187"/>
      <c r="EA236" s="187"/>
      <c r="EB236" s="187"/>
      <c r="EC236" s="187"/>
      <c r="ED236" s="187"/>
      <c r="EE236" s="187"/>
      <c r="EF236" s="187"/>
      <c r="EG236" s="187"/>
      <c r="EH236" s="187"/>
      <c r="EI236" s="187"/>
      <c r="EJ236" s="187"/>
      <c r="EK236" s="187"/>
      <c r="EL236" s="187"/>
      <c r="EM236" s="187"/>
      <c r="EN236" s="187"/>
      <c r="EO236" s="187"/>
      <c r="EP236" s="187"/>
      <c r="EQ236" s="187"/>
      <c r="ER236" s="187"/>
      <c r="ES236" s="187"/>
      <c r="ET236" s="187"/>
      <c r="EU236" s="187"/>
      <c r="EV236" s="187"/>
      <c r="EW236" s="187"/>
      <c r="EX236" s="187"/>
      <c r="EY236" s="187"/>
      <c r="EZ236" s="187"/>
      <c r="FA236" s="187"/>
      <c r="FB236" s="187"/>
      <c r="FC236" s="187"/>
    </row>
    <row r="237" spans="1:159" ht="15" x14ac:dyDescent="0.25">
      <c r="A237" s="187" t="s">
        <v>528</v>
      </c>
      <c r="B237" s="187" t="s">
        <v>529</v>
      </c>
      <c r="C237" s="187">
        <v>3839</v>
      </c>
      <c r="D237" s="187">
        <v>24</v>
      </c>
      <c r="E237" s="187">
        <v>348</v>
      </c>
      <c r="F237" s="187">
        <v>232</v>
      </c>
      <c r="G237" s="187">
        <v>559</v>
      </c>
      <c r="H237" s="187">
        <v>5002</v>
      </c>
      <c r="I237" s="187">
        <v>4443</v>
      </c>
      <c r="J237" s="187">
        <v>6</v>
      </c>
      <c r="K237" s="187">
        <v>128.43</v>
      </c>
      <c r="L237" s="187">
        <v>126.74</v>
      </c>
      <c r="M237" s="187">
        <v>9.2799999999999994</v>
      </c>
      <c r="N237" s="187">
        <v>136.13</v>
      </c>
      <c r="O237" s="187">
        <v>3444</v>
      </c>
      <c r="P237" s="187">
        <v>115.44</v>
      </c>
      <c r="Q237" s="187">
        <v>106.27</v>
      </c>
      <c r="R237" s="187">
        <v>69.319999999999993</v>
      </c>
      <c r="S237" s="187">
        <v>167.02</v>
      </c>
      <c r="T237" s="187">
        <v>461</v>
      </c>
      <c r="U237" s="187">
        <v>159.43</v>
      </c>
      <c r="V237" s="187">
        <v>177</v>
      </c>
      <c r="W237" s="187">
        <v>0</v>
      </c>
      <c r="X237" s="187">
        <v>0</v>
      </c>
      <c r="Y237" s="187">
        <v>0</v>
      </c>
      <c r="Z237" s="187">
        <v>6</v>
      </c>
      <c r="AA237" s="187">
        <v>0</v>
      </c>
      <c r="AB237" s="187">
        <v>0</v>
      </c>
      <c r="AC237" s="187">
        <v>15</v>
      </c>
      <c r="AD237" s="187">
        <v>3652</v>
      </c>
      <c r="AE237" s="187">
        <v>21</v>
      </c>
      <c r="AF237" s="187">
        <v>55</v>
      </c>
      <c r="AG237" s="187">
        <v>76</v>
      </c>
      <c r="AH237" s="187"/>
      <c r="AI237" s="187"/>
      <c r="AJ237" s="187"/>
      <c r="AK237" s="187"/>
      <c r="AL237" s="187"/>
      <c r="AM237" s="187"/>
      <c r="AN237" s="187"/>
      <c r="AO237" s="187"/>
      <c r="AP237" s="187"/>
      <c r="AQ237" s="187"/>
      <c r="AR237" s="187"/>
      <c r="AS237" s="187"/>
      <c r="AT237" s="187"/>
      <c r="AU237" s="187"/>
      <c r="AV237" s="187"/>
      <c r="AW237" s="187"/>
      <c r="AX237" s="187"/>
      <c r="AY237" s="187"/>
      <c r="AZ237" s="187"/>
      <c r="BA237" s="187"/>
      <c r="BB237" s="187"/>
      <c r="BC237" s="187"/>
      <c r="BD237" s="187"/>
      <c r="BE237" s="187"/>
      <c r="BF237" s="187"/>
      <c r="BG237" s="187"/>
      <c r="BH237" s="187"/>
      <c r="BI237" s="187"/>
      <c r="BJ237" s="187"/>
      <c r="BK237" s="187"/>
      <c r="BL237" s="187"/>
      <c r="BM237" s="187"/>
      <c r="BN237" s="187"/>
      <c r="BO237" s="187"/>
      <c r="BP237" s="187"/>
      <c r="BQ237" s="187"/>
      <c r="BR237" s="187"/>
      <c r="BS237" s="187"/>
      <c r="BT237" s="187"/>
      <c r="BU237" s="187"/>
      <c r="BV237" s="187"/>
      <c r="BW237" s="187"/>
      <c r="BX237" s="187"/>
      <c r="BY237" s="187"/>
      <c r="BZ237" s="187"/>
      <c r="CA237" s="187"/>
      <c r="CB237" s="187"/>
      <c r="CC237" s="187"/>
      <c r="CD237" s="187"/>
      <c r="CE237" s="187"/>
      <c r="CF237" s="187"/>
      <c r="CG237" s="187"/>
      <c r="CH237" s="187"/>
      <c r="CI237" s="187"/>
      <c r="CJ237" s="187"/>
      <c r="CK237" s="187"/>
      <c r="CL237" s="187"/>
      <c r="CM237" s="187"/>
      <c r="CN237" s="187"/>
      <c r="CO237" s="187"/>
      <c r="CP237" s="187"/>
      <c r="CQ237" s="187"/>
      <c r="CR237" s="187"/>
      <c r="CS237" s="187"/>
      <c r="CT237" s="187"/>
      <c r="CU237" s="187"/>
      <c r="CV237" s="187"/>
      <c r="CW237" s="187"/>
      <c r="CX237" s="187"/>
      <c r="CY237" s="187"/>
      <c r="CZ237" s="187"/>
      <c r="DA237" s="187"/>
      <c r="DB237" s="187"/>
      <c r="DC237" s="187"/>
      <c r="DD237" s="187"/>
      <c r="DE237" s="187"/>
      <c r="DF237" s="187"/>
      <c r="DG237" s="187"/>
      <c r="DH237" s="187"/>
      <c r="DI237" s="187"/>
      <c r="DJ237" s="187"/>
      <c r="DK237" s="187"/>
      <c r="DL237" s="187"/>
      <c r="DM237" s="187"/>
      <c r="DN237" s="187"/>
      <c r="DO237" s="187"/>
      <c r="DP237" s="187"/>
      <c r="DQ237" s="187"/>
      <c r="DR237" s="187"/>
      <c r="DS237" s="187"/>
      <c r="DT237" s="187"/>
      <c r="DU237" s="187"/>
      <c r="DV237" s="187"/>
      <c r="DW237" s="187"/>
      <c r="DX237" s="187"/>
      <c r="DY237" s="187"/>
      <c r="DZ237" s="187"/>
      <c r="EA237" s="187"/>
      <c r="EB237" s="187"/>
      <c r="EC237" s="187"/>
      <c r="ED237" s="187"/>
      <c r="EE237" s="187"/>
      <c r="EF237" s="187"/>
      <c r="EG237" s="187"/>
      <c r="EH237" s="187"/>
      <c r="EI237" s="187"/>
      <c r="EJ237" s="187"/>
      <c r="EK237" s="187"/>
      <c r="EL237" s="187"/>
      <c r="EM237" s="187"/>
      <c r="EN237" s="187"/>
      <c r="EO237" s="187"/>
      <c r="EP237" s="187"/>
      <c r="EQ237" s="187"/>
      <c r="ER237" s="187"/>
      <c r="ES237" s="187"/>
      <c r="ET237" s="187"/>
      <c r="EU237" s="187"/>
      <c r="EV237" s="187"/>
      <c r="EW237" s="187"/>
      <c r="EX237" s="187"/>
      <c r="EY237" s="187"/>
      <c r="EZ237" s="187"/>
      <c r="FA237" s="187"/>
      <c r="FB237" s="187"/>
      <c r="FC237" s="187"/>
    </row>
    <row r="238" spans="1:159" ht="15" x14ac:dyDescent="0.25">
      <c r="A238" s="187" t="s">
        <v>530</v>
      </c>
      <c r="B238" s="187" t="s">
        <v>531</v>
      </c>
      <c r="C238" s="187">
        <v>2765</v>
      </c>
      <c r="D238" s="187">
        <v>0</v>
      </c>
      <c r="E238" s="187">
        <v>181</v>
      </c>
      <c r="F238" s="187">
        <v>599</v>
      </c>
      <c r="G238" s="187">
        <v>671</v>
      </c>
      <c r="H238" s="187">
        <v>4216</v>
      </c>
      <c r="I238" s="187">
        <v>3545</v>
      </c>
      <c r="J238" s="187">
        <v>3</v>
      </c>
      <c r="K238" s="187">
        <v>111.27</v>
      </c>
      <c r="L238" s="187">
        <v>109.8</v>
      </c>
      <c r="M238" s="187">
        <v>5.84</v>
      </c>
      <c r="N238" s="187">
        <v>115.96</v>
      </c>
      <c r="O238" s="187">
        <v>2128</v>
      </c>
      <c r="P238" s="187">
        <v>104.19</v>
      </c>
      <c r="Q238" s="187">
        <v>90.95</v>
      </c>
      <c r="R238" s="187">
        <v>67.430000000000007</v>
      </c>
      <c r="S238" s="187">
        <v>170.82</v>
      </c>
      <c r="T238" s="187">
        <v>420</v>
      </c>
      <c r="U238" s="187">
        <v>123.14</v>
      </c>
      <c r="V238" s="187">
        <v>572</v>
      </c>
      <c r="W238" s="187">
        <v>235.44</v>
      </c>
      <c r="X238" s="187">
        <v>38</v>
      </c>
      <c r="Y238" s="187">
        <v>64</v>
      </c>
      <c r="Z238" s="187">
        <v>4</v>
      </c>
      <c r="AA238" s="187">
        <v>0</v>
      </c>
      <c r="AB238" s="187">
        <v>40</v>
      </c>
      <c r="AC238" s="187">
        <v>19</v>
      </c>
      <c r="AD238" s="187">
        <v>2728</v>
      </c>
      <c r="AE238" s="187">
        <v>17</v>
      </c>
      <c r="AF238" s="187">
        <v>7</v>
      </c>
      <c r="AG238" s="187">
        <v>24</v>
      </c>
      <c r="AH238" s="187"/>
      <c r="AI238" s="187"/>
      <c r="AJ238" s="187"/>
      <c r="AK238" s="187"/>
      <c r="AL238" s="187"/>
      <c r="AM238" s="187"/>
      <c r="AN238" s="187"/>
      <c r="AO238" s="187"/>
      <c r="AP238" s="187"/>
      <c r="AQ238" s="187"/>
      <c r="AR238" s="187"/>
      <c r="AS238" s="187"/>
      <c r="AT238" s="187"/>
      <c r="AU238" s="187"/>
      <c r="AV238" s="187"/>
      <c r="AW238" s="187"/>
      <c r="AX238" s="187"/>
      <c r="AY238" s="187"/>
      <c r="AZ238" s="187"/>
      <c r="BA238" s="187"/>
      <c r="BB238" s="187"/>
      <c r="BC238" s="187"/>
      <c r="BD238" s="187"/>
      <c r="BE238" s="187"/>
      <c r="BF238" s="187"/>
      <c r="BG238" s="187"/>
      <c r="BH238" s="187"/>
      <c r="BI238" s="187"/>
      <c r="BJ238" s="187"/>
      <c r="BK238" s="187"/>
      <c r="BL238" s="187"/>
      <c r="BM238" s="187"/>
      <c r="BN238" s="187"/>
      <c r="BO238" s="187"/>
      <c r="BP238" s="187"/>
      <c r="BQ238" s="187"/>
      <c r="BR238" s="187"/>
      <c r="BS238" s="187"/>
      <c r="BT238" s="187"/>
      <c r="BU238" s="187"/>
      <c r="BV238" s="187"/>
      <c r="BW238" s="187"/>
      <c r="BX238" s="187"/>
      <c r="BY238" s="187"/>
      <c r="BZ238" s="187"/>
      <c r="CA238" s="187"/>
      <c r="CB238" s="187"/>
      <c r="CC238" s="187"/>
      <c r="CD238" s="187"/>
      <c r="CE238" s="187"/>
      <c r="CF238" s="187"/>
      <c r="CG238" s="187"/>
      <c r="CH238" s="187"/>
      <c r="CI238" s="187"/>
      <c r="CJ238" s="187"/>
      <c r="CK238" s="187"/>
      <c r="CL238" s="187"/>
      <c r="CM238" s="187"/>
      <c r="CN238" s="187"/>
      <c r="CO238" s="187"/>
      <c r="CP238" s="187"/>
      <c r="CQ238" s="187"/>
      <c r="CR238" s="187"/>
      <c r="CS238" s="187"/>
      <c r="CT238" s="187"/>
      <c r="CU238" s="187"/>
      <c r="CV238" s="187"/>
      <c r="CW238" s="187"/>
      <c r="CX238" s="187"/>
      <c r="CY238" s="187"/>
      <c r="CZ238" s="187"/>
      <c r="DA238" s="187"/>
      <c r="DB238" s="187"/>
      <c r="DC238" s="187"/>
      <c r="DD238" s="187"/>
      <c r="DE238" s="187"/>
      <c r="DF238" s="187"/>
      <c r="DG238" s="187"/>
      <c r="DH238" s="187"/>
      <c r="DI238" s="187"/>
      <c r="DJ238" s="187"/>
      <c r="DK238" s="187"/>
      <c r="DL238" s="187"/>
      <c r="DM238" s="187"/>
      <c r="DN238" s="187"/>
      <c r="DO238" s="187"/>
      <c r="DP238" s="187"/>
      <c r="DQ238" s="187"/>
      <c r="DR238" s="187"/>
      <c r="DS238" s="187"/>
      <c r="DT238" s="187"/>
      <c r="DU238" s="187"/>
      <c r="DV238" s="187"/>
      <c r="DW238" s="187"/>
      <c r="DX238" s="187"/>
      <c r="DY238" s="187"/>
      <c r="DZ238" s="187"/>
      <c r="EA238" s="187"/>
      <c r="EB238" s="187"/>
      <c r="EC238" s="187"/>
      <c r="ED238" s="187"/>
      <c r="EE238" s="187"/>
      <c r="EF238" s="187"/>
      <c r="EG238" s="187"/>
      <c r="EH238" s="187"/>
      <c r="EI238" s="187"/>
      <c r="EJ238" s="187"/>
      <c r="EK238" s="187"/>
      <c r="EL238" s="187"/>
      <c r="EM238" s="187"/>
      <c r="EN238" s="187"/>
      <c r="EO238" s="187"/>
      <c r="EP238" s="187"/>
      <c r="EQ238" s="187"/>
      <c r="ER238" s="187"/>
      <c r="ES238" s="187"/>
      <c r="ET238" s="187"/>
      <c r="EU238" s="187"/>
      <c r="EV238" s="187"/>
      <c r="EW238" s="187"/>
      <c r="EX238" s="187"/>
      <c r="EY238" s="187"/>
      <c r="EZ238" s="187"/>
      <c r="FA238" s="187"/>
      <c r="FB238" s="187"/>
      <c r="FC238" s="187"/>
    </row>
    <row r="239" spans="1:159" ht="15" x14ac:dyDescent="0.25">
      <c r="A239" s="187" t="s">
        <v>532</v>
      </c>
      <c r="B239" s="187" t="s">
        <v>533</v>
      </c>
      <c r="C239" s="187">
        <v>4335</v>
      </c>
      <c r="D239" s="187">
        <v>0</v>
      </c>
      <c r="E239" s="187">
        <v>459</v>
      </c>
      <c r="F239" s="187">
        <v>819</v>
      </c>
      <c r="G239" s="187">
        <v>780</v>
      </c>
      <c r="H239" s="187">
        <v>6393</v>
      </c>
      <c r="I239" s="187">
        <v>5613</v>
      </c>
      <c r="J239" s="187">
        <v>1</v>
      </c>
      <c r="K239" s="187">
        <v>102.46</v>
      </c>
      <c r="L239" s="187">
        <v>100.75</v>
      </c>
      <c r="M239" s="187">
        <v>4.9000000000000004</v>
      </c>
      <c r="N239" s="187">
        <v>106.56</v>
      </c>
      <c r="O239" s="187">
        <v>3490</v>
      </c>
      <c r="P239" s="187">
        <v>97.99</v>
      </c>
      <c r="Q239" s="187">
        <v>93.38</v>
      </c>
      <c r="R239" s="187">
        <v>40.61</v>
      </c>
      <c r="S239" s="187">
        <v>137.91999999999999</v>
      </c>
      <c r="T239" s="187">
        <v>1020</v>
      </c>
      <c r="U239" s="187">
        <v>124.71</v>
      </c>
      <c r="V239" s="187">
        <v>404</v>
      </c>
      <c r="W239" s="187">
        <v>139.18</v>
      </c>
      <c r="X239" s="187">
        <v>78</v>
      </c>
      <c r="Y239" s="187">
        <v>0</v>
      </c>
      <c r="Z239" s="187">
        <v>3</v>
      </c>
      <c r="AA239" s="187">
        <v>8</v>
      </c>
      <c r="AB239" s="187">
        <v>106</v>
      </c>
      <c r="AC239" s="187">
        <v>17</v>
      </c>
      <c r="AD239" s="187">
        <v>3988</v>
      </c>
      <c r="AE239" s="187">
        <v>13</v>
      </c>
      <c r="AF239" s="187">
        <v>5</v>
      </c>
      <c r="AG239" s="187">
        <v>18</v>
      </c>
      <c r="AH239" s="187"/>
      <c r="AI239" s="187"/>
      <c r="AJ239" s="187"/>
      <c r="AK239" s="187"/>
      <c r="AL239" s="187"/>
      <c r="AM239" s="187"/>
      <c r="AN239" s="187"/>
      <c r="AO239" s="187"/>
      <c r="AP239" s="187"/>
      <c r="AQ239" s="187"/>
      <c r="AR239" s="187"/>
      <c r="AS239" s="187"/>
      <c r="AT239" s="187"/>
      <c r="AU239" s="187"/>
      <c r="AV239" s="187"/>
      <c r="AW239" s="187"/>
      <c r="AX239" s="187"/>
      <c r="AY239" s="187"/>
      <c r="AZ239" s="187"/>
      <c r="BA239" s="187"/>
      <c r="BB239" s="187"/>
      <c r="BC239" s="187"/>
      <c r="BD239" s="187"/>
      <c r="BE239" s="187"/>
      <c r="BF239" s="187"/>
      <c r="BG239" s="187"/>
      <c r="BH239" s="187"/>
      <c r="BI239" s="187"/>
      <c r="BJ239" s="187"/>
      <c r="BK239" s="187"/>
      <c r="BL239" s="187"/>
      <c r="BM239" s="187"/>
      <c r="BN239" s="187"/>
      <c r="BO239" s="187"/>
      <c r="BP239" s="187"/>
      <c r="BQ239" s="187"/>
      <c r="BR239" s="187"/>
      <c r="BS239" s="187"/>
      <c r="BT239" s="187"/>
      <c r="BU239" s="187"/>
      <c r="BV239" s="187"/>
      <c r="BW239" s="187"/>
      <c r="BX239" s="187"/>
      <c r="BY239" s="187"/>
      <c r="BZ239" s="187"/>
      <c r="CA239" s="187"/>
      <c r="CB239" s="187"/>
      <c r="CC239" s="187"/>
      <c r="CD239" s="187"/>
      <c r="CE239" s="187"/>
      <c r="CF239" s="187"/>
      <c r="CG239" s="187"/>
      <c r="CH239" s="187"/>
      <c r="CI239" s="187"/>
      <c r="CJ239" s="187"/>
      <c r="CK239" s="187"/>
      <c r="CL239" s="187"/>
      <c r="CM239" s="187"/>
      <c r="CN239" s="187"/>
      <c r="CO239" s="187"/>
      <c r="CP239" s="187"/>
      <c r="CQ239" s="187"/>
      <c r="CR239" s="187"/>
      <c r="CS239" s="187"/>
      <c r="CT239" s="187"/>
      <c r="CU239" s="187"/>
      <c r="CV239" s="187"/>
      <c r="CW239" s="187"/>
      <c r="CX239" s="187"/>
      <c r="CY239" s="187"/>
      <c r="CZ239" s="187"/>
      <c r="DA239" s="187"/>
      <c r="DB239" s="187"/>
      <c r="DC239" s="187"/>
      <c r="DD239" s="187"/>
      <c r="DE239" s="187"/>
      <c r="DF239" s="187"/>
      <c r="DG239" s="187"/>
      <c r="DH239" s="187"/>
      <c r="DI239" s="187"/>
      <c r="DJ239" s="187"/>
      <c r="DK239" s="187"/>
      <c r="DL239" s="187"/>
      <c r="DM239" s="187"/>
      <c r="DN239" s="187"/>
      <c r="DO239" s="187"/>
      <c r="DP239" s="187"/>
      <c r="DQ239" s="187"/>
      <c r="DR239" s="187"/>
      <c r="DS239" s="187"/>
      <c r="DT239" s="187"/>
      <c r="DU239" s="187"/>
      <c r="DV239" s="187"/>
      <c r="DW239" s="187"/>
      <c r="DX239" s="187"/>
      <c r="DY239" s="187"/>
      <c r="DZ239" s="187"/>
      <c r="EA239" s="187"/>
      <c r="EB239" s="187"/>
      <c r="EC239" s="187"/>
      <c r="ED239" s="187"/>
      <c r="EE239" s="187"/>
      <c r="EF239" s="187"/>
      <c r="EG239" s="187"/>
      <c r="EH239" s="187"/>
      <c r="EI239" s="187"/>
      <c r="EJ239" s="187"/>
      <c r="EK239" s="187"/>
      <c r="EL239" s="187"/>
      <c r="EM239" s="187"/>
      <c r="EN239" s="187"/>
      <c r="EO239" s="187"/>
      <c r="EP239" s="187"/>
      <c r="EQ239" s="187"/>
      <c r="ER239" s="187"/>
      <c r="ES239" s="187"/>
      <c r="ET239" s="187"/>
      <c r="EU239" s="187"/>
      <c r="EV239" s="187"/>
      <c r="EW239" s="187"/>
      <c r="EX239" s="187"/>
      <c r="EY239" s="187"/>
      <c r="EZ239" s="187"/>
      <c r="FA239" s="187"/>
      <c r="FB239" s="187"/>
      <c r="FC239" s="187"/>
    </row>
    <row r="240" spans="1:159" ht="15" x14ac:dyDescent="0.25">
      <c r="A240" s="187" t="s">
        <v>534</v>
      </c>
      <c r="B240" s="187" t="s">
        <v>535</v>
      </c>
      <c r="C240" s="187">
        <v>3987</v>
      </c>
      <c r="D240" s="187">
        <v>0</v>
      </c>
      <c r="E240" s="187">
        <v>367</v>
      </c>
      <c r="F240" s="187">
        <v>191</v>
      </c>
      <c r="G240" s="187">
        <v>1509</v>
      </c>
      <c r="H240" s="187">
        <v>6054</v>
      </c>
      <c r="I240" s="187">
        <v>4545</v>
      </c>
      <c r="J240" s="187">
        <v>25</v>
      </c>
      <c r="K240" s="187">
        <v>119.06</v>
      </c>
      <c r="L240" s="187">
        <v>117.03</v>
      </c>
      <c r="M240" s="187">
        <v>4.05</v>
      </c>
      <c r="N240" s="187">
        <v>122.57</v>
      </c>
      <c r="O240" s="187">
        <v>2407</v>
      </c>
      <c r="P240" s="187">
        <v>112.37</v>
      </c>
      <c r="Q240" s="187">
        <v>106.15</v>
      </c>
      <c r="R240" s="187">
        <v>56.76</v>
      </c>
      <c r="S240" s="187">
        <v>169.12</v>
      </c>
      <c r="T240" s="187">
        <v>246</v>
      </c>
      <c r="U240" s="187">
        <v>172.59</v>
      </c>
      <c r="V240" s="187">
        <v>1213</v>
      </c>
      <c r="W240" s="187">
        <v>194.1</v>
      </c>
      <c r="X240" s="187">
        <v>89</v>
      </c>
      <c r="Y240" s="187">
        <v>0</v>
      </c>
      <c r="Z240" s="187">
        <v>0</v>
      </c>
      <c r="AA240" s="187">
        <v>0</v>
      </c>
      <c r="AB240" s="187">
        <v>112</v>
      </c>
      <c r="AC240" s="187">
        <v>33</v>
      </c>
      <c r="AD240" s="187">
        <v>3761</v>
      </c>
      <c r="AE240" s="187">
        <v>31</v>
      </c>
      <c r="AF240" s="187">
        <v>37</v>
      </c>
      <c r="AG240" s="187">
        <v>68</v>
      </c>
      <c r="AH240" s="187"/>
      <c r="AI240" s="187"/>
      <c r="AJ240" s="187"/>
      <c r="AK240" s="187"/>
      <c r="AL240" s="187"/>
      <c r="AM240" s="187"/>
      <c r="AN240" s="187"/>
      <c r="AO240" s="187"/>
      <c r="AP240" s="187"/>
      <c r="AQ240" s="187"/>
      <c r="AR240" s="187"/>
      <c r="AS240" s="187"/>
      <c r="AT240" s="187"/>
      <c r="AU240" s="187"/>
      <c r="AV240" s="187"/>
      <c r="AW240" s="187"/>
      <c r="AX240" s="187"/>
      <c r="AY240" s="187"/>
      <c r="AZ240" s="187"/>
      <c r="BA240" s="187"/>
      <c r="BB240" s="187"/>
      <c r="BC240" s="187"/>
      <c r="BD240" s="187"/>
      <c r="BE240" s="187"/>
      <c r="BF240" s="187"/>
      <c r="BG240" s="187"/>
      <c r="BH240" s="187"/>
      <c r="BI240" s="187"/>
      <c r="BJ240" s="187"/>
      <c r="BK240" s="187"/>
      <c r="BL240" s="187"/>
      <c r="BM240" s="187"/>
      <c r="BN240" s="187"/>
      <c r="BO240" s="187"/>
      <c r="BP240" s="187"/>
      <c r="BQ240" s="187"/>
      <c r="BR240" s="187"/>
      <c r="BS240" s="187"/>
      <c r="BT240" s="187"/>
      <c r="BU240" s="187"/>
      <c r="BV240" s="187"/>
      <c r="BW240" s="187"/>
      <c r="BX240" s="187"/>
      <c r="BY240" s="187"/>
      <c r="BZ240" s="187"/>
      <c r="CA240" s="187"/>
      <c r="CB240" s="187"/>
      <c r="CC240" s="187"/>
      <c r="CD240" s="187"/>
      <c r="CE240" s="187"/>
      <c r="CF240" s="187"/>
      <c r="CG240" s="187"/>
      <c r="CH240" s="187"/>
      <c r="CI240" s="187"/>
      <c r="CJ240" s="187"/>
      <c r="CK240" s="187"/>
      <c r="CL240" s="187"/>
      <c r="CM240" s="187"/>
      <c r="CN240" s="187"/>
      <c r="CO240" s="187"/>
      <c r="CP240" s="187"/>
      <c r="CQ240" s="187"/>
      <c r="CR240" s="187"/>
      <c r="CS240" s="187"/>
      <c r="CT240" s="187"/>
      <c r="CU240" s="187"/>
      <c r="CV240" s="187"/>
      <c r="CW240" s="187"/>
      <c r="CX240" s="187"/>
      <c r="CY240" s="187"/>
      <c r="CZ240" s="187"/>
      <c r="DA240" s="187"/>
      <c r="DB240" s="187"/>
      <c r="DC240" s="187"/>
      <c r="DD240" s="187"/>
      <c r="DE240" s="187"/>
      <c r="DF240" s="187"/>
      <c r="DG240" s="187"/>
      <c r="DH240" s="187"/>
      <c r="DI240" s="187"/>
      <c r="DJ240" s="187"/>
      <c r="DK240" s="187"/>
      <c r="DL240" s="187"/>
      <c r="DM240" s="187"/>
      <c r="DN240" s="187"/>
      <c r="DO240" s="187"/>
      <c r="DP240" s="187"/>
      <c r="DQ240" s="187"/>
      <c r="DR240" s="187"/>
      <c r="DS240" s="187"/>
      <c r="DT240" s="187"/>
      <c r="DU240" s="187"/>
      <c r="DV240" s="187"/>
      <c r="DW240" s="187"/>
      <c r="DX240" s="187"/>
      <c r="DY240" s="187"/>
      <c r="DZ240" s="187"/>
      <c r="EA240" s="187"/>
      <c r="EB240" s="187"/>
      <c r="EC240" s="187"/>
      <c r="ED240" s="187"/>
      <c r="EE240" s="187"/>
      <c r="EF240" s="187"/>
      <c r="EG240" s="187"/>
      <c r="EH240" s="187"/>
      <c r="EI240" s="187"/>
      <c r="EJ240" s="187"/>
      <c r="EK240" s="187"/>
      <c r="EL240" s="187"/>
      <c r="EM240" s="187"/>
      <c r="EN240" s="187"/>
      <c r="EO240" s="187"/>
      <c r="EP240" s="187"/>
      <c r="EQ240" s="187"/>
      <c r="ER240" s="187"/>
      <c r="ES240" s="187"/>
      <c r="ET240" s="187"/>
      <c r="EU240" s="187"/>
      <c r="EV240" s="187"/>
      <c r="EW240" s="187"/>
      <c r="EX240" s="187"/>
      <c r="EY240" s="187"/>
      <c r="EZ240" s="187"/>
      <c r="FA240" s="187"/>
      <c r="FB240" s="187"/>
      <c r="FC240" s="187"/>
    </row>
    <row r="241" spans="1:159" ht="15" x14ac:dyDescent="0.25">
      <c r="A241" s="187" t="s">
        <v>536</v>
      </c>
      <c r="B241" s="187" t="s">
        <v>537</v>
      </c>
      <c r="C241" s="187">
        <v>1953</v>
      </c>
      <c r="D241" s="187">
        <v>0</v>
      </c>
      <c r="E241" s="187">
        <v>105</v>
      </c>
      <c r="F241" s="187">
        <v>116</v>
      </c>
      <c r="G241" s="187">
        <v>465</v>
      </c>
      <c r="H241" s="187">
        <v>2639</v>
      </c>
      <c r="I241" s="187">
        <v>2174</v>
      </c>
      <c r="J241" s="187">
        <v>12</v>
      </c>
      <c r="K241" s="187">
        <v>100.35</v>
      </c>
      <c r="L241" s="187">
        <v>99.78</v>
      </c>
      <c r="M241" s="187">
        <v>4.7699999999999996</v>
      </c>
      <c r="N241" s="187">
        <v>103.8</v>
      </c>
      <c r="O241" s="187">
        <v>1361</v>
      </c>
      <c r="P241" s="187">
        <v>124.62</v>
      </c>
      <c r="Q241" s="187">
        <v>109.8</v>
      </c>
      <c r="R241" s="187">
        <v>75.67</v>
      </c>
      <c r="S241" s="187">
        <v>199.48</v>
      </c>
      <c r="T241" s="187">
        <v>186</v>
      </c>
      <c r="U241" s="187">
        <v>118.73</v>
      </c>
      <c r="V241" s="187">
        <v>586</v>
      </c>
      <c r="W241" s="187">
        <v>282.63</v>
      </c>
      <c r="X241" s="187">
        <v>11</v>
      </c>
      <c r="Y241" s="187">
        <v>0</v>
      </c>
      <c r="Z241" s="187">
        <v>0</v>
      </c>
      <c r="AA241" s="187">
        <v>1</v>
      </c>
      <c r="AB241" s="187">
        <v>30</v>
      </c>
      <c r="AC241" s="187">
        <v>5</v>
      </c>
      <c r="AD241" s="187">
        <v>1940</v>
      </c>
      <c r="AE241" s="187">
        <v>44</v>
      </c>
      <c r="AF241" s="187">
        <v>2</v>
      </c>
      <c r="AG241" s="187">
        <v>46</v>
      </c>
      <c r="AH241" s="187"/>
      <c r="AI241" s="187"/>
      <c r="AJ241" s="187"/>
      <c r="AK241" s="187"/>
      <c r="AL241" s="187"/>
      <c r="AM241" s="187"/>
      <c r="AN241" s="187"/>
      <c r="AO241" s="187"/>
      <c r="AP241" s="187"/>
      <c r="AQ241" s="187"/>
      <c r="AR241" s="187"/>
      <c r="AS241" s="187"/>
      <c r="AT241" s="187"/>
      <c r="AU241" s="187"/>
      <c r="AV241" s="187"/>
      <c r="AW241" s="187"/>
      <c r="AX241" s="187"/>
      <c r="AY241" s="187"/>
      <c r="AZ241" s="187"/>
      <c r="BA241" s="187"/>
      <c r="BB241" s="187"/>
      <c r="BC241" s="187"/>
      <c r="BD241" s="187"/>
      <c r="BE241" s="187"/>
      <c r="BF241" s="187"/>
      <c r="BG241" s="187"/>
      <c r="BH241" s="187"/>
      <c r="BI241" s="187"/>
      <c r="BJ241" s="187"/>
      <c r="BK241" s="187"/>
      <c r="BL241" s="187"/>
      <c r="BM241" s="187"/>
      <c r="BN241" s="187"/>
      <c r="BO241" s="187"/>
      <c r="BP241" s="187"/>
      <c r="BQ241" s="187"/>
      <c r="BR241" s="187"/>
      <c r="BS241" s="187"/>
      <c r="BT241" s="187"/>
      <c r="BU241" s="187"/>
      <c r="BV241" s="187"/>
      <c r="BW241" s="187"/>
      <c r="BX241" s="187"/>
      <c r="BY241" s="187"/>
      <c r="BZ241" s="187"/>
      <c r="CA241" s="187"/>
      <c r="CB241" s="187"/>
      <c r="CC241" s="187"/>
      <c r="CD241" s="187"/>
      <c r="CE241" s="187"/>
      <c r="CF241" s="187"/>
      <c r="CG241" s="187"/>
      <c r="CH241" s="187"/>
      <c r="CI241" s="187"/>
      <c r="CJ241" s="187"/>
      <c r="CK241" s="187"/>
      <c r="CL241" s="187"/>
      <c r="CM241" s="187"/>
      <c r="CN241" s="187"/>
      <c r="CO241" s="187"/>
      <c r="CP241" s="187"/>
      <c r="CQ241" s="187"/>
      <c r="CR241" s="187"/>
      <c r="CS241" s="187"/>
      <c r="CT241" s="187"/>
      <c r="CU241" s="187"/>
      <c r="CV241" s="187"/>
      <c r="CW241" s="187"/>
      <c r="CX241" s="187"/>
      <c r="CY241" s="187"/>
      <c r="CZ241" s="187"/>
      <c r="DA241" s="187"/>
      <c r="DB241" s="187"/>
      <c r="DC241" s="187"/>
      <c r="DD241" s="187"/>
      <c r="DE241" s="187"/>
      <c r="DF241" s="187"/>
      <c r="DG241" s="187"/>
      <c r="DH241" s="187"/>
      <c r="DI241" s="187"/>
      <c r="DJ241" s="187"/>
      <c r="DK241" s="187"/>
      <c r="DL241" s="187"/>
      <c r="DM241" s="187"/>
      <c r="DN241" s="187"/>
      <c r="DO241" s="187"/>
      <c r="DP241" s="187"/>
      <c r="DQ241" s="187"/>
      <c r="DR241" s="187"/>
      <c r="DS241" s="187"/>
      <c r="DT241" s="187"/>
      <c r="DU241" s="187"/>
      <c r="DV241" s="187"/>
      <c r="DW241" s="187"/>
      <c r="DX241" s="187"/>
      <c r="DY241" s="187"/>
      <c r="DZ241" s="187"/>
      <c r="EA241" s="187"/>
      <c r="EB241" s="187"/>
      <c r="EC241" s="187"/>
      <c r="ED241" s="187"/>
      <c r="EE241" s="187"/>
      <c r="EF241" s="187"/>
      <c r="EG241" s="187"/>
      <c r="EH241" s="187"/>
      <c r="EI241" s="187"/>
      <c r="EJ241" s="187"/>
      <c r="EK241" s="187"/>
      <c r="EL241" s="187"/>
      <c r="EM241" s="187"/>
      <c r="EN241" s="187"/>
      <c r="EO241" s="187"/>
      <c r="EP241" s="187"/>
      <c r="EQ241" s="187"/>
      <c r="ER241" s="187"/>
      <c r="ES241" s="187"/>
      <c r="ET241" s="187"/>
      <c r="EU241" s="187"/>
      <c r="EV241" s="187"/>
      <c r="EW241" s="187"/>
      <c r="EX241" s="187"/>
      <c r="EY241" s="187"/>
      <c r="EZ241" s="187"/>
      <c r="FA241" s="187"/>
      <c r="FB241" s="187"/>
      <c r="FC241" s="187"/>
    </row>
    <row r="242" spans="1:159" ht="15" x14ac:dyDescent="0.25">
      <c r="A242" s="187" t="s">
        <v>538</v>
      </c>
      <c r="B242" s="187" t="s">
        <v>539</v>
      </c>
      <c r="C242" s="187">
        <v>12005</v>
      </c>
      <c r="D242" s="187">
        <v>0</v>
      </c>
      <c r="E242" s="187">
        <v>335</v>
      </c>
      <c r="F242" s="187">
        <v>1817</v>
      </c>
      <c r="G242" s="187">
        <v>1438</v>
      </c>
      <c r="H242" s="187">
        <v>15595</v>
      </c>
      <c r="I242" s="187">
        <v>14157</v>
      </c>
      <c r="J242" s="187">
        <v>9</v>
      </c>
      <c r="K242" s="187">
        <v>108.73</v>
      </c>
      <c r="L242" s="187">
        <v>108.53</v>
      </c>
      <c r="M242" s="187">
        <v>6.76</v>
      </c>
      <c r="N242" s="187">
        <v>112.93</v>
      </c>
      <c r="O242" s="187">
        <v>11075</v>
      </c>
      <c r="P242" s="187">
        <v>99.14</v>
      </c>
      <c r="Q242" s="187">
        <v>92.42</v>
      </c>
      <c r="R242" s="187">
        <v>38.880000000000003</v>
      </c>
      <c r="S242" s="187">
        <v>135.72999999999999</v>
      </c>
      <c r="T242" s="187">
        <v>2017</v>
      </c>
      <c r="U242" s="187">
        <v>155.41</v>
      </c>
      <c r="V242" s="187">
        <v>646</v>
      </c>
      <c r="W242" s="187">
        <v>114.33</v>
      </c>
      <c r="X242" s="187">
        <v>1</v>
      </c>
      <c r="Y242" s="187">
        <v>0</v>
      </c>
      <c r="Z242" s="187">
        <v>19</v>
      </c>
      <c r="AA242" s="187">
        <v>15</v>
      </c>
      <c r="AB242" s="187">
        <v>203</v>
      </c>
      <c r="AC242" s="187">
        <v>21</v>
      </c>
      <c r="AD242" s="187">
        <v>11764</v>
      </c>
      <c r="AE242" s="187">
        <v>78</v>
      </c>
      <c r="AF242" s="187">
        <v>99</v>
      </c>
      <c r="AG242" s="187">
        <v>177</v>
      </c>
      <c r="AH242" s="187"/>
      <c r="AI242" s="187"/>
      <c r="AJ242" s="187"/>
      <c r="AK242" s="187"/>
      <c r="AL242" s="187"/>
      <c r="AM242" s="187"/>
      <c r="AN242" s="187"/>
      <c r="AO242" s="187"/>
      <c r="AP242" s="187"/>
      <c r="AQ242" s="187"/>
      <c r="AR242" s="187"/>
      <c r="AS242" s="187"/>
      <c r="AT242" s="187"/>
      <c r="AU242" s="187"/>
      <c r="AV242" s="187"/>
      <c r="AW242" s="187"/>
      <c r="AX242" s="187"/>
      <c r="AY242" s="187"/>
      <c r="AZ242" s="187"/>
      <c r="BA242" s="187"/>
      <c r="BB242" s="187"/>
      <c r="BC242" s="187"/>
      <c r="BD242" s="187"/>
      <c r="BE242" s="187"/>
      <c r="BF242" s="187"/>
      <c r="BG242" s="187"/>
      <c r="BH242" s="187"/>
      <c r="BI242" s="187"/>
      <c r="BJ242" s="187"/>
      <c r="BK242" s="187"/>
      <c r="BL242" s="187"/>
      <c r="BM242" s="187"/>
      <c r="BN242" s="187"/>
      <c r="BO242" s="187"/>
      <c r="BP242" s="187"/>
      <c r="BQ242" s="187"/>
      <c r="BR242" s="187"/>
      <c r="BS242" s="187"/>
      <c r="BT242" s="187"/>
      <c r="BU242" s="187"/>
      <c r="BV242" s="187"/>
      <c r="BW242" s="187"/>
      <c r="BX242" s="187"/>
      <c r="BY242" s="187"/>
      <c r="BZ242" s="187"/>
      <c r="CA242" s="187"/>
      <c r="CB242" s="187"/>
      <c r="CC242" s="187"/>
      <c r="CD242" s="187"/>
      <c r="CE242" s="187"/>
      <c r="CF242" s="187"/>
      <c r="CG242" s="187"/>
      <c r="CH242" s="187"/>
      <c r="CI242" s="187"/>
      <c r="CJ242" s="187"/>
      <c r="CK242" s="187"/>
      <c r="CL242" s="187"/>
      <c r="CM242" s="187"/>
      <c r="CN242" s="187"/>
      <c r="CO242" s="187"/>
      <c r="CP242" s="187"/>
      <c r="CQ242" s="187"/>
      <c r="CR242" s="187"/>
      <c r="CS242" s="187"/>
      <c r="CT242" s="187"/>
      <c r="CU242" s="187"/>
      <c r="CV242" s="187"/>
      <c r="CW242" s="187"/>
      <c r="CX242" s="187"/>
      <c r="CY242" s="187"/>
      <c r="CZ242" s="187"/>
      <c r="DA242" s="187"/>
      <c r="DB242" s="187"/>
      <c r="DC242" s="187"/>
      <c r="DD242" s="187"/>
      <c r="DE242" s="187"/>
      <c r="DF242" s="187"/>
      <c r="DG242" s="187"/>
      <c r="DH242" s="187"/>
      <c r="DI242" s="187"/>
      <c r="DJ242" s="187"/>
      <c r="DK242" s="187"/>
      <c r="DL242" s="187"/>
      <c r="DM242" s="187"/>
      <c r="DN242" s="187"/>
      <c r="DO242" s="187"/>
      <c r="DP242" s="187"/>
      <c r="DQ242" s="187"/>
      <c r="DR242" s="187"/>
      <c r="DS242" s="187"/>
      <c r="DT242" s="187"/>
      <c r="DU242" s="187"/>
      <c r="DV242" s="187"/>
      <c r="DW242" s="187"/>
      <c r="DX242" s="187"/>
      <c r="DY242" s="187"/>
      <c r="DZ242" s="187"/>
      <c r="EA242" s="187"/>
      <c r="EB242" s="187"/>
      <c r="EC242" s="187"/>
      <c r="ED242" s="187"/>
      <c r="EE242" s="187"/>
      <c r="EF242" s="187"/>
      <c r="EG242" s="187"/>
      <c r="EH242" s="187"/>
      <c r="EI242" s="187"/>
      <c r="EJ242" s="187"/>
      <c r="EK242" s="187"/>
      <c r="EL242" s="187"/>
      <c r="EM242" s="187"/>
      <c r="EN242" s="187"/>
      <c r="EO242" s="187"/>
      <c r="EP242" s="187"/>
      <c r="EQ242" s="187"/>
      <c r="ER242" s="187"/>
      <c r="ES242" s="187"/>
      <c r="ET242" s="187"/>
      <c r="EU242" s="187"/>
      <c r="EV242" s="187"/>
      <c r="EW242" s="187"/>
      <c r="EX242" s="187"/>
      <c r="EY242" s="187"/>
      <c r="EZ242" s="187"/>
      <c r="FA242" s="187"/>
      <c r="FB242" s="187"/>
      <c r="FC242" s="187"/>
    </row>
    <row r="243" spans="1:159" ht="15" x14ac:dyDescent="0.25">
      <c r="A243" s="187" t="s">
        <v>540</v>
      </c>
      <c r="B243" s="187" t="s">
        <v>541</v>
      </c>
      <c r="C243" s="187">
        <v>4158</v>
      </c>
      <c r="D243" s="187">
        <v>0</v>
      </c>
      <c r="E243" s="187">
        <v>99</v>
      </c>
      <c r="F243" s="187">
        <v>558</v>
      </c>
      <c r="G243" s="187">
        <v>705</v>
      </c>
      <c r="H243" s="187">
        <v>5520</v>
      </c>
      <c r="I243" s="187">
        <v>4815</v>
      </c>
      <c r="J243" s="187">
        <v>0</v>
      </c>
      <c r="K243" s="187">
        <v>99.98</v>
      </c>
      <c r="L243" s="187">
        <v>96.28</v>
      </c>
      <c r="M243" s="187">
        <v>2.65</v>
      </c>
      <c r="N243" s="187">
        <v>102.45</v>
      </c>
      <c r="O243" s="187">
        <v>3332</v>
      </c>
      <c r="P243" s="187">
        <v>88.09</v>
      </c>
      <c r="Q243" s="187">
        <v>79.61</v>
      </c>
      <c r="R243" s="187">
        <v>37.65</v>
      </c>
      <c r="S243" s="187">
        <v>125.3</v>
      </c>
      <c r="T243" s="187">
        <v>596</v>
      </c>
      <c r="U243" s="187">
        <v>136.24</v>
      </c>
      <c r="V243" s="187">
        <v>532</v>
      </c>
      <c r="W243" s="187">
        <v>193.54</v>
      </c>
      <c r="X243" s="187">
        <v>45</v>
      </c>
      <c r="Y243" s="187">
        <v>6</v>
      </c>
      <c r="Z243" s="187">
        <v>3</v>
      </c>
      <c r="AA243" s="187">
        <v>4</v>
      </c>
      <c r="AB243" s="187">
        <v>60</v>
      </c>
      <c r="AC243" s="187">
        <v>12</v>
      </c>
      <c r="AD243" s="187">
        <v>3921</v>
      </c>
      <c r="AE243" s="187">
        <v>15</v>
      </c>
      <c r="AF243" s="187">
        <v>66</v>
      </c>
      <c r="AG243" s="187">
        <v>81</v>
      </c>
      <c r="AH243" s="187"/>
      <c r="AI243" s="187"/>
      <c r="AJ243" s="187"/>
      <c r="AK243" s="187"/>
      <c r="AL243" s="187"/>
      <c r="AM243" s="187"/>
      <c r="AN243" s="187"/>
      <c r="AO243" s="187"/>
      <c r="AP243" s="187"/>
      <c r="AQ243" s="187"/>
      <c r="AR243" s="187"/>
      <c r="AS243" s="187"/>
      <c r="AT243" s="187"/>
      <c r="AU243" s="187"/>
      <c r="AV243" s="187"/>
      <c r="AW243" s="187"/>
      <c r="AX243" s="187"/>
      <c r="AY243" s="187"/>
      <c r="AZ243" s="187"/>
      <c r="BA243" s="187"/>
      <c r="BB243" s="187"/>
      <c r="BC243" s="187"/>
      <c r="BD243" s="187"/>
      <c r="BE243" s="187"/>
      <c r="BF243" s="187"/>
      <c r="BG243" s="187"/>
      <c r="BH243" s="187"/>
      <c r="BI243" s="187"/>
      <c r="BJ243" s="187"/>
      <c r="BK243" s="187"/>
      <c r="BL243" s="187"/>
      <c r="BM243" s="187"/>
      <c r="BN243" s="187"/>
      <c r="BO243" s="187"/>
      <c r="BP243" s="187"/>
      <c r="BQ243" s="187"/>
      <c r="BR243" s="187"/>
      <c r="BS243" s="187"/>
      <c r="BT243" s="187"/>
      <c r="BU243" s="187"/>
      <c r="BV243" s="187"/>
      <c r="BW243" s="187"/>
      <c r="BX243" s="187"/>
      <c r="BY243" s="187"/>
      <c r="BZ243" s="187"/>
      <c r="CA243" s="187"/>
      <c r="CB243" s="187"/>
      <c r="CC243" s="187"/>
      <c r="CD243" s="187"/>
      <c r="CE243" s="187"/>
      <c r="CF243" s="187"/>
      <c r="CG243" s="187"/>
      <c r="CH243" s="187"/>
      <c r="CI243" s="187"/>
      <c r="CJ243" s="187"/>
      <c r="CK243" s="187"/>
      <c r="CL243" s="187"/>
      <c r="CM243" s="187"/>
      <c r="CN243" s="187"/>
      <c r="CO243" s="187"/>
      <c r="CP243" s="187"/>
      <c r="CQ243" s="187"/>
      <c r="CR243" s="187"/>
      <c r="CS243" s="187"/>
      <c r="CT243" s="187"/>
      <c r="CU243" s="187"/>
      <c r="CV243" s="187"/>
      <c r="CW243" s="187"/>
      <c r="CX243" s="187"/>
      <c r="CY243" s="187"/>
      <c r="CZ243" s="187"/>
      <c r="DA243" s="187"/>
      <c r="DB243" s="187"/>
      <c r="DC243" s="187"/>
      <c r="DD243" s="187"/>
      <c r="DE243" s="187"/>
      <c r="DF243" s="187"/>
      <c r="DG243" s="187"/>
      <c r="DH243" s="187"/>
      <c r="DI243" s="187"/>
      <c r="DJ243" s="187"/>
      <c r="DK243" s="187"/>
      <c r="DL243" s="187"/>
      <c r="DM243" s="187"/>
      <c r="DN243" s="187"/>
      <c r="DO243" s="187"/>
      <c r="DP243" s="187"/>
      <c r="DQ243" s="187"/>
      <c r="DR243" s="187"/>
      <c r="DS243" s="187"/>
      <c r="DT243" s="187"/>
      <c r="DU243" s="187"/>
      <c r="DV243" s="187"/>
      <c r="DW243" s="187"/>
      <c r="DX243" s="187"/>
      <c r="DY243" s="187"/>
      <c r="DZ243" s="187"/>
      <c r="EA243" s="187"/>
      <c r="EB243" s="187"/>
      <c r="EC243" s="187"/>
      <c r="ED243" s="187"/>
      <c r="EE243" s="187"/>
      <c r="EF243" s="187"/>
      <c r="EG243" s="187"/>
      <c r="EH243" s="187"/>
      <c r="EI243" s="187"/>
      <c r="EJ243" s="187"/>
      <c r="EK243" s="187"/>
      <c r="EL243" s="187"/>
      <c r="EM243" s="187"/>
      <c r="EN243" s="187"/>
      <c r="EO243" s="187"/>
      <c r="EP243" s="187"/>
      <c r="EQ243" s="187"/>
      <c r="ER243" s="187"/>
      <c r="ES243" s="187"/>
      <c r="ET243" s="187"/>
      <c r="EU243" s="187"/>
      <c r="EV243" s="187"/>
      <c r="EW243" s="187"/>
      <c r="EX243" s="187"/>
      <c r="EY243" s="187"/>
      <c r="EZ243" s="187"/>
      <c r="FA243" s="187"/>
      <c r="FB243" s="187"/>
      <c r="FC243" s="187"/>
    </row>
    <row r="244" spans="1:159" ht="15" x14ac:dyDescent="0.25">
      <c r="A244" s="187" t="s">
        <v>542</v>
      </c>
      <c r="B244" s="187" t="s">
        <v>543</v>
      </c>
      <c r="C244" s="187">
        <v>1303</v>
      </c>
      <c r="D244" s="187">
        <v>0</v>
      </c>
      <c r="E244" s="187">
        <v>107</v>
      </c>
      <c r="F244" s="187">
        <v>0</v>
      </c>
      <c r="G244" s="187">
        <v>515</v>
      </c>
      <c r="H244" s="187">
        <v>1925</v>
      </c>
      <c r="I244" s="187">
        <v>1410</v>
      </c>
      <c r="J244" s="187">
        <v>0</v>
      </c>
      <c r="K244" s="187">
        <v>91.29</v>
      </c>
      <c r="L244" s="187">
        <v>89.25</v>
      </c>
      <c r="M244" s="187">
        <v>4.75</v>
      </c>
      <c r="N244" s="187">
        <v>95.12</v>
      </c>
      <c r="O244" s="187">
        <v>748</v>
      </c>
      <c r="P244" s="187">
        <v>140.03</v>
      </c>
      <c r="Q244" s="187">
        <v>71.23</v>
      </c>
      <c r="R244" s="187">
        <v>104.89</v>
      </c>
      <c r="S244" s="187">
        <v>244.92</v>
      </c>
      <c r="T244" s="187">
        <v>98</v>
      </c>
      <c r="U244" s="187">
        <v>122.55</v>
      </c>
      <c r="V244" s="187">
        <v>421</v>
      </c>
      <c r="W244" s="187">
        <v>0</v>
      </c>
      <c r="X244" s="187">
        <v>0</v>
      </c>
      <c r="Y244" s="187">
        <v>0</v>
      </c>
      <c r="Z244" s="187">
        <v>0</v>
      </c>
      <c r="AA244" s="187">
        <v>0</v>
      </c>
      <c r="AB244" s="187">
        <v>49</v>
      </c>
      <c r="AC244" s="187">
        <v>1</v>
      </c>
      <c r="AD244" s="187">
        <v>1233</v>
      </c>
      <c r="AE244" s="187">
        <v>3</v>
      </c>
      <c r="AF244" s="187">
        <v>12</v>
      </c>
      <c r="AG244" s="187">
        <v>15</v>
      </c>
      <c r="AH244" s="187"/>
      <c r="AI244" s="187"/>
      <c r="AJ244" s="187"/>
      <c r="AK244" s="187"/>
      <c r="AL244" s="187"/>
      <c r="AM244" s="187"/>
      <c r="AN244" s="187"/>
      <c r="AO244" s="187"/>
      <c r="AP244" s="187"/>
      <c r="AQ244" s="187"/>
      <c r="AR244" s="187"/>
      <c r="AS244" s="187"/>
      <c r="AT244" s="187"/>
      <c r="AU244" s="187"/>
      <c r="AV244" s="187"/>
      <c r="AW244" s="187"/>
      <c r="AX244" s="187"/>
      <c r="AY244" s="187"/>
      <c r="AZ244" s="187"/>
      <c r="BA244" s="187"/>
      <c r="BB244" s="187"/>
      <c r="BC244" s="187"/>
      <c r="BD244" s="187"/>
      <c r="BE244" s="187"/>
      <c r="BF244" s="187"/>
      <c r="BG244" s="187"/>
      <c r="BH244" s="187"/>
      <c r="BI244" s="187"/>
      <c r="BJ244" s="187"/>
      <c r="BK244" s="187"/>
      <c r="BL244" s="187"/>
      <c r="BM244" s="187"/>
      <c r="BN244" s="187"/>
      <c r="BO244" s="187"/>
      <c r="BP244" s="187"/>
      <c r="BQ244" s="187"/>
      <c r="BR244" s="187"/>
      <c r="BS244" s="187"/>
      <c r="BT244" s="187"/>
      <c r="BU244" s="187"/>
      <c r="BV244" s="187"/>
      <c r="BW244" s="187"/>
      <c r="BX244" s="187"/>
      <c r="BY244" s="187"/>
      <c r="BZ244" s="187"/>
      <c r="CA244" s="187"/>
      <c r="CB244" s="187"/>
      <c r="CC244" s="187"/>
      <c r="CD244" s="187"/>
      <c r="CE244" s="187"/>
      <c r="CF244" s="187"/>
      <c r="CG244" s="187"/>
      <c r="CH244" s="187"/>
      <c r="CI244" s="187"/>
      <c r="CJ244" s="187"/>
      <c r="CK244" s="187"/>
      <c r="CL244" s="187"/>
      <c r="CM244" s="187"/>
      <c r="CN244" s="187"/>
      <c r="CO244" s="187"/>
      <c r="CP244" s="187"/>
      <c r="CQ244" s="187"/>
      <c r="CR244" s="187"/>
      <c r="CS244" s="187"/>
      <c r="CT244" s="187"/>
      <c r="CU244" s="187"/>
      <c r="CV244" s="187"/>
      <c r="CW244" s="187"/>
      <c r="CX244" s="187"/>
      <c r="CY244" s="187"/>
      <c r="CZ244" s="187"/>
      <c r="DA244" s="187"/>
      <c r="DB244" s="187"/>
      <c r="DC244" s="187"/>
      <c r="DD244" s="187"/>
      <c r="DE244" s="187"/>
      <c r="DF244" s="187"/>
      <c r="DG244" s="187"/>
      <c r="DH244" s="187"/>
      <c r="DI244" s="187"/>
      <c r="DJ244" s="187"/>
      <c r="DK244" s="187"/>
      <c r="DL244" s="187"/>
      <c r="DM244" s="187"/>
      <c r="DN244" s="187"/>
      <c r="DO244" s="187"/>
      <c r="DP244" s="187"/>
      <c r="DQ244" s="187"/>
      <c r="DR244" s="187"/>
      <c r="DS244" s="187"/>
      <c r="DT244" s="187"/>
      <c r="DU244" s="187"/>
      <c r="DV244" s="187"/>
      <c r="DW244" s="187"/>
      <c r="DX244" s="187"/>
      <c r="DY244" s="187"/>
      <c r="DZ244" s="187"/>
      <c r="EA244" s="187"/>
      <c r="EB244" s="187"/>
      <c r="EC244" s="187"/>
      <c r="ED244" s="187"/>
      <c r="EE244" s="187"/>
      <c r="EF244" s="187"/>
      <c r="EG244" s="187"/>
      <c r="EH244" s="187"/>
      <c r="EI244" s="187"/>
      <c r="EJ244" s="187"/>
      <c r="EK244" s="187"/>
      <c r="EL244" s="187"/>
      <c r="EM244" s="187"/>
      <c r="EN244" s="187"/>
      <c r="EO244" s="187"/>
      <c r="EP244" s="187"/>
      <c r="EQ244" s="187"/>
      <c r="ER244" s="187"/>
      <c r="ES244" s="187"/>
      <c r="ET244" s="187"/>
      <c r="EU244" s="187"/>
      <c r="EV244" s="187"/>
      <c r="EW244" s="187"/>
      <c r="EX244" s="187"/>
      <c r="EY244" s="187"/>
      <c r="EZ244" s="187"/>
      <c r="FA244" s="187"/>
      <c r="FB244" s="187"/>
      <c r="FC244" s="187"/>
    </row>
    <row r="245" spans="1:159" ht="15" x14ac:dyDescent="0.25">
      <c r="A245" s="187" t="s">
        <v>544</v>
      </c>
      <c r="B245" s="187" t="s">
        <v>545</v>
      </c>
      <c r="C245" s="187">
        <v>1933</v>
      </c>
      <c r="D245" s="187">
        <v>0</v>
      </c>
      <c r="E245" s="187">
        <v>133</v>
      </c>
      <c r="F245" s="187">
        <v>262</v>
      </c>
      <c r="G245" s="187">
        <v>640</v>
      </c>
      <c r="H245" s="187">
        <v>2968</v>
      </c>
      <c r="I245" s="187">
        <v>2328</v>
      </c>
      <c r="J245" s="187">
        <v>4</v>
      </c>
      <c r="K245" s="187">
        <v>94.3</v>
      </c>
      <c r="L245" s="187">
        <v>92.64</v>
      </c>
      <c r="M245" s="187">
        <v>5.64</v>
      </c>
      <c r="N245" s="187">
        <v>99.23</v>
      </c>
      <c r="O245" s="187">
        <v>1244</v>
      </c>
      <c r="P245" s="187">
        <v>102.05</v>
      </c>
      <c r="Q245" s="187">
        <v>74.680000000000007</v>
      </c>
      <c r="R245" s="187">
        <v>48.73</v>
      </c>
      <c r="S245" s="187">
        <v>150.77000000000001</v>
      </c>
      <c r="T245" s="187">
        <v>262</v>
      </c>
      <c r="U245" s="187">
        <v>119.64</v>
      </c>
      <c r="V245" s="187">
        <v>404</v>
      </c>
      <c r="W245" s="187">
        <v>0</v>
      </c>
      <c r="X245" s="187">
        <v>0</v>
      </c>
      <c r="Y245" s="187">
        <v>9</v>
      </c>
      <c r="Z245" s="187">
        <v>2</v>
      </c>
      <c r="AA245" s="187">
        <v>0</v>
      </c>
      <c r="AB245" s="187">
        <v>48</v>
      </c>
      <c r="AC245" s="187">
        <v>11</v>
      </c>
      <c r="AD245" s="187">
        <v>1854</v>
      </c>
      <c r="AE245" s="187">
        <v>7</v>
      </c>
      <c r="AF245" s="187">
        <v>29</v>
      </c>
      <c r="AG245" s="187">
        <v>36</v>
      </c>
      <c r="AH245" s="187"/>
      <c r="AI245" s="187"/>
      <c r="AJ245" s="187"/>
      <c r="AK245" s="187"/>
      <c r="AL245" s="187"/>
      <c r="AM245" s="187"/>
      <c r="AN245" s="187"/>
      <c r="AO245" s="187"/>
      <c r="AP245" s="187"/>
      <c r="AQ245" s="187"/>
      <c r="AR245" s="187"/>
      <c r="AS245" s="187"/>
      <c r="AT245" s="187"/>
      <c r="AU245" s="187"/>
      <c r="AV245" s="187"/>
      <c r="AW245" s="187"/>
      <c r="AX245" s="187"/>
      <c r="AY245" s="187"/>
      <c r="AZ245" s="187"/>
      <c r="BA245" s="187"/>
      <c r="BB245" s="187"/>
      <c r="BC245" s="187"/>
      <c r="BD245" s="187"/>
      <c r="BE245" s="187"/>
      <c r="BF245" s="187"/>
      <c r="BG245" s="187"/>
      <c r="BH245" s="187"/>
      <c r="BI245" s="187"/>
      <c r="BJ245" s="187"/>
      <c r="BK245" s="187"/>
      <c r="BL245" s="187"/>
      <c r="BM245" s="187"/>
      <c r="BN245" s="187"/>
      <c r="BO245" s="187"/>
      <c r="BP245" s="187"/>
      <c r="BQ245" s="187"/>
      <c r="BR245" s="187"/>
      <c r="BS245" s="187"/>
      <c r="BT245" s="187"/>
      <c r="BU245" s="187"/>
      <c r="BV245" s="187"/>
      <c r="BW245" s="187"/>
      <c r="BX245" s="187"/>
      <c r="BY245" s="187"/>
      <c r="BZ245" s="187"/>
      <c r="CA245" s="187"/>
      <c r="CB245" s="187"/>
      <c r="CC245" s="187"/>
      <c r="CD245" s="187"/>
      <c r="CE245" s="187"/>
      <c r="CF245" s="187"/>
      <c r="CG245" s="187"/>
      <c r="CH245" s="187"/>
      <c r="CI245" s="187"/>
      <c r="CJ245" s="187"/>
      <c r="CK245" s="187"/>
      <c r="CL245" s="187"/>
      <c r="CM245" s="187"/>
      <c r="CN245" s="187"/>
      <c r="CO245" s="187"/>
      <c r="CP245" s="187"/>
      <c r="CQ245" s="187"/>
      <c r="CR245" s="187"/>
      <c r="CS245" s="187"/>
      <c r="CT245" s="187"/>
      <c r="CU245" s="187"/>
      <c r="CV245" s="187"/>
      <c r="CW245" s="187"/>
      <c r="CX245" s="187"/>
      <c r="CY245" s="187"/>
      <c r="CZ245" s="187"/>
      <c r="DA245" s="187"/>
      <c r="DB245" s="187"/>
      <c r="DC245" s="187"/>
      <c r="DD245" s="187"/>
      <c r="DE245" s="187"/>
      <c r="DF245" s="187"/>
      <c r="DG245" s="187"/>
      <c r="DH245" s="187"/>
      <c r="DI245" s="187"/>
      <c r="DJ245" s="187"/>
      <c r="DK245" s="187"/>
      <c r="DL245" s="187"/>
      <c r="DM245" s="187"/>
      <c r="DN245" s="187"/>
      <c r="DO245" s="187"/>
      <c r="DP245" s="187"/>
      <c r="DQ245" s="187"/>
      <c r="DR245" s="187"/>
      <c r="DS245" s="187"/>
      <c r="DT245" s="187"/>
      <c r="DU245" s="187"/>
      <c r="DV245" s="187"/>
      <c r="DW245" s="187"/>
      <c r="DX245" s="187"/>
      <c r="DY245" s="187"/>
      <c r="DZ245" s="187"/>
      <c r="EA245" s="187"/>
      <c r="EB245" s="187"/>
      <c r="EC245" s="187"/>
      <c r="ED245" s="187"/>
      <c r="EE245" s="187"/>
      <c r="EF245" s="187"/>
      <c r="EG245" s="187"/>
      <c r="EH245" s="187"/>
      <c r="EI245" s="187"/>
      <c r="EJ245" s="187"/>
      <c r="EK245" s="187"/>
      <c r="EL245" s="187"/>
      <c r="EM245" s="187"/>
      <c r="EN245" s="187"/>
      <c r="EO245" s="187"/>
      <c r="EP245" s="187"/>
      <c r="EQ245" s="187"/>
      <c r="ER245" s="187"/>
      <c r="ES245" s="187"/>
      <c r="ET245" s="187"/>
      <c r="EU245" s="187"/>
      <c r="EV245" s="187"/>
      <c r="EW245" s="187"/>
      <c r="EX245" s="187"/>
      <c r="EY245" s="187"/>
      <c r="EZ245" s="187"/>
      <c r="FA245" s="187"/>
      <c r="FB245" s="187"/>
      <c r="FC245" s="187"/>
    </row>
    <row r="246" spans="1:159" ht="15" x14ac:dyDescent="0.25">
      <c r="A246" s="187" t="s">
        <v>546</v>
      </c>
      <c r="B246" s="187" t="s">
        <v>547</v>
      </c>
      <c r="C246" s="187">
        <v>4094</v>
      </c>
      <c r="D246" s="187">
        <v>0</v>
      </c>
      <c r="E246" s="187">
        <v>212</v>
      </c>
      <c r="F246" s="187">
        <v>595</v>
      </c>
      <c r="G246" s="187">
        <v>319</v>
      </c>
      <c r="H246" s="187">
        <v>5220</v>
      </c>
      <c r="I246" s="187">
        <v>4901</v>
      </c>
      <c r="J246" s="187">
        <v>0</v>
      </c>
      <c r="K246" s="187">
        <v>98.67</v>
      </c>
      <c r="L246" s="187">
        <v>98</v>
      </c>
      <c r="M246" s="187">
        <v>4.1500000000000004</v>
      </c>
      <c r="N246" s="187">
        <v>99.95</v>
      </c>
      <c r="O246" s="187">
        <v>3475</v>
      </c>
      <c r="P246" s="187">
        <v>97.47</v>
      </c>
      <c r="Q246" s="187">
        <v>88.47</v>
      </c>
      <c r="R246" s="187">
        <v>37.340000000000003</v>
      </c>
      <c r="S246" s="187">
        <v>132.96</v>
      </c>
      <c r="T246" s="187">
        <v>726</v>
      </c>
      <c r="U246" s="187">
        <v>122.53</v>
      </c>
      <c r="V246" s="187">
        <v>540</v>
      </c>
      <c r="W246" s="187">
        <v>216.87</v>
      </c>
      <c r="X246" s="187">
        <v>24</v>
      </c>
      <c r="Y246" s="187">
        <v>0</v>
      </c>
      <c r="Z246" s="187">
        <v>18</v>
      </c>
      <c r="AA246" s="187">
        <v>3</v>
      </c>
      <c r="AB246" s="187">
        <v>48</v>
      </c>
      <c r="AC246" s="187">
        <v>2</v>
      </c>
      <c r="AD246" s="187">
        <v>4008</v>
      </c>
      <c r="AE246" s="187">
        <v>25</v>
      </c>
      <c r="AF246" s="187">
        <v>32</v>
      </c>
      <c r="AG246" s="187">
        <v>57</v>
      </c>
      <c r="AH246" s="187"/>
      <c r="AI246" s="187"/>
      <c r="AJ246" s="187"/>
      <c r="AK246" s="187"/>
      <c r="AL246" s="187"/>
      <c r="AM246" s="187"/>
      <c r="AN246" s="187"/>
      <c r="AO246" s="187"/>
      <c r="AP246" s="187"/>
      <c r="AQ246" s="187"/>
      <c r="AR246" s="187"/>
      <c r="AS246" s="187"/>
      <c r="AT246" s="187"/>
      <c r="AU246" s="187"/>
      <c r="AV246" s="187"/>
      <c r="AW246" s="187"/>
      <c r="AX246" s="187"/>
      <c r="AY246" s="187"/>
      <c r="AZ246" s="187"/>
      <c r="BA246" s="187"/>
      <c r="BB246" s="187"/>
      <c r="BC246" s="187"/>
      <c r="BD246" s="187"/>
      <c r="BE246" s="187"/>
      <c r="BF246" s="187"/>
      <c r="BG246" s="187"/>
      <c r="BH246" s="187"/>
      <c r="BI246" s="187"/>
      <c r="BJ246" s="187"/>
      <c r="BK246" s="187"/>
      <c r="BL246" s="187"/>
      <c r="BM246" s="187"/>
      <c r="BN246" s="187"/>
      <c r="BO246" s="187"/>
      <c r="BP246" s="187"/>
      <c r="BQ246" s="187"/>
      <c r="BR246" s="187"/>
      <c r="BS246" s="187"/>
      <c r="BT246" s="187"/>
      <c r="BU246" s="187"/>
      <c r="BV246" s="187"/>
      <c r="BW246" s="187"/>
      <c r="BX246" s="187"/>
      <c r="BY246" s="187"/>
      <c r="BZ246" s="187"/>
      <c r="CA246" s="187"/>
      <c r="CB246" s="187"/>
      <c r="CC246" s="187"/>
      <c r="CD246" s="187"/>
      <c r="CE246" s="187"/>
      <c r="CF246" s="187"/>
      <c r="CG246" s="187"/>
      <c r="CH246" s="187"/>
      <c r="CI246" s="187"/>
      <c r="CJ246" s="187"/>
      <c r="CK246" s="187"/>
      <c r="CL246" s="187"/>
      <c r="CM246" s="187"/>
      <c r="CN246" s="187"/>
      <c r="CO246" s="187"/>
      <c r="CP246" s="187"/>
      <c r="CQ246" s="187"/>
      <c r="CR246" s="187"/>
      <c r="CS246" s="187"/>
      <c r="CT246" s="187"/>
      <c r="CU246" s="187"/>
      <c r="CV246" s="187"/>
      <c r="CW246" s="187"/>
      <c r="CX246" s="187"/>
      <c r="CY246" s="187"/>
      <c r="CZ246" s="187"/>
      <c r="DA246" s="187"/>
      <c r="DB246" s="187"/>
      <c r="DC246" s="187"/>
      <c r="DD246" s="187"/>
      <c r="DE246" s="187"/>
      <c r="DF246" s="187"/>
      <c r="DG246" s="187"/>
      <c r="DH246" s="187"/>
      <c r="DI246" s="187"/>
      <c r="DJ246" s="187"/>
      <c r="DK246" s="187"/>
      <c r="DL246" s="187"/>
      <c r="DM246" s="187"/>
      <c r="DN246" s="187"/>
      <c r="DO246" s="187"/>
      <c r="DP246" s="187"/>
      <c r="DQ246" s="187"/>
      <c r="DR246" s="187"/>
      <c r="DS246" s="187"/>
      <c r="DT246" s="187"/>
      <c r="DU246" s="187"/>
      <c r="DV246" s="187"/>
      <c r="DW246" s="187"/>
      <c r="DX246" s="187"/>
      <c r="DY246" s="187"/>
      <c r="DZ246" s="187"/>
      <c r="EA246" s="187"/>
      <c r="EB246" s="187"/>
      <c r="EC246" s="187"/>
      <c r="ED246" s="187"/>
      <c r="EE246" s="187"/>
      <c r="EF246" s="187"/>
      <c r="EG246" s="187"/>
      <c r="EH246" s="187"/>
      <c r="EI246" s="187"/>
      <c r="EJ246" s="187"/>
      <c r="EK246" s="187"/>
      <c r="EL246" s="187"/>
      <c r="EM246" s="187"/>
      <c r="EN246" s="187"/>
      <c r="EO246" s="187"/>
      <c r="EP246" s="187"/>
      <c r="EQ246" s="187"/>
      <c r="ER246" s="187"/>
      <c r="ES246" s="187"/>
      <c r="ET246" s="187"/>
      <c r="EU246" s="187"/>
      <c r="EV246" s="187"/>
      <c r="EW246" s="187"/>
      <c r="EX246" s="187"/>
      <c r="EY246" s="187"/>
      <c r="EZ246" s="187"/>
      <c r="FA246" s="187"/>
      <c r="FB246" s="187"/>
      <c r="FC246" s="187"/>
    </row>
    <row r="247" spans="1:159" ht="15" x14ac:dyDescent="0.25">
      <c r="A247" s="187" t="s">
        <v>548</v>
      </c>
      <c r="B247" s="187" t="s">
        <v>549</v>
      </c>
      <c r="C247" s="187">
        <v>6897</v>
      </c>
      <c r="D247" s="187">
        <v>0</v>
      </c>
      <c r="E247" s="187">
        <v>213</v>
      </c>
      <c r="F247" s="187">
        <v>819</v>
      </c>
      <c r="G247" s="187">
        <v>835</v>
      </c>
      <c r="H247" s="187">
        <v>8764</v>
      </c>
      <c r="I247" s="187">
        <v>7929</v>
      </c>
      <c r="J247" s="187">
        <v>68</v>
      </c>
      <c r="K247" s="187">
        <v>93.98</v>
      </c>
      <c r="L247" s="187">
        <v>92.39</v>
      </c>
      <c r="M247" s="187">
        <v>6.21</v>
      </c>
      <c r="N247" s="187">
        <v>95.84</v>
      </c>
      <c r="O247" s="187">
        <v>4405</v>
      </c>
      <c r="P247" s="187">
        <v>95</v>
      </c>
      <c r="Q247" s="187">
        <v>82.25</v>
      </c>
      <c r="R247" s="187">
        <v>46.7</v>
      </c>
      <c r="S247" s="187">
        <v>141.65</v>
      </c>
      <c r="T247" s="187">
        <v>982</v>
      </c>
      <c r="U247" s="187">
        <v>124.74</v>
      </c>
      <c r="V247" s="187">
        <v>2222</v>
      </c>
      <c r="W247" s="187">
        <v>0</v>
      </c>
      <c r="X247" s="187">
        <v>0</v>
      </c>
      <c r="Y247" s="187">
        <v>78</v>
      </c>
      <c r="Z247" s="187">
        <v>6</v>
      </c>
      <c r="AA247" s="187">
        <v>10</v>
      </c>
      <c r="AB247" s="187">
        <v>55</v>
      </c>
      <c r="AC247" s="187">
        <v>15</v>
      </c>
      <c r="AD247" s="187">
        <v>6892</v>
      </c>
      <c r="AE247" s="187">
        <v>74</v>
      </c>
      <c r="AF247" s="187">
        <v>16</v>
      </c>
      <c r="AG247" s="187">
        <v>90</v>
      </c>
      <c r="AH247" s="187"/>
      <c r="AI247" s="187"/>
      <c r="AJ247" s="187"/>
      <c r="AK247" s="187"/>
      <c r="AL247" s="187"/>
      <c r="AM247" s="187"/>
      <c r="AN247" s="187"/>
      <c r="AO247" s="187"/>
      <c r="AP247" s="187"/>
      <c r="AQ247" s="187"/>
      <c r="AR247" s="187"/>
      <c r="AS247" s="187"/>
      <c r="AT247" s="187"/>
      <c r="AU247" s="187"/>
      <c r="AV247" s="187"/>
      <c r="AW247" s="187"/>
      <c r="AX247" s="187"/>
      <c r="AY247" s="187"/>
      <c r="AZ247" s="187"/>
      <c r="BA247" s="187"/>
      <c r="BB247" s="187"/>
      <c r="BC247" s="187"/>
      <c r="BD247" s="187"/>
      <c r="BE247" s="187"/>
      <c r="BF247" s="187"/>
      <c r="BG247" s="187"/>
      <c r="BH247" s="187"/>
      <c r="BI247" s="187"/>
      <c r="BJ247" s="187"/>
      <c r="BK247" s="187"/>
      <c r="BL247" s="187"/>
      <c r="BM247" s="187"/>
      <c r="BN247" s="187"/>
      <c r="BO247" s="187"/>
      <c r="BP247" s="187"/>
      <c r="BQ247" s="187"/>
      <c r="BR247" s="187"/>
      <c r="BS247" s="187"/>
      <c r="BT247" s="187"/>
      <c r="BU247" s="187"/>
      <c r="BV247" s="187"/>
      <c r="BW247" s="187"/>
      <c r="BX247" s="187"/>
      <c r="BY247" s="187"/>
      <c r="BZ247" s="187"/>
      <c r="CA247" s="187"/>
      <c r="CB247" s="187"/>
      <c r="CC247" s="187"/>
      <c r="CD247" s="187"/>
      <c r="CE247" s="187"/>
      <c r="CF247" s="187"/>
      <c r="CG247" s="187"/>
      <c r="CH247" s="187"/>
      <c r="CI247" s="187"/>
      <c r="CJ247" s="187"/>
      <c r="CK247" s="187"/>
      <c r="CL247" s="187"/>
      <c r="CM247" s="187"/>
      <c r="CN247" s="187"/>
      <c r="CO247" s="187"/>
      <c r="CP247" s="187"/>
      <c r="CQ247" s="187"/>
      <c r="CR247" s="187"/>
      <c r="CS247" s="187"/>
      <c r="CT247" s="187"/>
      <c r="CU247" s="187"/>
      <c r="CV247" s="187"/>
      <c r="CW247" s="187"/>
      <c r="CX247" s="187"/>
      <c r="CY247" s="187"/>
      <c r="CZ247" s="187"/>
      <c r="DA247" s="187"/>
      <c r="DB247" s="187"/>
      <c r="DC247" s="187"/>
      <c r="DD247" s="187"/>
      <c r="DE247" s="187"/>
      <c r="DF247" s="187"/>
      <c r="DG247" s="187"/>
      <c r="DH247" s="187"/>
      <c r="DI247" s="187"/>
      <c r="DJ247" s="187"/>
      <c r="DK247" s="187"/>
      <c r="DL247" s="187"/>
      <c r="DM247" s="187"/>
      <c r="DN247" s="187"/>
      <c r="DO247" s="187"/>
      <c r="DP247" s="187"/>
      <c r="DQ247" s="187"/>
      <c r="DR247" s="187"/>
      <c r="DS247" s="187"/>
      <c r="DT247" s="187"/>
      <c r="DU247" s="187"/>
      <c r="DV247" s="187"/>
      <c r="DW247" s="187"/>
      <c r="DX247" s="187"/>
      <c r="DY247" s="187"/>
      <c r="DZ247" s="187"/>
      <c r="EA247" s="187"/>
      <c r="EB247" s="187"/>
      <c r="EC247" s="187"/>
      <c r="ED247" s="187"/>
      <c r="EE247" s="187"/>
      <c r="EF247" s="187"/>
      <c r="EG247" s="187"/>
      <c r="EH247" s="187"/>
      <c r="EI247" s="187"/>
      <c r="EJ247" s="187"/>
      <c r="EK247" s="187"/>
      <c r="EL247" s="187"/>
      <c r="EM247" s="187"/>
      <c r="EN247" s="187"/>
      <c r="EO247" s="187"/>
      <c r="EP247" s="187"/>
      <c r="EQ247" s="187"/>
      <c r="ER247" s="187"/>
      <c r="ES247" s="187"/>
      <c r="ET247" s="187"/>
      <c r="EU247" s="187"/>
      <c r="EV247" s="187"/>
      <c r="EW247" s="187"/>
      <c r="EX247" s="187"/>
      <c r="EY247" s="187"/>
      <c r="EZ247" s="187"/>
      <c r="FA247" s="187"/>
      <c r="FB247" s="187"/>
      <c r="FC247" s="187"/>
    </row>
    <row r="248" spans="1:159" ht="15" x14ac:dyDescent="0.25">
      <c r="A248" s="187" t="s">
        <v>550</v>
      </c>
      <c r="B248" s="187" t="s">
        <v>551</v>
      </c>
      <c r="C248" s="187">
        <v>6929</v>
      </c>
      <c r="D248" s="187">
        <v>0</v>
      </c>
      <c r="E248" s="187">
        <v>288</v>
      </c>
      <c r="F248" s="187">
        <v>843</v>
      </c>
      <c r="G248" s="187">
        <v>1276</v>
      </c>
      <c r="H248" s="187">
        <v>9336</v>
      </c>
      <c r="I248" s="187">
        <v>8060</v>
      </c>
      <c r="J248" s="187">
        <v>58</v>
      </c>
      <c r="K248" s="187">
        <v>119.64</v>
      </c>
      <c r="L248" s="187">
        <v>117.41</v>
      </c>
      <c r="M248" s="187">
        <v>5.92</v>
      </c>
      <c r="N248" s="187">
        <v>121.83</v>
      </c>
      <c r="O248" s="187">
        <v>5376</v>
      </c>
      <c r="P248" s="187">
        <v>104.44</v>
      </c>
      <c r="Q248" s="187">
        <v>98.74</v>
      </c>
      <c r="R248" s="187">
        <v>34.5</v>
      </c>
      <c r="S248" s="187">
        <v>136.34</v>
      </c>
      <c r="T248" s="187">
        <v>917</v>
      </c>
      <c r="U248" s="187">
        <v>194.3</v>
      </c>
      <c r="V248" s="187">
        <v>1446</v>
      </c>
      <c r="W248" s="187">
        <v>173.46</v>
      </c>
      <c r="X248" s="187">
        <v>76</v>
      </c>
      <c r="Y248" s="187">
        <v>29</v>
      </c>
      <c r="Z248" s="187">
        <v>0</v>
      </c>
      <c r="AA248" s="187">
        <v>2</v>
      </c>
      <c r="AB248" s="187">
        <v>101</v>
      </c>
      <c r="AC248" s="187">
        <v>20</v>
      </c>
      <c r="AD248" s="187">
        <v>6854</v>
      </c>
      <c r="AE248" s="187">
        <v>40</v>
      </c>
      <c r="AF248" s="187">
        <v>48</v>
      </c>
      <c r="AG248" s="187">
        <v>88</v>
      </c>
      <c r="AH248" s="187"/>
      <c r="AI248" s="187"/>
      <c r="AJ248" s="187"/>
      <c r="AK248" s="187"/>
      <c r="AL248" s="187"/>
      <c r="AM248" s="187"/>
      <c r="AN248" s="187"/>
      <c r="AO248" s="187"/>
      <c r="AP248" s="187"/>
      <c r="AQ248" s="187"/>
      <c r="AR248" s="187"/>
      <c r="AS248" s="187"/>
      <c r="AT248" s="187"/>
      <c r="AU248" s="187"/>
      <c r="AV248" s="187"/>
      <c r="AW248" s="187"/>
      <c r="AX248" s="187"/>
      <c r="AY248" s="187"/>
      <c r="AZ248" s="187"/>
      <c r="BA248" s="187"/>
      <c r="BB248" s="187"/>
      <c r="BC248" s="187"/>
      <c r="BD248" s="187"/>
      <c r="BE248" s="187"/>
      <c r="BF248" s="187"/>
      <c r="BG248" s="187"/>
      <c r="BH248" s="187"/>
      <c r="BI248" s="187"/>
      <c r="BJ248" s="187"/>
      <c r="BK248" s="187"/>
      <c r="BL248" s="187"/>
      <c r="BM248" s="187"/>
      <c r="BN248" s="187"/>
      <c r="BO248" s="187"/>
      <c r="BP248" s="187"/>
      <c r="BQ248" s="187"/>
      <c r="BR248" s="187"/>
      <c r="BS248" s="187"/>
      <c r="BT248" s="187"/>
      <c r="BU248" s="187"/>
      <c r="BV248" s="187"/>
      <c r="BW248" s="187"/>
      <c r="BX248" s="187"/>
      <c r="BY248" s="187"/>
      <c r="BZ248" s="187"/>
      <c r="CA248" s="187"/>
      <c r="CB248" s="187"/>
      <c r="CC248" s="187"/>
      <c r="CD248" s="187"/>
      <c r="CE248" s="187"/>
      <c r="CF248" s="187"/>
      <c r="CG248" s="187"/>
      <c r="CH248" s="187"/>
      <c r="CI248" s="187"/>
      <c r="CJ248" s="187"/>
      <c r="CK248" s="187"/>
      <c r="CL248" s="187"/>
      <c r="CM248" s="187"/>
      <c r="CN248" s="187"/>
      <c r="CO248" s="187"/>
      <c r="CP248" s="187"/>
      <c r="CQ248" s="187"/>
      <c r="CR248" s="187"/>
      <c r="CS248" s="187"/>
      <c r="CT248" s="187"/>
      <c r="CU248" s="187"/>
      <c r="CV248" s="187"/>
      <c r="CW248" s="187"/>
      <c r="CX248" s="187"/>
      <c r="CY248" s="187"/>
      <c r="CZ248" s="187"/>
      <c r="DA248" s="187"/>
      <c r="DB248" s="187"/>
      <c r="DC248" s="187"/>
      <c r="DD248" s="187"/>
      <c r="DE248" s="187"/>
      <c r="DF248" s="187"/>
      <c r="DG248" s="187"/>
      <c r="DH248" s="187"/>
      <c r="DI248" s="187"/>
      <c r="DJ248" s="187"/>
      <c r="DK248" s="187"/>
      <c r="DL248" s="187"/>
      <c r="DM248" s="187"/>
      <c r="DN248" s="187"/>
      <c r="DO248" s="187"/>
      <c r="DP248" s="187"/>
      <c r="DQ248" s="187"/>
      <c r="DR248" s="187"/>
      <c r="DS248" s="187"/>
      <c r="DT248" s="187"/>
      <c r="DU248" s="187"/>
      <c r="DV248" s="187"/>
      <c r="DW248" s="187"/>
      <c r="DX248" s="187"/>
      <c r="DY248" s="187"/>
      <c r="DZ248" s="187"/>
      <c r="EA248" s="187"/>
      <c r="EB248" s="187"/>
      <c r="EC248" s="187"/>
      <c r="ED248" s="187"/>
      <c r="EE248" s="187"/>
      <c r="EF248" s="187"/>
      <c r="EG248" s="187"/>
      <c r="EH248" s="187"/>
      <c r="EI248" s="187"/>
      <c r="EJ248" s="187"/>
      <c r="EK248" s="187"/>
      <c r="EL248" s="187"/>
      <c r="EM248" s="187"/>
      <c r="EN248" s="187"/>
      <c r="EO248" s="187"/>
      <c r="EP248" s="187"/>
      <c r="EQ248" s="187"/>
      <c r="ER248" s="187"/>
      <c r="ES248" s="187"/>
      <c r="ET248" s="187"/>
      <c r="EU248" s="187"/>
      <c r="EV248" s="187"/>
      <c r="EW248" s="187"/>
      <c r="EX248" s="187"/>
      <c r="EY248" s="187"/>
      <c r="EZ248" s="187"/>
      <c r="FA248" s="187"/>
      <c r="FB248" s="187"/>
      <c r="FC248" s="187"/>
    </row>
    <row r="249" spans="1:159" ht="15" x14ac:dyDescent="0.25">
      <c r="A249" s="187" t="s">
        <v>552</v>
      </c>
      <c r="B249" s="187" t="s">
        <v>553</v>
      </c>
      <c r="C249" s="187">
        <v>4091</v>
      </c>
      <c r="D249" s="187">
        <v>3</v>
      </c>
      <c r="E249" s="187">
        <v>248</v>
      </c>
      <c r="F249" s="187">
        <v>1044</v>
      </c>
      <c r="G249" s="187">
        <v>326</v>
      </c>
      <c r="H249" s="187">
        <v>5712</v>
      </c>
      <c r="I249" s="187">
        <v>5386</v>
      </c>
      <c r="J249" s="187">
        <v>14</v>
      </c>
      <c r="K249" s="187">
        <v>93.06</v>
      </c>
      <c r="L249" s="187">
        <v>89.14</v>
      </c>
      <c r="M249" s="187">
        <v>2.87</v>
      </c>
      <c r="N249" s="187">
        <v>95.82</v>
      </c>
      <c r="O249" s="187">
        <v>3569</v>
      </c>
      <c r="P249" s="187">
        <v>95.06</v>
      </c>
      <c r="Q249" s="187">
        <v>79.86</v>
      </c>
      <c r="R249" s="187">
        <v>24.16</v>
      </c>
      <c r="S249" s="187">
        <v>118.96</v>
      </c>
      <c r="T249" s="187">
        <v>1204</v>
      </c>
      <c r="U249" s="187">
        <v>113.2</v>
      </c>
      <c r="V249" s="187">
        <v>508</v>
      </c>
      <c r="W249" s="187">
        <v>0</v>
      </c>
      <c r="X249" s="187">
        <v>0</v>
      </c>
      <c r="Y249" s="187">
        <v>0</v>
      </c>
      <c r="Z249" s="187">
        <v>4</v>
      </c>
      <c r="AA249" s="187">
        <v>1</v>
      </c>
      <c r="AB249" s="187">
        <v>33</v>
      </c>
      <c r="AC249" s="187">
        <v>13</v>
      </c>
      <c r="AD249" s="187">
        <v>4089</v>
      </c>
      <c r="AE249" s="187">
        <v>30</v>
      </c>
      <c r="AF249" s="187">
        <v>8</v>
      </c>
      <c r="AG249" s="187">
        <v>38</v>
      </c>
      <c r="AH249" s="187"/>
      <c r="AI249" s="187"/>
      <c r="AJ249" s="187"/>
      <c r="AK249" s="187"/>
      <c r="AL249" s="187"/>
      <c r="AM249" s="187"/>
      <c r="AN249" s="187"/>
      <c r="AO249" s="187"/>
      <c r="AP249" s="187"/>
      <c r="AQ249" s="187"/>
      <c r="AR249" s="187"/>
      <c r="AS249" s="187"/>
      <c r="AT249" s="187"/>
      <c r="AU249" s="187"/>
      <c r="AV249" s="187"/>
      <c r="AW249" s="187"/>
      <c r="AX249" s="187"/>
      <c r="AY249" s="187"/>
      <c r="AZ249" s="187"/>
      <c r="BA249" s="187"/>
      <c r="BB249" s="187"/>
      <c r="BC249" s="187"/>
      <c r="BD249" s="187"/>
      <c r="BE249" s="187"/>
      <c r="BF249" s="187"/>
      <c r="BG249" s="187"/>
      <c r="BH249" s="187"/>
      <c r="BI249" s="187"/>
      <c r="BJ249" s="187"/>
      <c r="BK249" s="187"/>
      <c r="BL249" s="187"/>
      <c r="BM249" s="187"/>
      <c r="BN249" s="187"/>
      <c r="BO249" s="187"/>
      <c r="BP249" s="187"/>
      <c r="BQ249" s="187"/>
      <c r="BR249" s="187"/>
      <c r="BS249" s="187"/>
      <c r="BT249" s="187"/>
      <c r="BU249" s="187"/>
      <c r="BV249" s="187"/>
      <c r="BW249" s="187"/>
      <c r="BX249" s="187"/>
      <c r="BY249" s="187"/>
      <c r="BZ249" s="187"/>
      <c r="CA249" s="187"/>
      <c r="CB249" s="187"/>
      <c r="CC249" s="187"/>
      <c r="CD249" s="187"/>
      <c r="CE249" s="187"/>
      <c r="CF249" s="187"/>
      <c r="CG249" s="187"/>
      <c r="CH249" s="187"/>
      <c r="CI249" s="187"/>
      <c r="CJ249" s="187"/>
      <c r="CK249" s="187"/>
      <c r="CL249" s="187"/>
      <c r="CM249" s="187"/>
      <c r="CN249" s="187"/>
      <c r="CO249" s="187"/>
      <c r="CP249" s="187"/>
      <c r="CQ249" s="187"/>
      <c r="CR249" s="187"/>
      <c r="CS249" s="187"/>
      <c r="CT249" s="187"/>
      <c r="CU249" s="187"/>
      <c r="CV249" s="187"/>
      <c r="CW249" s="187"/>
      <c r="CX249" s="187"/>
      <c r="CY249" s="187"/>
      <c r="CZ249" s="187"/>
      <c r="DA249" s="187"/>
      <c r="DB249" s="187"/>
      <c r="DC249" s="187"/>
      <c r="DD249" s="187"/>
      <c r="DE249" s="187"/>
      <c r="DF249" s="187"/>
      <c r="DG249" s="187"/>
      <c r="DH249" s="187"/>
      <c r="DI249" s="187"/>
      <c r="DJ249" s="187"/>
      <c r="DK249" s="187"/>
      <c r="DL249" s="187"/>
      <c r="DM249" s="187"/>
      <c r="DN249" s="187"/>
      <c r="DO249" s="187"/>
      <c r="DP249" s="187"/>
      <c r="DQ249" s="187"/>
      <c r="DR249" s="187"/>
      <c r="DS249" s="187"/>
      <c r="DT249" s="187"/>
      <c r="DU249" s="187"/>
      <c r="DV249" s="187"/>
      <c r="DW249" s="187"/>
      <c r="DX249" s="187"/>
      <c r="DY249" s="187"/>
      <c r="DZ249" s="187"/>
      <c r="EA249" s="187"/>
      <c r="EB249" s="187"/>
      <c r="EC249" s="187"/>
      <c r="ED249" s="187"/>
      <c r="EE249" s="187"/>
      <c r="EF249" s="187"/>
      <c r="EG249" s="187"/>
      <c r="EH249" s="187"/>
      <c r="EI249" s="187"/>
      <c r="EJ249" s="187"/>
      <c r="EK249" s="187"/>
      <c r="EL249" s="187"/>
      <c r="EM249" s="187"/>
      <c r="EN249" s="187"/>
      <c r="EO249" s="187"/>
      <c r="EP249" s="187"/>
      <c r="EQ249" s="187"/>
      <c r="ER249" s="187"/>
      <c r="ES249" s="187"/>
      <c r="ET249" s="187"/>
      <c r="EU249" s="187"/>
      <c r="EV249" s="187"/>
      <c r="EW249" s="187"/>
      <c r="EX249" s="187"/>
      <c r="EY249" s="187"/>
      <c r="EZ249" s="187"/>
      <c r="FA249" s="187"/>
      <c r="FB249" s="187"/>
      <c r="FC249" s="187"/>
    </row>
    <row r="250" spans="1:159" ht="15" x14ac:dyDescent="0.25">
      <c r="A250" s="187" t="s">
        <v>554</v>
      </c>
      <c r="B250" s="187" t="s">
        <v>555</v>
      </c>
      <c r="C250" s="187">
        <v>9439</v>
      </c>
      <c r="D250" s="187">
        <v>7</v>
      </c>
      <c r="E250" s="187">
        <v>361</v>
      </c>
      <c r="F250" s="187">
        <v>1698</v>
      </c>
      <c r="G250" s="187">
        <v>853</v>
      </c>
      <c r="H250" s="187">
        <v>12358</v>
      </c>
      <c r="I250" s="187">
        <v>11505</v>
      </c>
      <c r="J250" s="187">
        <v>3</v>
      </c>
      <c r="K250" s="187">
        <v>98.72</v>
      </c>
      <c r="L250" s="187">
        <v>94.58</v>
      </c>
      <c r="M250" s="187">
        <v>4.54</v>
      </c>
      <c r="N250" s="187">
        <v>100.22</v>
      </c>
      <c r="O250" s="187">
        <v>8403</v>
      </c>
      <c r="P250" s="187">
        <v>93.29</v>
      </c>
      <c r="Q250" s="187">
        <v>82.94</v>
      </c>
      <c r="R250" s="187">
        <v>27.29</v>
      </c>
      <c r="S250" s="187">
        <v>120.39</v>
      </c>
      <c r="T250" s="187">
        <v>1974</v>
      </c>
      <c r="U250" s="187">
        <v>129.51</v>
      </c>
      <c r="V250" s="187">
        <v>811</v>
      </c>
      <c r="W250" s="187">
        <v>159.97</v>
      </c>
      <c r="X250" s="187">
        <v>14</v>
      </c>
      <c r="Y250" s="187">
        <v>7</v>
      </c>
      <c r="Z250" s="187">
        <v>15</v>
      </c>
      <c r="AA250" s="187">
        <v>49</v>
      </c>
      <c r="AB250" s="187">
        <v>33</v>
      </c>
      <c r="AC250" s="187">
        <v>11</v>
      </c>
      <c r="AD250" s="187">
        <v>9408</v>
      </c>
      <c r="AE250" s="187">
        <v>17</v>
      </c>
      <c r="AF250" s="187">
        <v>63</v>
      </c>
      <c r="AG250" s="187">
        <v>80</v>
      </c>
      <c r="AH250" s="187"/>
      <c r="AI250" s="187"/>
      <c r="AJ250" s="187"/>
      <c r="AK250" s="187"/>
      <c r="AL250" s="187"/>
      <c r="AM250" s="187"/>
      <c r="AN250" s="187"/>
      <c r="AO250" s="187"/>
      <c r="AP250" s="187"/>
      <c r="AQ250" s="187"/>
      <c r="AR250" s="187"/>
      <c r="AS250" s="187"/>
      <c r="AT250" s="187"/>
      <c r="AU250" s="187"/>
      <c r="AV250" s="187"/>
      <c r="AW250" s="187"/>
      <c r="AX250" s="187"/>
      <c r="AY250" s="187"/>
      <c r="AZ250" s="187"/>
      <c r="BA250" s="187"/>
      <c r="BB250" s="187"/>
      <c r="BC250" s="187"/>
      <c r="BD250" s="187"/>
      <c r="BE250" s="187"/>
      <c r="BF250" s="187"/>
      <c r="BG250" s="187"/>
      <c r="BH250" s="187"/>
      <c r="BI250" s="187"/>
      <c r="BJ250" s="187"/>
      <c r="BK250" s="187"/>
      <c r="BL250" s="187"/>
      <c r="BM250" s="187"/>
      <c r="BN250" s="187"/>
      <c r="BO250" s="187"/>
      <c r="BP250" s="187"/>
      <c r="BQ250" s="187"/>
      <c r="BR250" s="187"/>
      <c r="BS250" s="187"/>
      <c r="BT250" s="187"/>
      <c r="BU250" s="187"/>
      <c r="BV250" s="187"/>
      <c r="BW250" s="187"/>
      <c r="BX250" s="187"/>
      <c r="BY250" s="187"/>
      <c r="BZ250" s="187"/>
      <c r="CA250" s="187"/>
      <c r="CB250" s="187"/>
      <c r="CC250" s="187"/>
      <c r="CD250" s="187"/>
      <c r="CE250" s="187"/>
      <c r="CF250" s="187"/>
      <c r="CG250" s="187"/>
      <c r="CH250" s="187"/>
      <c r="CI250" s="187"/>
      <c r="CJ250" s="187"/>
      <c r="CK250" s="187"/>
      <c r="CL250" s="187"/>
      <c r="CM250" s="187"/>
      <c r="CN250" s="187"/>
      <c r="CO250" s="187"/>
      <c r="CP250" s="187"/>
      <c r="CQ250" s="187"/>
      <c r="CR250" s="187"/>
      <c r="CS250" s="187"/>
      <c r="CT250" s="187"/>
      <c r="CU250" s="187"/>
      <c r="CV250" s="187"/>
      <c r="CW250" s="187"/>
      <c r="CX250" s="187"/>
      <c r="CY250" s="187"/>
      <c r="CZ250" s="187"/>
      <c r="DA250" s="187"/>
      <c r="DB250" s="187"/>
      <c r="DC250" s="187"/>
      <c r="DD250" s="187"/>
      <c r="DE250" s="187"/>
      <c r="DF250" s="187"/>
      <c r="DG250" s="187"/>
      <c r="DH250" s="187"/>
      <c r="DI250" s="187"/>
      <c r="DJ250" s="187"/>
      <c r="DK250" s="187"/>
      <c r="DL250" s="187"/>
      <c r="DM250" s="187"/>
      <c r="DN250" s="187"/>
      <c r="DO250" s="187"/>
      <c r="DP250" s="187"/>
      <c r="DQ250" s="187"/>
      <c r="DR250" s="187"/>
      <c r="DS250" s="187"/>
      <c r="DT250" s="187"/>
      <c r="DU250" s="187"/>
      <c r="DV250" s="187"/>
      <c r="DW250" s="187"/>
      <c r="DX250" s="187"/>
      <c r="DY250" s="187"/>
      <c r="DZ250" s="187"/>
      <c r="EA250" s="187"/>
      <c r="EB250" s="187"/>
      <c r="EC250" s="187"/>
      <c r="ED250" s="187"/>
      <c r="EE250" s="187"/>
      <c r="EF250" s="187"/>
      <c r="EG250" s="187"/>
      <c r="EH250" s="187"/>
      <c r="EI250" s="187"/>
      <c r="EJ250" s="187"/>
      <c r="EK250" s="187"/>
      <c r="EL250" s="187"/>
      <c r="EM250" s="187"/>
      <c r="EN250" s="187"/>
      <c r="EO250" s="187"/>
      <c r="EP250" s="187"/>
      <c r="EQ250" s="187"/>
      <c r="ER250" s="187"/>
      <c r="ES250" s="187"/>
      <c r="ET250" s="187"/>
      <c r="EU250" s="187"/>
      <c r="EV250" s="187"/>
      <c r="EW250" s="187"/>
      <c r="EX250" s="187"/>
      <c r="EY250" s="187"/>
      <c r="EZ250" s="187"/>
      <c r="FA250" s="187"/>
      <c r="FB250" s="187"/>
      <c r="FC250" s="187"/>
    </row>
    <row r="251" spans="1:159" ht="15" x14ac:dyDescent="0.25">
      <c r="A251" s="187" t="s">
        <v>556</v>
      </c>
      <c r="B251" s="187" t="s">
        <v>557</v>
      </c>
      <c r="C251" s="187">
        <v>5899</v>
      </c>
      <c r="D251" s="187">
        <v>0</v>
      </c>
      <c r="E251" s="187">
        <v>282</v>
      </c>
      <c r="F251" s="187">
        <v>684</v>
      </c>
      <c r="G251" s="187">
        <v>579</v>
      </c>
      <c r="H251" s="187">
        <v>7444</v>
      </c>
      <c r="I251" s="187">
        <v>6865</v>
      </c>
      <c r="J251" s="187">
        <v>4</v>
      </c>
      <c r="K251" s="187">
        <v>94.46</v>
      </c>
      <c r="L251" s="187">
        <v>90.81</v>
      </c>
      <c r="M251" s="187">
        <v>5.16</v>
      </c>
      <c r="N251" s="187">
        <v>96.03</v>
      </c>
      <c r="O251" s="187">
        <v>5730</v>
      </c>
      <c r="P251" s="187">
        <v>89.28</v>
      </c>
      <c r="Q251" s="187">
        <v>81.84</v>
      </c>
      <c r="R251" s="187">
        <v>44.52</v>
      </c>
      <c r="S251" s="187">
        <v>130.19</v>
      </c>
      <c r="T251" s="187">
        <v>813</v>
      </c>
      <c r="U251" s="187">
        <v>114.87</v>
      </c>
      <c r="V251" s="187">
        <v>127</v>
      </c>
      <c r="W251" s="187">
        <v>197.65</v>
      </c>
      <c r="X251" s="187">
        <v>139</v>
      </c>
      <c r="Y251" s="187">
        <v>0</v>
      </c>
      <c r="Z251" s="187">
        <v>6</v>
      </c>
      <c r="AA251" s="187">
        <v>2</v>
      </c>
      <c r="AB251" s="187">
        <v>154</v>
      </c>
      <c r="AC251" s="187">
        <v>10</v>
      </c>
      <c r="AD251" s="187">
        <v>5899</v>
      </c>
      <c r="AE251" s="187">
        <v>12</v>
      </c>
      <c r="AF251" s="187">
        <v>58</v>
      </c>
      <c r="AG251" s="187">
        <v>70</v>
      </c>
      <c r="AH251" s="187"/>
      <c r="AI251" s="187"/>
      <c r="AJ251" s="187"/>
      <c r="AK251" s="187"/>
      <c r="AL251" s="187"/>
      <c r="AM251" s="187"/>
      <c r="AN251" s="187"/>
      <c r="AO251" s="187"/>
      <c r="AP251" s="187"/>
      <c r="AQ251" s="187"/>
      <c r="AR251" s="187"/>
      <c r="AS251" s="187"/>
      <c r="AT251" s="187"/>
      <c r="AU251" s="187"/>
      <c r="AV251" s="187"/>
      <c r="AW251" s="187"/>
      <c r="AX251" s="187"/>
      <c r="AY251" s="187"/>
      <c r="AZ251" s="187"/>
      <c r="BA251" s="187"/>
      <c r="BB251" s="187"/>
      <c r="BC251" s="187"/>
      <c r="BD251" s="187"/>
      <c r="BE251" s="187"/>
      <c r="BF251" s="187"/>
      <c r="BG251" s="187"/>
      <c r="BH251" s="187"/>
      <c r="BI251" s="187"/>
      <c r="BJ251" s="187"/>
      <c r="BK251" s="187"/>
      <c r="BL251" s="187"/>
      <c r="BM251" s="187"/>
      <c r="BN251" s="187"/>
      <c r="BO251" s="187"/>
      <c r="BP251" s="187"/>
      <c r="BQ251" s="187"/>
      <c r="BR251" s="187"/>
      <c r="BS251" s="187"/>
      <c r="BT251" s="187"/>
      <c r="BU251" s="187"/>
      <c r="BV251" s="187"/>
      <c r="BW251" s="187"/>
      <c r="BX251" s="187"/>
      <c r="BY251" s="187"/>
      <c r="BZ251" s="187"/>
      <c r="CA251" s="187"/>
      <c r="CB251" s="187"/>
      <c r="CC251" s="187"/>
      <c r="CD251" s="187"/>
      <c r="CE251" s="187"/>
      <c r="CF251" s="187"/>
      <c r="CG251" s="187"/>
      <c r="CH251" s="187"/>
      <c r="CI251" s="187"/>
      <c r="CJ251" s="187"/>
      <c r="CK251" s="187"/>
      <c r="CL251" s="187"/>
      <c r="CM251" s="187"/>
      <c r="CN251" s="187"/>
      <c r="CO251" s="187"/>
      <c r="CP251" s="187"/>
      <c r="CQ251" s="187"/>
      <c r="CR251" s="187"/>
      <c r="CS251" s="187"/>
      <c r="CT251" s="187"/>
      <c r="CU251" s="187"/>
      <c r="CV251" s="187"/>
      <c r="CW251" s="187"/>
      <c r="CX251" s="187"/>
      <c r="CY251" s="187"/>
      <c r="CZ251" s="187"/>
      <c r="DA251" s="187"/>
      <c r="DB251" s="187"/>
      <c r="DC251" s="187"/>
      <c r="DD251" s="187"/>
      <c r="DE251" s="187"/>
      <c r="DF251" s="187"/>
      <c r="DG251" s="187"/>
      <c r="DH251" s="187"/>
      <c r="DI251" s="187"/>
      <c r="DJ251" s="187"/>
      <c r="DK251" s="187"/>
      <c r="DL251" s="187"/>
      <c r="DM251" s="187"/>
      <c r="DN251" s="187"/>
      <c r="DO251" s="187"/>
      <c r="DP251" s="187"/>
      <c r="DQ251" s="187"/>
      <c r="DR251" s="187"/>
      <c r="DS251" s="187"/>
      <c r="DT251" s="187"/>
      <c r="DU251" s="187"/>
      <c r="DV251" s="187"/>
      <c r="DW251" s="187"/>
      <c r="DX251" s="187"/>
      <c r="DY251" s="187"/>
      <c r="DZ251" s="187"/>
      <c r="EA251" s="187"/>
      <c r="EB251" s="187"/>
      <c r="EC251" s="187"/>
      <c r="ED251" s="187"/>
      <c r="EE251" s="187"/>
      <c r="EF251" s="187"/>
      <c r="EG251" s="187"/>
      <c r="EH251" s="187"/>
      <c r="EI251" s="187"/>
      <c r="EJ251" s="187"/>
      <c r="EK251" s="187"/>
      <c r="EL251" s="187"/>
      <c r="EM251" s="187"/>
      <c r="EN251" s="187"/>
      <c r="EO251" s="187"/>
      <c r="EP251" s="187"/>
      <c r="EQ251" s="187"/>
      <c r="ER251" s="187"/>
      <c r="ES251" s="187"/>
      <c r="ET251" s="187"/>
      <c r="EU251" s="187"/>
      <c r="EV251" s="187"/>
      <c r="EW251" s="187"/>
      <c r="EX251" s="187"/>
      <c r="EY251" s="187"/>
      <c r="EZ251" s="187"/>
      <c r="FA251" s="187"/>
      <c r="FB251" s="187"/>
      <c r="FC251" s="187"/>
    </row>
    <row r="252" spans="1:159" ht="15" x14ac:dyDescent="0.25">
      <c r="A252" s="187" t="s">
        <v>558</v>
      </c>
      <c r="B252" s="187" t="s">
        <v>559</v>
      </c>
      <c r="C252" s="187">
        <v>3893</v>
      </c>
      <c r="D252" s="187">
        <v>0</v>
      </c>
      <c r="E252" s="187">
        <v>367</v>
      </c>
      <c r="F252" s="187">
        <v>1003</v>
      </c>
      <c r="G252" s="187">
        <v>242</v>
      </c>
      <c r="H252" s="187">
        <v>5505</v>
      </c>
      <c r="I252" s="187">
        <v>5263</v>
      </c>
      <c r="J252" s="187">
        <v>23</v>
      </c>
      <c r="K252" s="187">
        <v>85.51</v>
      </c>
      <c r="L252" s="187">
        <v>82.28</v>
      </c>
      <c r="M252" s="187">
        <v>3.88</v>
      </c>
      <c r="N252" s="187">
        <v>87.73</v>
      </c>
      <c r="O252" s="187">
        <v>3125</v>
      </c>
      <c r="P252" s="187">
        <v>90.82</v>
      </c>
      <c r="Q252" s="187">
        <v>79.39</v>
      </c>
      <c r="R252" s="187">
        <v>62.08</v>
      </c>
      <c r="S252" s="187">
        <v>152.16</v>
      </c>
      <c r="T252" s="187">
        <v>928</v>
      </c>
      <c r="U252" s="187">
        <v>104.02</v>
      </c>
      <c r="V252" s="187">
        <v>679</v>
      </c>
      <c r="W252" s="187">
        <v>130.47</v>
      </c>
      <c r="X252" s="187">
        <v>322</v>
      </c>
      <c r="Y252" s="187">
        <v>0</v>
      </c>
      <c r="Z252" s="187">
        <v>3</v>
      </c>
      <c r="AA252" s="187">
        <v>0</v>
      </c>
      <c r="AB252" s="187">
        <v>18</v>
      </c>
      <c r="AC252" s="187">
        <v>1</v>
      </c>
      <c r="AD252" s="187">
        <v>3691</v>
      </c>
      <c r="AE252" s="187">
        <v>49</v>
      </c>
      <c r="AF252" s="187">
        <v>85</v>
      </c>
      <c r="AG252" s="187">
        <v>134</v>
      </c>
      <c r="AH252" s="187"/>
      <c r="AI252" s="187"/>
      <c r="AJ252" s="187"/>
      <c r="AK252" s="187"/>
      <c r="AL252" s="187"/>
      <c r="AM252" s="187"/>
      <c r="AN252" s="187"/>
      <c r="AO252" s="187"/>
      <c r="AP252" s="187"/>
      <c r="AQ252" s="187"/>
      <c r="AR252" s="187"/>
      <c r="AS252" s="187"/>
      <c r="AT252" s="187"/>
      <c r="AU252" s="187"/>
      <c r="AV252" s="187"/>
      <c r="AW252" s="187"/>
      <c r="AX252" s="187"/>
      <c r="AY252" s="187"/>
      <c r="AZ252" s="187"/>
      <c r="BA252" s="187"/>
      <c r="BB252" s="187"/>
      <c r="BC252" s="187"/>
      <c r="BD252" s="187"/>
      <c r="BE252" s="187"/>
      <c r="BF252" s="187"/>
      <c r="BG252" s="187"/>
      <c r="BH252" s="187"/>
      <c r="BI252" s="187"/>
      <c r="BJ252" s="187"/>
      <c r="BK252" s="187"/>
      <c r="BL252" s="187"/>
      <c r="BM252" s="187"/>
      <c r="BN252" s="187"/>
      <c r="BO252" s="187"/>
      <c r="BP252" s="187"/>
      <c r="BQ252" s="187"/>
      <c r="BR252" s="187"/>
      <c r="BS252" s="187"/>
      <c r="BT252" s="187"/>
      <c r="BU252" s="187"/>
      <c r="BV252" s="187"/>
      <c r="BW252" s="187"/>
      <c r="BX252" s="187"/>
      <c r="BY252" s="187"/>
      <c r="BZ252" s="187"/>
      <c r="CA252" s="187"/>
      <c r="CB252" s="187"/>
      <c r="CC252" s="187"/>
      <c r="CD252" s="187"/>
      <c r="CE252" s="187"/>
      <c r="CF252" s="187"/>
      <c r="CG252" s="187"/>
      <c r="CH252" s="187"/>
      <c r="CI252" s="187"/>
      <c r="CJ252" s="187"/>
      <c r="CK252" s="187"/>
      <c r="CL252" s="187"/>
      <c r="CM252" s="187"/>
      <c r="CN252" s="187"/>
      <c r="CO252" s="187"/>
      <c r="CP252" s="187"/>
      <c r="CQ252" s="187"/>
      <c r="CR252" s="187"/>
      <c r="CS252" s="187"/>
      <c r="CT252" s="187"/>
      <c r="CU252" s="187"/>
      <c r="CV252" s="187"/>
      <c r="CW252" s="187"/>
      <c r="CX252" s="187"/>
      <c r="CY252" s="187"/>
      <c r="CZ252" s="187"/>
      <c r="DA252" s="187"/>
      <c r="DB252" s="187"/>
      <c r="DC252" s="187"/>
      <c r="DD252" s="187"/>
      <c r="DE252" s="187"/>
      <c r="DF252" s="187"/>
      <c r="DG252" s="187"/>
      <c r="DH252" s="187"/>
      <c r="DI252" s="187"/>
      <c r="DJ252" s="187"/>
      <c r="DK252" s="187"/>
      <c r="DL252" s="187"/>
      <c r="DM252" s="187"/>
      <c r="DN252" s="187"/>
      <c r="DO252" s="187"/>
      <c r="DP252" s="187"/>
      <c r="DQ252" s="187"/>
      <c r="DR252" s="187"/>
      <c r="DS252" s="187"/>
      <c r="DT252" s="187"/>
      <c r="DU252" s="187"/>
      <c r="DV252" s="187"/>
      <c r="DW252" s="187"/>
      <c r="DX252" s="187"/>
      <c r="DY252" s="187"/>
      <c r="DZ252" s="187"/>
      <c r="EA252" s="187"/>
      <c r="EB252" s="187"/>
      <c r="EC252" s="187"/>
      <c r="ED252" s="187"/>
      <c r="EE252" s="187"/>
      <c r="EF252" s="187"/>
      <c r="EG252" s="187"/>
      <c r="EH252" s="187"/>
      <c r="EI252" s="187"/>
      <c r="EJ252" s="187"/>
      <c r="EK252" s="187"/>
      <c r="EL252" s="187"/>
      <c r="EM252" s="187"/>
      <c r="EN252" s="187"/>
      <c r="EO252" s="187"/>
      <c r="EP252" s="187"/>
      <c r="EQ252" s="187"/>
      <c r="ER252" s="187"/>
      <c r="ES252" s="187"/>
      <c r="ET252" s="187"/>
      <c r="EU252" s="187"/>
      <c r="EV252" s="187"/>
      <c r="EW252" s="187"/>
      <c r="EX252" s="187"/>
      <c r="EY252" s="187"/>
      <c r="EZ252" s="187"/>
      <c r="FA252" s="187"/>
      <c r="FB252" s="187"/>
      <c r="FC252" s="187"/>
    </row>
    <row r="253" spans="1:159" ht="15" x14ac:dyDescent="0.25">
      <c r="A253" s="187" t="s">
        <v>560</v>
      </c>
      <c r="B253" s="187" t="s">
        <v>561</v>
      </c>
      <c r="C253" s="187">
        <v>5929</v>
      </c>
      <c r="D253" s="187">
        <v>108</v>
      </c>
      <c r="E253" s="187">
        <v>854</v>
      </c>
      <c r="F253" s="187">
        <v>1088</v>
      </c>
      <c r="G253" s="187">
        <v>1212</v>
      </c>
      <c r="H253" s="187">
        <v>9191</v>
      </c>
      <c r="I253" s="187">
        <v>7979</v>
      </c>
      <c r="J253" s="187">
        <v>25</v>
      </c>
      <c r="K253" s="187">
        <v>111.79</v>
      </c>
      <c r="L253" s="187">
        <v>109.15</v>
      </c>
      <c r="M253" s="187">
        <v>8.56</v>
      </c>
      <c r="N253" s="187">
        <v>119.29</v>
      </c>
      <c r="O253" s="187">
        <v>4674</v>
      </c>
      <c r="P253" s="187">
        <v>104.01</v>
      </c>
      <c r="Q253" s="187">
        <v>90.56</v>
      </c>
      <c r="R253" s="187">
        <v>44.54</v>
      </c>
      <c r="S253" s="187">
        <v>148.15</v>
      </c>
      <c r="T253" s="187">
        <v>1459</v>
      </c>
      <c r="U253" s="187">
        <v>152.44</v>
      </c>
      <c r="V253" s="187">
        <v>835</v>
      </c>
      <c r="W253" s="187">
        <v>124.56</v>
      </c>
      <c r="X253" s="187">
        <v>6</v>
      </c>
      <c r="Y253" s="187">
        <v>0</v>
      </c>
      <c r="Z253" s="187">
        <v>1</v>
      </c>
      <c r="AA253" s="187">
        <v>5</v>
      </c>
      <c r="AB253" s="187">
        <v>6</v>
      </c>
      <c r="AC253" s="187">
        <v>26</v>
      </c>
      <c r="AD253" s="187">
        <v>5770</v>
      </c>
      <c r="AE253" s="187">
        <v>19</v>
      </c>
      <c r="AF253" s="187">
        <v>38</v>
      </c>
      <c r="AG253" s="187">
        <v>57</v>
      </c>
      <c r="AH253" s="187"/>
      <c r="AI253" s="187"/>
      <c r="AJ253" s="187"/>
      <c r="AK253" s="187"/>
      <c r="AL253" s="187"/>
      <c r="AM253" s="187"/>
      <c r="AN253" s="187"/>
      <c r="AO253" s="187"/>
      <c r="AP253" s="187"/>
      <c r="AQ253" s="187"/>
      <c r="AR253" s="187"/>
      <c r="AS253" s="187"/>
      <c r="AT253" s="187"/>
      <c r="AU253" s="187"/>
      <c r="AV253" s="187"/>
      <c r="AW253" s="187"/>
      <c r="AX253" s="187"/>
      <c r="AY253" s="187"/>
      <c r="AZ253" s="187"/>
      <c r="BA253" s="187"/>
      <c r="BB253" s="187"/>
      <c r="BC253" s="187"/>
      <c r="BD253" s="187"/>
      <c r="BE253" s="187"/>
      <c r="BF253" s="187"/>
      <c r="BG253" s="187"/>
      <c r="BH253" s="187"/>
      <c r="BI253" s="187"/>
      <c r="BJ253" s="187"/>
      <c r="BK253" s="187"/>
      <c r="BL253" s="187"/>
      <c r="BM253" s="187"/>
      <c r="BN253" s="187"/>
      <c r="BO253" s="187"/>
      <c r="BP253" s="187"/>
      <c r="BQ253" s="187"/>
      <c r="BR253" s="187"/>
      <c r="BS253" s="187"/>
      <c r="BT253" s="187"/>
      <c r="BU253" s="187"/>
      <c r="BV253" s="187"/>
      <c r="BW253" s="187"/>
      <c r="BX253" s="187"/>
      <c r="BY253" s="187"/>
      <c r="BZ253" s="187"/>
      <c r="CA253" s="187"/>
      <c r="CB253" s="187"/>
      <c r="CC253" s="187"/>
      <c r="CD253" s="187"/>
      <c r="CE253" s="187"/>
      <c r="CF253" s="187"/>
      <c r="CG253" s="187"/>
      <c r="CH253" s="187"/>
      <c r="CI253" s="187"/>
      <c r="CJ253" s="187"/>
      <c r="CK253" s="187"/>
      <c r="CL253" s="187"/>
      <c r="CM253" s="187"/>
      <c r="CN253" s="187"/>
      <c r="CO253" s="187"/>
      <c r="CP253" s="187"/>
      <c r="CQ253" s="187"/>
      <c r="CR253" s="187"/>
      <c r="CS253" s="187"/>
      <c r="CT253" s="187"/>
      <c r="CU253" s="187"/>
      <c r="CV253" s="187"/>
      <c r="CW253" s="187"/>
      <c r="CX253" s="187"/>
      <c r="CY253" s="187"/>
      <c r="CZ253" s="187"/>
      <c r="DA253" s="187"/>
      <c r="DB253" s="187"/>
      <c r="DC253" s="187"/>
      <c r="DD253" s="187"/>
      <c r="DE253" s="187"/>
      <c r="DF253" s="187"/>
      <c r="DG253" s="187"/>
      <c r="DH253" s="187"/>
      <c r="DI253" s="187"/>
      <c r="DJ253" s="187"/>
      <c r="DK253" s="187"/>
      <c r="DL253" s="187"/>
      <c r="DM253" s="187"/>
      <c r="DN253" s="187"/>
      <c r="DO253" s="187"/>
      <c r="DP253" s="187"/>
      <c r="DQ253" s="187"/>
      <c r="DR253" s="187"/>
      <c r="DS253" s="187"/>
      <c r="DT253" s="187"/>
      <c r="DU253" s="187"/>
      <c r="DV253" s="187"/>
      <c r="DW253" s="187"/>
      <c r="DX253" s="187"/>
      <c r="DY253" s="187"/>
      <c r="DZ253" s="187"/>
      <c r="EA253" s="187"/>
      <c r="EB253" s="187"/>
      <c r="EC253" s="187"/>
      <c r="ED253" s="187"/>
      <c r="EE253" s="187"/>
      <c r="EF253" s="187"/>
      <c r="EG253" s="187"/>
      <c r="EH253" s="187"/>
      <c r="EI253" s="187"/>
      <c r="EJ253" s="187"/>
      <c r="EK253" s="187"/>
      <c r="EL253" s="187"/>
      <c r="EM253" s="187"/>
      <c r="EN253" s="187"/>
      <c r="EO253" s="187"/>
      <c r="EP253" s="187"/>
      <c r="EQ253" s="187"/>
      <c r="ER253" s="187"/>
      <c r="ES253" s="187"/>
      <c r="ET253" s="187"/>
      <c r="EU253" s="187"/>
      <c r="EV253" s="187"/>
      <c r="EW253" s="187"/>
      <c r="EX253" s="187"/>
      <c r="EY253" s="187"/>
      <c r="EZ253" s="187"/>
      <c r="FA253" s="187"/>
      <c r="FB253" s="187"/>
      <c r="FC253" s="187"/>
    </row>
    <row r="254" spans="1:159" ht="15" x14ac:dyDescent="0.25">
      <c r="A254" s="187" t="s">
        <v>562</v>
      </c>
      <c r="B254" s="187" t="s">
        <v>563</v>
      </c>
      <c r="C254" s="187">
        <v>2855</v>
      </c>
      <c r="D254" s="187">
        <v>0</v>
      </c>
      <c r="E254" s="187">
        <v>578</v>
      </c>
      <c r="F254" s="187">
        <v>316</v>
      </c>
      <c r="G254" s="187">
        <v>476</v>
      </c>
      <c r="H254" s="187">
        <v>4225</v>
      </c>
      <c r="I254" s="187">
        <v>3749</v>
      </c>
      <c r="J254" s="187">
        <v>105</v>
      </c>
      <c r="K254" s="187">
        <v>103.67</v>
      </c>
      <c r="L254" s="187">
        <v>102</v>
      </c>
      <c r="M254" s="187">
        <v>14.47</v>
      </c>
      <c r="N254" s="187">
        <v>115.37</v>
      </c>
      <c r="O254" s="187">
        <v>2440</v>
      </c>
      <c r="P254" s="187">
        <v>97.04</v>
      </c>
      <c r="Q254" s="187">
        <v>86.09</v>
      </c>
      <c r="R254" s="187">
        <v>73.42</v>
      </c>
      <c r="S254" s="187">
        <v>168.54</v>
      </c>
      <c r="T254" s="187">
        <v>497</v>
      </c>
      <c r="U254" s="187">
        <v>159.22999999999999</v>
      </c>
      <c r="V254" s="187">
        <v>374</v>
      </c>
      <c r="W254" s="187">
        <v>327.29000000000002</v>
      </c>
      <c r="X254" s="187">
        <v>139</v>
      </c>
      <c r="Y254" s="187">
        <v>0</v>
      </c>
      <c r="Z254" s="187">
        <v>1</v>
      </c>
      <c r="AA254" s="187">
        <v>5</v>
      </c>
      <c r="AB254" s="187">
        <v>29</v>
      </c>
      <c r="AC254" s="187">
        <v>4</v>
      </c>
      <c r="AD254" s="187">
        <v>2855</v>
      </c>
      <c r="AE254" s="187">
        <v>12</v>
      </c>
      <c r="AF254" s="187">
        <v>6</v>
      </c>
      <c r="AG254" s="187">
        <v>18</v>
      </c>
      <c r="AH254" s="187"/>
      <c r="AI254" s="187"/>
      <c r="AJ254" s="187"/>
      <c r="AK254" s="187"/>
      <c r="AL254" s="187"/>
      <c r="AM254" s="187"/>
      <c r="AN254" s="187"/>
      <c r="AO254" s="187"/>
      <c r="AP254" s="187"/>
      <c r="AQ254" s="187"/>
      <c r="AR254" s="187"/>
      <c r="AS254" s="187"/>
      <c r="AT254" s="187"/>
      <c r="AU254" s="187"/>
      <c r="AV254" s="187"/>
      <c r="AW254" s="187"/>
      <c r="AX254" s="187"/>
      <c r="AY254" s="187"/>
      <c r="AZ254" s="187"/>
      <c r="BA254" s="187"/>
      <c r="BB254" s="187"/>
      <c r="BC254" s="187"/>
      <c r="BD254" s="187"/>
      <c r="BE254" s="187"/>
      <c r="BF254" s="187"/>
      <c r="BG254" s="187"/>
      <c r="BH254" s="187"/>
      <c r="BI254" s="187"/>
      <c r="BJ254" s="187"/>
      <c r="BK254" s="187"/>
      <c r="BL254" s="187"/>
      <c r="BM254" s="187"/>
      <c r="BN254" s="187"/>
      <c r="BO254" s="187"/>
      <c r="BP254" s="187"/>
      <c r="BQ254" s="187"/>
      <c r="BR254" s="187"/>
      <c r="BS254" s="187"/>
      <c r="BT254" s="187"/>
      <c r="BU254" s="187"/>
      <c r="BV254" s="187"/>
      <c r="BW254" s="187"/>
      <c r="BX254" s="187"/>
      <c r="BY254" s="187"/>
      <c r="BZ254" s="187"/>
      <c r="CA254" s="187"/>
      <c r="CB254" s="187"/>
      <c r="CC254" s="187"/>
      <c r="CD254" s="187"/>
      <c r="CE254" s="187"/>
      <c r="CF254" s="187"/>
      <c r="CG254" s="187"/>
      <c r="CH254" s="187"/>
      <c r="CI254" s="187"/>
      <c r="CJ254" s="187"/>
      <c r="CK254" s="187"/>
      <c r="CL254" s="187"/>
      <c r="CM254" s="187"/>
      <c r="CN254" s="187"/>
      <c r="CO254" s="187"/>
      <c r="CP254" s="187"/>
      <c r="CQ254" s="187"/>
      <c r="CR254" s="187"/>
      <c r="CS254" s="187"/>
      <c r="CT254" s="187"/>
      <c r="CU254" s="187"/>
      <c r="CV254" s="187"/>
      <c r="CW254" s="187"/>
      <c r="CX254" s="187"/>
      <c r="CY254" s="187"/>
      <c r="CZ254" s="187"/>
      <c r="DA254" s="187"/>
      <c r="DB254" s="187"/>
      <c r="DC254" s="187"/>
      <c r="DD254" s="187"/>
      <c r="DE254" s="187"/>
      <c r="DF254" s="187"/>
      <c r="DG254" s="187"/>
      <c r="DH254" s="187"/>
      <c r="DI254" s="187"/>
      <c r="DJ254" s="187"/>
      <c r="DK254" s="187"/>
      <c r="DL254" s="187"/>
      <c r="DM254" s="187"/>
      <c r="DN254" s="187"/>
      <c r="DO254" s="187"/>
      <c r="DP254" s="187"/>
      <c r="DQ254" s="187"/>
      <c r="DR254" s="187"/>
      <c r="DS254" s="187"/>
      <c r="DT254" s="187"/>
      <c r="DU254" s="187"/>
      <c r="DV254" s="187"/>
      <c r="DW254" s="187"/>
      <c r="DX254" s="187"/>
      <c r="DY254" s="187"/>
      <c r="DZ254" s="187"/>
      <c r="EA254" s="187"/>
      <c r="EB254" s="187"/>
      <c r="EC254" s="187"/>
      <c r="ED254" s="187"/>
      <c r="EE254" s="187"/>
      <c r="EF254" s="187"/>
      <c r="EG254" s="187"/>
      <c r="EH254" s="187"/>
      <c r="EI254" s="187"/>
      <c r="EJ254" s="187"/>
      <c r="EK254" s="187"/>
      <c r="EL254" s="187"/>
      <c r="EM254" s="187"/>
      <c r="EN254" s="187"/>
      <c r="EO254" s="187"/>
      <c r="EP254" s="187"/>
      <c r="EQ254" s="187"/>
      <c r="ER254" s="187"/>
      <c r="ES254" s="187"/>
      <c r="ET254" s="187"/>
      <c r="EU254" s="187"/>
      <c r="EV254" s="187"/>
      <c r="EW254" s="187"/>
      <c r="EX254" s="187"/>
      <c r="EY254" s="187"/>
      <c r="EZ254" s="187"/>
      <c r="FA254" s="187"/>
      <c r="FB254" s="187"/>
      <c r="FC254" s="187"/>
    </row>
    <row r="255" spans="1:159" ht="15" x14ac:dyDescent="0.25">
      <c r="A255" s="187" t="s">
        <v>564</v>
      </c>
      <c r="B255" s="187" t="s">
        <v>565</v>
      </c>
      <c r="C255" s="187">
        <v>15218</v>
      </c>
      <c r="D255" s="187">
        <v>323</v>
      </c>
      <c r="E255" s="187">
        <v>1493</v>
      </c>
      <c r="F255" s="187">
        <v>720</v>
      </c>
      <c r="G255" s="187">
        <v>2937</v>
      </c>
      <c r="H255" s="187">
        <v>20691</v>
      </c>
      <c r="I255" s="187">
        <v>17754</v>
      </c>
      <c r="J255" s="187">
        <v>224</v>
      </c>
      <c r="K255" s="187">
        <v>130.94</v>
      </c>
      <c r="L255" s="187">
        <v>133.11000000000001</v>
      </c>
      <c r="M255" s="187">
        <v>14.99</v>
      </c>
      <c r="N255" s="187">
        <v>143.09</v>
      </c>
      <c r="O255" s="187">
        <v>12212</v>
      </c>
      <c r="P255" s="187">
        <v>116.17</v>
      </c>
      <c r="Q255" s="187">
        <v>108.54</v>
      </c>
      <c r="R255" s="187">
        <v>60.35</v>
      </c>
      <c r="S255" s="187">
        <v>172.63</v>
      </c>
      <c r="T255" s="187">
        <v>1985</v>
      </c>
      <c r="U255" s="187">
        <v>209.8</v>
      </c>
      <c r="V255" s="187">
        <v>1381</v>
      </c>
      <c r="W255" s="187">
        <v>160.68</v>
      </c>
      <c r="X255" s="187">
        <v>48</v>
      </c>
      <c r="Y255" s="187">
        <v>0</v>
      </c>
      <c r="Z255" s="187">
        <v>1</v>
      </c>
      <c r="AA255" s="187">
        <v>27</v>
      </c>
      <c r="AB255" s="187">
        <v>33</v>
      </c>
      <c r="AC255" s="187">
        <v>85</v>
      </c>
      <c r="AD255" s="187">
        <v>14341</v>
      </c>
      <c r="AE255" s="187">
        <v>152</v>
      </c>
      <c r="AF255" s="187">
        <v>98</v>
      </c>
      <c r="AG255" s="187">
        <v>250</v>
      </c>
      <c r="AH255" s="187"/>
      <c r="AI255" s="187"/>
      <c r="AJ255" s="187"/>
      <c r="AK255" s="187"/>
      <c r="AL255" s="187"/>
      <c r="AM255" s="187"/>
      <c r="AN255" s="187"/>
      <c r="AO255" s="187"/>
      <c r="AP255" s="187"/>
      <c r="AQ255" s="187"/>
      <c r="AR255" s="187"/>
      <c r="AS255" s="187"/>
      <c r="AT255" s="187"/>
      <c r="AU255" s="187"/>
      <c r="AV255" s="187"/>
      <c r="AW255" s="187"/>
      <c r="AX255" s="187"/>
      <c r="AY255" s="187"/>
      <c r="AZ255" s="187"/>
      <c r="BA255" s="187"/>
      <c r="BB255" s="187"/>
      <c r="BC255" s="187"/>
      <c r="BD255" s="187"/>
      <c r="BE255" s="187"/>
      <c r="BF255" s="187"/>
      <c r="BG255" s="187"/>
      <c r="BH255" s="187"/>
      <c r="BI255" s="187"/>
      <c r="BJ255" s="187"/>
      <c r="BK255" s="187"/>
      <c r="BL255" s="187"/>
      <c r="BM255" s="187"/>
      <c r="BN255" s="187"/>
      <c r="BO255" s="187"/>
      <c r="BP255" s="187"/>
      <c r="BQ255" s="187"/>
      <c r="BR255" s="187"/>
      <c r="BS255" s="187"/>
      <c r="BT255" s="187"/>
      <c r="BU255" s="187"/>
      <c r="BV255" s="187"/>
      <c r="BW255" s="187"/>
      <c r="BX255" s="187"/>
      <c r="BY255" s="187"/>
      <c r="BZ255" s="187"/>
      <c r="CA255" s="187"/>
      <c r="CB255" s="187"/>
      <c r="CC255" s="187"/>
      <c r="CD255" s="187"/>
      <c r="CE255" s="187"/>
      <c r="CF255" s="187"/>
      <c r="CG255" s="187"/>
      <c r="CH255" s="187"/>
      <c r="CI255" s="187"/>
      <c r="CJ255" s="187"/>
      <c r="CK255" s="187"/>
      <c r="CL255" s="187"/>
      <c r="CM255" s="187"/>
      <c r="CN255" s="187"/>
      <c r="CO255" s="187"/>
      <c r="CP255" s="187"/>
      <c r="CQ255" s="187"/>
      <c r="CR255" s="187"/>
      <c r="CS255" s="187"/>
      <c r="CT255" s="187"/>
      <c r="CU255" s="187"/>
      <c r="CV255" s="187"/>
      <c r="CW255" s="187"/>
      <c r="CX255" s="187"/>
      <c r="CY255" s="187"/>
      <c r="CZ255" s="187"/>
      <c r="DA255" s="187"/>
      <c r="DB255" s="187"/>
      <c r="DC255" s="187"/>
      <c r="DD255" s="187"/>
      <c r="DE255" s="187"/>
      <c r="DF255" s="187"/>
      <c r="DG255" s="187"/>
      <c r="DH255" s="187"/>
      <c r="DI255" s="187"/>
      <c r="DJ255" s="187"/>
      <c r="DK255" s="187"/>
      <c r="DL255" s="187"/>
      <c r="DM255" s="187"/>
      <c r="DN255" s="187"/>
      <c r="DO255" s="187"/>
      <c r="DP255" s="187"/>
      <c r="DQ255" s="187"/>
      <c r="DR255" s="187"/>
      <c r="DS255" s="187"/>
      <c r="DT255" s="187"/>
      <c r="DU255" s="187"/>
      <c r="DV255" s="187"/>
      <c r="DW255" s="187"/>
      <c r="DX255" s="187"/>
      <c r="DY255" s="187"/>
      <c r="DZ255" s="187"/>
      <c r="EA255" s="187"/>
      <c r="EB255" s="187"/>
      <c r="EC255" s="187"/>
      <c r="ED255" s="187"/>
      <c r="EE255" s="187"/>
      <c r="EF255" s="187"/>
      <c r="EG255" s="187"/>
      <c r="EH255" s="187"/>
      <c r="EI255" s="187"/>
      <c r="EJ255" s="187"/>
      <c r="EK255" s="187"/>
      <c r="EL255" s="187"/>
      <c r="EM255" s="187"/>
      <c r="EN255" s="187"/>
      <c r="EO255" s="187"/>
      <c r="EP255" s="187"/>
      <c r="EQ255" s="187"/>
      <c r="ER255" s="187"/>
      <c r="ES255" s="187"/>
      <c r="ET255" s="187"/>
      <c r="EU255" s="187"/>
      <c r="EV255" s="187"/>
      <c r="EW255" s="187"/>
      <c r="EX255" s="187"/>
      <c r="EY255" s="187"/>
      <c r="EZ255" s="187"/>
      <c r="FA255" s="187"/>
      <c r="FB255" s="187"/>
      <c r="FC255" s="187"/>
    </row>
    <row r="256" spans="1:159" ht="15" x14ac:dyDescent="0.25">
      <c r="A256" s="187" t="s">
        <v>566</v>
      </c>
      <c r="B256" s="187" t="s">
        <v>567</v>
      </c>
      <c r="C256" s="187">
        <v>4922</v>
      </c>
      <c r="D256" s="187">
        <v>0</v>
      </c>
      <c r="E256" s="187">
        <v>112</v>
      </c>
      <c r="F256" s="187">
        <v>337</v>
      </c>
      <c r="G256" s="187">
        <v>789</v>
      </c>
      <c r="H256" s="187">
        <v>6160</v>
      </c>
      <c r="I256" s="187">
        <v>5371</v>
      </c>
      <c r="J256" s="187">
        <v>13</v>
      </c>
      <c r="K256" s="187">
        <v>124.16</v>
      </c>
      <c r="L256" s="187">
        <v>118.83</v>
      </c>
      <c r="M256" s="187">
        <v>6.69</v>
      </c>
      <c r="N256" s="187">
        <v>130.05000000000001</v>
      </c>
      <c r="O256" s="187">
        <v>4716</v>
      </c>
      <c r="P256" s="187">
        <v>117.61</v>
      </c>
      <c r="Q256" s="187">
        <v>110.06</v>
      </c>
      <c r="R256" s="187">
        <v>79.819999999999993</v>
      </c>
      <c r="S256" s="187">
        <v>196.97</v>
      </c>
      <c r="T256" s="187">
        <v>345</v>
      </c>
      <c r="U256" s="187">
        <v>229.08</v>
      </c>
      <c r="V256" s="187">
        <v>187</v>
      </c>
      <c r="W256" s="187">
        <v>156.25</v>
      </c>
      <c r="X256" s="187">
        <v>11</v>
      </c>
      <c r="Y256" s="187">
        <v>35</v>
      </c>
      <c r="Z256" s="187">
        <v>2</v>
      </c>
      <c r="AA256" s="187">
        <v>0</v>
      </c>
      <c r="AB256" s="187">
        <v>145</v>
      </c>
      <c r="AC256" s="187">
        <v>19</v>
      </c>
      <c r="AD256" s="187">
        <v>4921</v>
      </c>
      <c r="AE256" s="187">
        <v>6</v>
      </c>
      <c r="AF256" s="187">
        <v>20</v>
      </c>
      <c r="AG256" s="187">
        <v>26</v>
      </c>
      <c r="AH256" s="187"/>
      <c r="AI256" s="187"/>
      <c r="AJ256" s="187"/>
      <c r="AK256" s="187"/>
      <c r="AL256" s="187"/>
      <c r="AM256" s="187"/>
      <c r="AN256" s="187"/>
      <c r="AO256" s="187"/>
      <c r="AP256" s="187"/>
      <c r="AQ256" s="187"/>
      <c r="AR256" s="187"/>
      <c r="AS256" s="187"/>
      <c r="AT256" s="187"/>
      <c r="AU256" s="187"/>
      <c r="AV256" s="187"/>
      <c r="AW256" s="187"/>
      <c r="AX256" s="187"/>
      <c r="AY256" s="187"/>
      <c r="AZ256" s="187"/>
      <c r="BA256" s="187"/>
      <c r="BB256" s="187"/>
      <c r="BC256" s="187"/>
      <c r="BD256" s="187"/>
      <c r="BE256" s="187"/>
      <c r="BF256" s="187"/>
      <c r="BG256" s="187"/>
      <c r="BH256" s="187"/>
      <c r="BI256" s="187"/>
      <c r="BJ256" s="187"/>
      <c r="BK256" s="187"/>
      <c r="BL256" s="187"/>
      <c r="BM256" s="187"/>
      <c r="BN256" s="187"/>
      <c r="BO256" s="187"/>
      <c r="BP256" s="187"/>
      <c r="BQ256" s="187"/>
      <c r="BR256" s="187"/>
      <c r="BS256" s="187"/>
      <c r="BT256" s="187"/>
      <c r="BU256" s="187"/>
      <c r="BV256" s="187"/>
      <c r="BW256" s="187"/>
      <c r="BX256" s="187"/>
      <c r="BY256" s="187"/>
      <c r="BZ256" s="187"/>
      <c r="CA256" s="187"/>
      <c r="CB256" s="187"/>
      <c r="CC256" s="187"/>
      <c r="CD256" s="187"/>
      <c r="CE256" s="187"/>
      <c r="CF256" s="187"/>
      <c r="CG256" s="187"/>
      <c r="CH256" s="187"/>
      <c r="CI256" s="187"/>
      <c r="CJ256" s="187"/>
      <c r="CK256" s="187"/>
      <c r="CL256" s="187"/>
      <c r="CM256" s="187"/>
      <c r="CN256" s="187"/>
      <c r="CO256" s="187"/>
      <c r="CP256" s="187"/>
      <c r="CQ256" s="187"/>
      <c r="CR256" s="187"/>
      <c r="CS256" s="187"/>
      <c r="CT256" s="187"/>
      <c r="CU256" s="187"/>
      <c r="CV256" s="187"/>
      <c r="CW256" s="187"/>
      <c r="CX256" s="187"/>
      <c r="CY256" s="187"/>
      <c r="CZ256" s="187"/>
      <c r="DA256" s="187"/>
      <c r="DB256" s="187"/>
      <c r="DC256" s="187"/>
      <c r="DD256" s="187"/>
      <c r="DE256" s="187"/>
      <c r="DF256" s="187"/>
      <c r="DG256" s="187"/>
      <c r="DH256" s="187"/>
      <c r="DI256" s="187"/>
      <c r="DJ256" s="187"/>
      <c r="DK256" s="187"/>
      <c r="DL256" s="187"/>
      <c r="DM256" s="187"/>
      <c r="DN256" s="187"/>
      <c r="DO256" s="187"/>
      <c r="DP256" s="187"/>
      <c r="DQ256" s="187"/>
      <c r="DR256" s="187"/>
      <c r="DS256" s="187"/>
      <c r="DT256" s="187"/>
      <c r="DU256" s="187"/>
      <c r="DV256" s="187"/>
      <c r="DW256" s="187"/>
      <c r="DX256" s="187"/>
      <c r="DY256" s="187"/>
      <c r="DZ256" s="187"/>
      <c r="EA256" s="187"/>
      <c r="EB256" s="187"/>
      <c r="EC256" s="187"/>
      <c r="ED256" s="187"/>
      <c r="EE256" s="187"/>
      <c r="EF256" s="187"/>
      <c r="EG256" s="187"/>
      <c r="EH256" s="187"/>
      <c r="EI256" s="187"/>
      <c r="EJ256" s="187"/>
      <c r="EK256" s="187"/>
      <c r="EL256" s="187"/>
      <c r="EM256" s="187"/>
      <c r="EN256" s="187"/>
      <c r="EO256" s="187"/>
      <c r="EP256" s="187"/>
      <c r="EQ256" s="187"/>
      <c r="ER256" s="187"/>
      <c r="ES256" s="187"/>
      <c r="ET256" s="187"/>
      <c r="EU256" s="187"/>
      <c r="EV256" s="187"/>
      <c r="EW256" s="187"/>
      <c r="EX256" s="187"/>
      <c r="EY256" s="187"/>
      <c r="EZ256" s="187"/>
      <c r="FA256" s="187"/>
      <c r="FB256" s="187"/>
      <c r="FC256" s="187"/>
    </row>
    <row r="257" spans="1:159" ht="15" x14ac:dyDescent="0.25">
      <c r="A257" s="187" t="s">
        <v>568</v>
      </c>
      <c r="B257" s="187" t="s">
        <v>569</v>
      </c>
      <c r="C257" s="187">
        <v>2311</v>
      </c>
      <c r="D257" s="187">
        <v>0</v>
      </c>
      <c r="E257" s="187">
        <v>288</v>
      </c>
      <c r="F257" s="187">
        <v>206</v>
      </c>
      <c r="G257" s="187">
        <v>283</v>
      </c>
      <c r="H257" s="187">
        <v>3088</v>
      </c>
      <c r="I257" s="187">
        <v>2805</v>
      </c>
      <c r="J257" s="187">
        <v>6</v>
      </c>
      <c r="K257" s="187">
        <v>130.26</v>
      </c>
      <c r="L257" s="187">
        <v>126.15</v>
      </c>
      <c r="M257" s="187">
        <v>8.34</v>
      </c>
      <c r="N257" s="187">
        <v>137.55000000000001</v>
      </c>
      <c r="O257" s="187">
        <v>1626</v>
      </c>
      <c r="P257" s="187">
        <v>129.21</v>
      </c>
      <c r="Q257" s="187">
        <v>111.96</v>
      </c>
      <c r="R257" s="187">
        <v>39.76</v>
      </c>
      <c r="S257" s="187">
        <v>168.02</v>
      </c>
      <c r="T257" s="187">
        <v>418</v>
      </c>
      <c r="U257" s="187">
        <v>218.31</v>
      </c>
      <c r="V257" s="187">
        <v>417</v>
      </c>
      <c r="W257" s="187">
        <v>202.08</v>
      </c>
      <c r="X257" s="187">
        <v>16</v>
      </c>
      <c r="Y257" s="187">
        <v>0</v>
      </c>
      <c r="Z257" s="187">
        <v>0</v>
      </c>
      <c r="AA257" s="187">
        <v>0</v>
      </c>
      <c r="AB257" s="187">
        <v>23</v>
      </c>
      <c r="AC257" s="187">
        <v>17</v>
      </c>
      <c r="AD257" s="187">
        <v>2295</v>
      </c>
      <c r="AE257" s="187">
        <v>21</v>
      </c>
      <c r="AF257" s="187">
        <v>15</v>
      </c>
      <c r="AG257" s="187">
        <v>36</v>
      </c>
      <c r="AH257" s="187"/>
      <c r="AI257" s="187"/>
      <c r="AJ257" s="187"/>
      <c r="AK257" s="187"/>
      <c r="AL257" s="187"/>
      <c r="AM257" s="187"/>
      <c r="AN257" s="187"/>
      <c r="AO257" s="187"/>
      <c r="AP257" s="187"/>
      <c r="AQ257" s="187"/>
      <c r="AR257" s="187"/>
      <c r="AS257" s="187"/>
      <c r="AT257" s="187"/>
      <c r="AU257" s="187"/>
      <c r="AV257" s="187"/>
      <c r="AW257" s="187"/>
      <c r="AX257" s="187"/>
      <c r="AY257" s="187"/>
      <c r="AZ257" s="187"/>
      <c r="BA257" s="187"/>
      <c r="BB257" s="187"/>
      <c r="BC257" s="187"/>
      <c r="BD257" s="187"/>
      <c r="BE257" s="187"/>
      <c r="BF257" s="187"/>
      <c r="BG257" s="187"/>
      <c r="BH257" s="187"/>
      <c r="BI257" s="187"/>
      <c r="BJ257" s="187"/>
      <c r="BK257" s="187"/>
      <c r="BL257" s="187"/>
      <c r="BM257" s="187"/>
      <c r="BN257" s="187"/>
      <c r="BO257" s="187"/>
      <c r="BP257" s="187"/>
      <c r="BQ257" s="187"/>
      <c r="BR257" s="187"/>
      <c r="BS257" s="187"/>
      <c r="BT257" s="187"/>
      <c r="BU257" s="187"/>
      <c r="BV257" s="187"/>
      <c r="BW257" s="187"/>
      <c r="BX257" s="187"/>
      <c r="BY257" s="187"/>
      <c r="BZ257" s="187"/>
      <c r="CA257" s="187"/>
      <c r="CB257" s="187"/>
      <c r="CC257" s="187"/>
      <c r="CD257" s="187"/>
      <c r="CE257" s="187"/>
      <c r="CF257" s="187"/>
      <c r="CG257" s="187"/>
      <c r="CH257" s="187"/>
      <c r="CI257" s="187"/>
      <c r="CJ257" s="187"/>
      <c r="CK257" s="187"/>
      <c r="CL257" s="187"/>
      <c r="CM257" s="187"/>
      <c r="CN257" s="187"/>
      <c r="CO257" s="187"/>
      <c r="CP257" s="187"/>
      <c r="CQ257" s="187"/>
      <c r="CR257" s="187"/>
      <c r="CS257" s="187"/>
      <c r="CT257" s="187"/>
      <c r="CU257" s="187"/>
      <c r="CV257" s="187"/>
      <c r="CW257" s="187"/>
      <c r="CX257" s="187"/>
      <c r="CY257" s="187"/>
      <c r="CZ257" s="187"/>
      <c r="DA257" s="187"/>
      <c r="DB257" s="187"/>
      <c r="DC257" s="187"/>
      <c r="DD257" s="187"/>
      <c r="DE257" s="187"/>
      <c r="DF257" s="187"/>
      <c r="DG257" s="187"/>
      <c r="DH257" s="187"/>
      <c r="DI257" s="187"/>
      <c r="DJ257" s="187"/>
      <c r="DK257" s="187"/>
      <c r="DL257" s="187"/>
      <c r="DM257" s="187"/>
      <c r="DN257" s="187"/>
      <c r="DO257" s="187"/>
      <c r="DP257" s="187"/>
      <c r="DQ257" s="187"/>
      <c r="DR257" s="187"/>
      <c r="DS257" s="187"/>
      <c r="DT257" s="187"/>
      <c r="DU257" s="187"/>
      <c r="DV257" s="187"/>
      <c r="DW257" s="187"/>
      <c r="DX257" s="187"/>
      <c r="DY257" s="187"/>
      <c r="DZ257" s="187"/>
      <c r="EA257" s="187"/>
      <c r="EB257" s="187"/>
      <c r="EC257" s="187"/>
      <c r="ED257" s="187"/>
      <c r="EE257" s="187"/>
      <c r="EF257" s="187"/>
      <c r="EG257" s="187"/>
      <c r="EH257" s="187"/>
      <c r="EI257" s="187"/>
      <c r="EJ257" s="187"/>
      <c r="EK257" s="187"/>
      <c r="EL257" s="187"/>
      <c r="EM257" s="187"/>
      <c r="EN257" s="187"/>
      <c r="EO257" s="187"/>
      <c r="EP257" s="187"/>
      <c r="EQ257" s="187"/>
      <c r="ER257" s="187"/>
      <c r="ES257" s="187"/>
      <c r="ET257" s="187"/>
      <c r="EU257" s="187"/>
      <c r="EV257" s="187"/>
      <c r="EW257" s="187"/>
      <c r="EX257" s="187"/>
      <c r="EY257" s="187"/>
      <c r="EZ257" s="187"/>
      <c r="FA257" s="187"/>
      <c r="FB257" s="187"/>
      <c r="FC257" s="187"/>
    </row>
    <row r="258" spans="1:159" ht="15" x14ac:dyDescent="0.25">
      <c r="A258" s="187" t="s">
        <v>570</v>
      </c>
      <c r="B258" s="187" t="s">
        <v>571</v>
      </c>
      <c r="C258" s="187">
        <v>14570</v>
      </c>
      <c r="D258" s="187">
        <v>0</v>
      </c>
      <c r="E258" s="187">
        <v>626</v>
      </c>
      <c r="F258" s="187">
        <v>2103</v>
      </c>
      <c r="G258" s="187">
        <v>580</v>
      </c>
      <c r="H258" s="187">
        <v>17879</v>
      </c>
      <c r="I258" s="187">
        <v>17299</v>
      </c>
      <c r="J258" s="187">
        <v>5</v>
      </c>
      <c r="K258" s="187">
        <v>94.44</v>
      </c>
      <c r="L258" s="187">
        <v>90.71</v>
      </c>
      <c r="M258" s="187">
        <v>2.36</v>
      </c>
      <c r="N258" s="187">
        <v>96.55</v>
      </c>
      <c r="O258" s="187">
        <v>12992</v>
      </c>
      <c r="P258" s="187">
        <v>99.48</v>
      </c>
      <c r="Q258" s="187">
        <v>83.31</v>
      </c>
      <c r="R258" s="187">
        <v>48.68</v>
      </c>
      <c r="S258" s="187">
        <v>147.35</v>
      </c>
      <c r="T258" s="187">
        <v>2334</v>
      </c>
      <c r="U258" s="187">
        <v>108.15</v>
      </c>
      <c r="V258" s="187">
        <v>1488</v>
      </c>
      <c r="W258" s="187">
        <v>155.13</v>
      </c>
      <c r="X258" s="187">
        <v>223</v>
      </c>
      <c r="Y258" s="187">
        <v>0</v>
      </c>
      <c r="Z258" s="187">
        <v>66</v>
      </c>
      <c r="AA258" s="187">
        <v>2</v>
      </c>
      <c r="AB258" s="187">
        <v>4</v>
      </c>
      <c r="AC258" s="187">
        <v>11</v>
      </c>
      <c r="AD258" s="187">
        <v>14526</v>
      </c>
      <c r="AE258" s="187">
        <v>174</v>
      </c>
      <c r="AF258" s="187">
        <v>112</v>
      </c>
      <c r="AG258" s="187">
        <v>286</v>
      </c>
      <c r="AH258" s="187"/>
      <c r="AI258" s="187"/>
      <c r="AJ258" s="187"/>
      <c r="AK258" s="187"/>
      <c r="AL258" s="187"/>
      <c r="AM258" s="187"/>
      <c r="AN258" s="187"/>
      <c r="AO258" s="187"/>
      <c r="AP258" s="187"/>
      <c r="AQ258" s="187"/>
      <c r="AR258" s="187"/>
      <c r="AS258" s="187"/>
      <c r="AT258" s="187"/>
      <c r="AU258" s="187"/>
      <c r="AV258" s="187"/>
      <c r="AW258" s="187"/>
      <c r="AX258" s="187"/>
      <c r="AY258" s="187"/>
      <c r="AZ258" s="187"/>
      <c r="BA258" s="187"/>
      <c r="BB258" s="187"/>
      <c r="BC258" s="187"/>
      <c r="BD258" s="187"/>
      <c r="BE258" s="187"/>
      <c r="BF258" s="187"/>
      <c r="BG258" s="187"/>
      <c r="BH258" s="187"/>
      <c r="BI258" s="187"/>
      <c r="BJ258" s="187"/>
      <c r="BK258" s="187"/>
      <c r="BL258" s="187"/>
      <c r="BM258" s="187"/>
      <c r="BN258" s="187"/>
      <c r="BO258" s="187"/>
      <c r="BP258" s="187"/>
      <c r="BQ258" s="187"/>
      <c r="BR258" s="187"/>
      <c r="BS258" s="187"/>
      <c r="BT258" s="187"/>
      <c r="BU258" s="187"/>
      <c r="BV258" s="187"/>
      <c r="BW258" s="187"/>
      <c r="BX258" s="187"/>
      <c r="BY258" s="187"/>
      <c r="BZ258" s="187"/>
      <c r="CA258" s="187"/>
      <c r="CB258" s="187"/>
      <c r="CC258" s="187"/>
      <c r="CD258" s="187"/>
      <c r="CE258" s="187"/>
      <c r="CF258" s="187"/>
      <c r="CG258" s="187"/>
      <c r="CH258" s="187"/>
      <c r="CI258" s="187"/>
      <c r="CJ258" s="187"/>
      <c r="CK258" s="187"/>
      <c r="CL258" s="187"/>
      <c r="CM258" s="187"/>
      <c r="CN258" s="187"/>
      <c r="CO258" s="187"/>
      <c r="CP258" s="187"/>
      <c r="CQ258" s="187"/>
      <c r="CR258" s="187"/>
      <c r="CS258" s="187"/>
      <c r="CT258" s="187"/>
      <c r="CU258" s="187"/>
      <c r="CV258" s="187"/>
      <c r="CW258" s="187"/>
      <c r="CX258" s="187"/>
      <c r="CY258" s="187"/>
      <c r="CZ258" s="187"/>
      <c r="DA258" s="187"/>
      <c r="DB258" s="187"/>
      <c r="DC258" s="187"/>
      <c r="DD258" s="187"/>
      <c r="DE258" s="187"/>
      <c r="DF258" s="187"/>
      <c r="DG258" s="187"/>
      <c r="DH258" s="187"/>
      <c r="DI258" s="187"/>
      <c r="DJ258" s="187"/>
      <c r="DK258" s="187"/>
      <c r="DL258" s="187"/>
      <c r="DM258" s="187"/>
      <c r="DN258" s="187"/>
      <c r="DO258" s="187"/>
      <c r="DP258" s="187"/>
      <c r="DQ258" s="187"/>
      <c r="DR258" s="187"/>
      <c r="DS258" s="187"/>
      <c r="DT258" s="187"/>
      <c r="DU258" s="187"/>
      <c r="DV258" s="187"/>
      <c r="DW258" s="187"/>
      <c r="DX258" s="187"/>
      <c r="DY258" s="187"/>
      <c r="DZ258" s="187"/>
      <c r="EA258" s="187"/>
      <c r="EB258" s="187"/>
      <c r="EC258" s="187"/>
      <c r="ED258" s="187"/>
      <c r="EE258" s="187"/>
      <c r="EF258" s="187"/>
      <c r="EG258" s="187"/>
      <c r="EH258" s="187"/>
      <c r="EI258" s="187"/>
      <c r="EJ258" s="187"/>
      <c r="EK258" s="187"/>
      <c r="EL258" s="187"/>
      <c r="EM258" s="187"/>
      <c r="EN258" s="187"/>
      <c r="EO258" s="187"/>
      <c r="EP258" s="187"/>
      <c r="EQ258" s="187"/>
      <c r="ER258" s="187"/>
      <c r="ES258" s="187"/>
      <c r="ET258" s="187"/>
      <c r="EU258" s="187"/>
      <c r="EV258" s="187"/>
      <c r="EW258" s="187"/>
      <c r="EX258" s="187"/>
      <c r="EY258" s="187"/>
      <c r="EZ258" s="187"/>
      <c r="FA258" s="187"/>
      <c r="FB258" s="187"/>
      <c r="FC258" s="187"/>
    </row>
    <row r="259" spans="1:159" ht="15" x14ac:dyDescent="0.25">
      <c r="A259" s="187" t="s">
        <v>572</v>
      </c>
      <c r="B259" s="187" t="s">
        <v>573</v>
      </c>
      <c r="C259" s="187">
        <v>7282</v>
      </c>
      <c r="D259" s="187">
        <v>0</v>
      </c>
      <c r="E259" s="187">
        <v>280</v>
      </c>
      <c r="F259" s="187">
        <v>1095</v>
      </c>
      <c r="G259" s="187">
        <v>543</v>
      </c>
      <c r="H259" s="187">
        <v>9200</v>
      </c>
      <c r="I259" s="187">
        <v>8657</v>
      </c>
      <c r="J259" s="187">
        <v>32</v>
      </c>
      <c r="K259" s="187">
        <v>88.53</v>
      </c>
      <c r="L259" s="187">
        <v>88.2</v>
      </c>
      <c r="M259" s="187">
        <v>5.33</v>
      </c>
      <c r="N259" s="187">
        <v>91.98</v>
      </c>
      <c r="O259" s="187">
        <v>6420</v>
      </c>
      <c r="P259" s="187">
        <v>94.09</v>
      </c>
      <c r="Q259" s="187">
        <v>81.91</v>
      </c>
      <c r="R259" s="187">
        <v>30.21</v>
      </c>
      <c r="S259" s="187">
        <v>124.08</v>
      </c>
      <c r="T259" s="187">
        <v>1200</v>
      </c>
      <c r="U259" s="187">
        <v>115.92</v>
      </c>
      <c r="V259" s="187">
        <v>856</v>
      </c>
      <c r="W259" s="187">
        <v>192.13</v>
      </c>
      <c r="X259" s="187">
        <v>169</v>
      </c>
      <c r="Y259" s="187">
        <v>0</v>
      </c>
      <c r="Z259" s="187">
        <v>19</v>
      </c>
      <c r="AA259" s="187">
        <v>3</v>
      </c>
      <c r="AB259" s="187">
        <v>25</v>
      </c>
      <c r="AC259" s="187">
        <v>12</v>
      </c>
      <c r="AD259" s="187">
        <v>7282</v>
      </c>
      <c r="AE259" s="187">
        <v>15</v>
      </c>
      <c r="AF259" s="187">
        <v>96</v>
      </c>
      <c r="AG259" s="187">
        <v>111</v>
      </c>
      <c r="AH259" s="187"/>
      <c r="AI259" s="187"/>
      <c r="AJ259" s="187"/>
      <c r="AK259" s="187"/>
      <c r="AL259" s="187"/>
      <c r="AM259" s="187"/>
      <c r="AN259" s="187"/>
      <c r="AO259" s="187"/>
      <c r="AP259" s="187"/>
      <c r="AQ259" s="187"/>
      <c r="AR259" s="187"/>
      <c r="AS259" s="187"/>
      <c r="AT259" s="187"/>
      <c r="AU259" s="187"/>
      <c r="AV259" s="187"/>
      <c r="AW259" s="187"/>
      <c r="AX259" s="187"/>
      <c r="AY259" s="187"/>
      <c r="AZ259" s="187"/>
      <c r="BA259" s="187"/>
      <c r="BB259" s="187"/>
      <c r="BC259" s="187"/>
      <c r="BD259" s="187"/>
      <c r="BE259" s="187"/>
      <c r="BF259" s="187"/>
      <c r="BG259" s="187"/>
      <c r="BH259" s="187"/>
      <c r="BI259" s="187"/>
      <c r="BJ259" s="187"/>
      <c r="BK259" s="187"/>
      <c r="BL259" s="187"/>
      <c r="BM259" s="187"/>
      <c r="BN259" s="187"/>
      <c r="BO259" s="187"/>
      <c r="BP259" s="187"/>
      <c r="BQ259" s="187"/>
      <c r="BR259" s="187"/>
      <c r="BS259" s="187"/>
      <c r="BT259" s="187"/>
      <c r="BU259" s="187"/>
      <c r="BV259" s="187"/>
      <c r="BW259" s="187"/>
      <c r="BX259" s="187"/>
      <c r="BY259" s="187"/>
      <c r="BZ259" s="187"/>
      <c r="CA259" s="187"/>
      <c r="CB259" s="187"/>
      <c r="CC259" s="187"/>
      <c r="CD259" s="187"/>
      <c r="CE259" s="187"/>
      <c r="CF259" s="187"/>
      <c r="CG259" s="187"/>
      <c r="CH259" s="187"/>
      <c r="CI259" s="187"/>
      <c r="CJ259" s="187"/>
      <c r="CK259" s="187"/>
      <c r="CL259" s="187"/>
      <c r="CM259" s="187"/>
      <c r="CN259" s="187"/>
      <c r="CO259" s="187"/>
      <c r="CP259" s="187"/>
      <c r="CQ259" s="187"/>
      <c r="CR259" s="187"/>
      <c r="CS259" s="187"/>
      <c r="CT259" s="187"/>
      <c r="CU259" s="187"/>
      <c r="CV259" s="187"/>
      <c r="CW259" s="187"/>
      <c r="CX259" s="187"/>
      <c r="CY259" s="187"/>
      <c r="CZ259" s="187"/>
      <c r="DA259" s="187"/>
      <c r="DB259" s="187"/>
      <c r="DC259" s="187"/>
      <c r="DD259" s="187"/>
      <c r="DE259" s="187"/>
      <c r="DF259" s="187"/>
      <c r="DG259" s="187"/>
      <c r="DH259" s="187"/>
      <c r="DI259" s="187"/>
      <c r="DJ259" s="187"/>
      <c r="DK259" s="187"/>
      <c r="DL259" s="187"/>
      <c r="DM259" s="187"/>
      <c r="DN259" s="187"/>
      <c r="DO259" s="187"/>
      <c r="DP259" s="187"/>
      <c r="DQ259" s="187"/>
      <c r="DR259" s="187"/>
      <c r="DS259" s="187"/>
      <c r="DT259" s="187"/>
      <c r="DU259" s="187"/>
      <c r="DV259" s="187"/>
      <c r="DW259" s="187"/>
      <c r="DX259" s="187"/>
      <c r="DY259" s="187"/>
      <c r="DZ259" s="187"/>
      <c r="EA259" s="187"/>
      <c r="EB259" s="187"/>
      <c r="EC259" s="187"/>
      <c r="ED259" s="187"/>
      <c r="EE259" s="187"/>
      <c r="EF259" s="187"/>
      <c r="EG259" s="187"/>
      <c r="EH259" s="187"/>
      <c r="EI259" s="187"/>
      <c r="EJ259" s="187"/>
      <c r="EK259" s="187"/>
      <c r="EL259" s="187"/>
      <c r="EM259" s="187"/>
      <c r="EN259" s="187"/>
      <c r="EO259" s="187"/>
      <c r="EP259" s="187"/>
      <c r="EQ259" s="187"/>
      <c r="ER259" s="187"/>
      <c r="ES259" s="187"/>
      <c r="ET259" s="187"/>
      <c r="EU259" s="187"/>
      <c r="EV259" s="187"/>
      <c r="EW259" s="187"/>
      <c r="EX259" s="187"/>
      <c r="EY259" s="187"/>
      <c r="EZ259" s="187"/>
      <c r="FA259" s="187"/>
      <c r="FB259" s="187"/>
      <c r="FC259" s="187"/>
    </row>
    <row r="260" spans="1:159" ht="15" x14ac:dyDescent="0.25">
      <c r="A260" s="187" t="s">
        <v>574</v>
      </c>
      <c r="B260" s="187" t="s">
        <v>575</v>
      </c>
      <c r="C260" s="187">
        <v>3415</v>
      </c>
      <c r="D260" s="187">
        <v>0</v>
      </c>
      <c r="E260" s="187">
        <v>156</v>
      </c>
      <c r="F260" s="187">
        <v>279</v>
      </c>
      <c r="G260" s="187">
        <v>107</v>
      </c>
      <c r="H260" s="187">
        <v>3957</v>
      </c>
      <c r="I260" s="187">
        <v>3850</v>
      </c>
      <c r="J260" s="187">
        <v>12</v>
      </c>
      <c r="K260" s="187">
        <v>90.49</v>
      </c>
      <c r="L260" s="187">
        <v>87.39</v>
      </c>
      <c r="M260" s="187">
        <v>5.19</v>
      </c>
      <c r="N260" s="187">
        <v>92.65</v>
      </c>
      <c r="O260" s="187">
        <v>3028</v>
      </c>
      <c r="P260" s="187">
        <v>102.46</v>
      </c>
      <c r="Q260" s="187">
        <v>80.52</v>
      </c>
      <c r="R260" s="187">
        <v>84.29</v>
      </c>
      <c r="S260" s="187">
        <v>186</v>
      </c>
      <c r="T260" s="187">
        <v>341</v>
      </c>
      <c r="U260" s="187">
        <v>105.76</v>
      </c>
      <c r="V260" s="187">
        <v>278</v>
      </c>
      <c r="W260" s="187">
        <v>146.43</v>
      </c>
      <c r="X260" s="187">
        <v>81</v>
      </c>
      <c r="Y260" s="187">
        <v>0</v>
      </c>
      <c r="Z260" s="187">
        <v>12</v>
      </c>
      <c r="AA260" s="187">
        <v>4</v>
      </c>
      <c r="AB260" s="187">
        <v>1</v>
      </c>
      <c r="AC260" s="187">
        <v>1</v>
      </c>
      <c r="AD260" s="187">
        <v>3336</v>
      </c>
      <c r="AE260" s="187">
        <v>57</v>
      </c>
      <c r="AF260" s="187">
        <v>5</v>
      </c>
      <c r="AG260" s="187">
        <v>62</v>
      </c>
      <c r="AH260" s="187"/>
      <c r="AI260" s="187"/>
      <c r="AJ260" s="187"/>
      <c r="AK260" s="187"/>
      <c r="AL260" s="187"/>
      <c r="AM260" s="187"/>
      <c r="AN260" s="187"/>
      <c r="AO260" s="187"/>
      <c r="AP260" s="187"/>
      <c r="AQ260" s="187"/>
      <c r="AR260" s="187"/>
      <c r="AS260" s="187"/>
      <c r="AT260" s="187"/>
      <c r="AU260" s="187"/>
      <c r="AV260" s="187"/>
      <c r="AW260" s="187"/>
      <c r="AX260" s="187"/>
      <c r="AY260" s="187"/>
      <c r="AZ260" s="187"/>
      <c r="BA260" s="187"/>
      <c r="BB260" s="187"/>
      <c r="BC260" s="187"/>
      <c r="BD260" s="187"/>
      <c r="BE260" s="187"/>
      <c r="BF260" s="187"/>
      <c r="BG260" s="187"/>
      <c r="BH260" s="187"/>
      <c r="BI260" s="187"/>
      <c r="BJ260" s="187"/>
      <c r="BK260" s="187"/>
      <c r="BL260" s="187"/>
      <c r="BM260" s="187"/>
      <c r="BN260" s="187"/>
      <c r="BO260" s="187"/>
      <c r="BP260" s="187"/>
      <c r="BQ260" s="187"/>
      <c r="BR260" s="187"/>
      <c r="BS260" s="187"/>
      <c r="BT260" s="187"/>
      <c r="BU260" s="187"/>
      <c r="BV260" s="187"/>
      <c r="BW260" s="187"/>
      <c r="BX260" s="187"/>
      <c r="BY260" s="187"/>
      <c r="BZ260" s="187"/>
      <c r="CA260" s="187"/>
      <c r="CB260" s="187"/>
      <c r="CC260" s="187"/>
      <c r="CD260" s="187"/>
      <c r="CE260" s="187"/>
      <c r="CF260" s="187"/>
      <c r="CG260" s="187"/>
      <c r="CH260" s="187"/>
      <c r="CI260" s="187"/>
      <c r="CJ260" s="187"/>
      <c r="CK260" s="187"/>
      <c r="CL260" s="187"/>
      <c r="CM260" s="187"/>
      <c r="CN260" s="187"/>
      <c r="CO260" s="187"/>
      <c r="CP260" s="187"/>
      <c r="CQ260" s="187"/>
      <c r="CR260" s="187"/>
      <c r="CS260" s="187"/>
      <c r="CT260" s="187"/>
      <c r="CU260" s="187"/>
      <c r="CV260" s="187"/>
      <c r="CW260" s="187"/>
      <c r="CX260" s="187"/>
      <c r="CY260" s="187"/>
      <c r="CZ260" s="187"/>
      <c r="DA260" s="187"/>
      <c r="DB260" s="187"/>
      <c r="DC260" s="187"/>
      <c r="DD260" s="187"/>
      <c r="DE260" s="187"/>
      <c r="DF260" s="187"/>
      <c r="DG260" s="187"/>
      <c r="DH260" s="187"/>
      <c r="DI260" s="187"/>
      <c r="DJ260" s="187"/>
      <c r="DK260" s="187"/>
      <c r="DL260" s="187"/>
      <c r="DM260" s="187"/>
      <c r="DN260" s="187"/>
      <c r="DO260" s="187"/>
      <c r="DP260" s="187"/>
      <c r="DQ260" s="187"/>
      <c r="DR260" s="187"/>
      <c r="DS260" s="187"/>
      <c r="DT260" s="187"/>
      <c r="DU260" s="187"/>
      <c r="DV260" s="187"/>
      <c r="DW260" s="187"/>
      <c r="DX260" s="187"/>
      <c r="DY260" s="187"/>
      <c r="DZ260" s="187"/>
      <c r="EA260" s="187"/>
      <c r="EB260" s="187"/>
      <c r="EC260" s="187"/>
      <c r="ED260" s="187"/>
      <c r="EE260" s="187"/>
      <c r="EF260" s="187"/>
      <c r="EG260" s="187"/>
      <c r="EH260" s="187"/>
      <c r="EI260" s="187"/>
      <c r="EJ260" s="187"/>
      <c r="EK260" s="187"/>
      <c r="EL260" s="187"/>
      <c r="EM260" s="187"/>
      <c r="EN260" s="187"/>
      <c r="EO260" s="187"/>
      <c r="EP260" s="187"/>
      <c r="EQ260" s="187"/>
      <c r="ER260" s="187"/>
      <c r="ES260" s="187"/>
      <c r="ET260" s="187"/>
      <c r="EU260" s="187"/>
      <c r="EV260" s="187"/>
      <c r="EW260" s="187"/>
      <c r="EX260" s="187"/>
      <c r="EY260" s="187"/>
      <c r="EZ260" s="187"/>
      <c r="FA260" s="187"/>
      <c r="FB260" s="187"/>
      <c r="FC260" s="187"/>
    </row>
    <row r="261" spans="1:159" ht="15" x14ac:dyDescent="0.25">
      <c r="A261" s="187" t="s">
        <v>576</v>
      </c>
      <c r="B261" s="187" t="s">
        <v>577</v>
      </c>
      <c r="C261" s="187">
        <v>1759</v>
      </c>
      <c r="D261" s="187">
        <v>0</v>
      </c>
      <c r="E261" s="187">
        <v>194</v>
      </c>
      <c r="F261" s="187">
        <v>311</v>
      </c>
      <c r="G261" s="187">
        <v>598</v>
      </c>
      <c r="H261" s="187">
        <v>2862</v>
      </c>
      <c r="I261" s="187">
        <v>2264</v>
      </c>
      <c r="J261" s="187">
        <v>16</v>
      </c>
      <c r="K261" s="187">
        <v>120.47</v>
      </c>
      <c r="L261" s="187">
        <v>116.42</v>
      </c>
      <c r="M261" s="187">
        <v>8.41</v>
      </c>
      <c r="N261" s="187">
        <v>128.03</v>
      </c>
      <c r="O261" s="187">
        <v>1425</v>
      </c>
      <c r="P261" s="187">
        <v>115.32</v>
      </c>
      <c r="Q261" s="187">
        <v>94.96</v>
      </c>
      <c r="R261" s="187">
        <v>38.85</v>
      </c>
      <c r="S261" s="187">
        <v>154.16999999999999</v>
      </c>
      <c r="T261" s="187">
        <v>421</v>
      </c>
      <c r="U261" s="187">
        <v>160.66999999999999</v>
      </c>
      <c r="V261" s="187">
        <v>201</v>
      </c>
      <c r="W261" s="187">
        <v>0</v>
      </c>
      <c r="X261" s="187">
        <v>0</v>
      </c>
      <c r="Y261" s="187">
        <v>0</v>
      </c>
      <c r="Z261" s="187">
        <v>0</v>
      </c>
      <c r="AA261" s="187">
        <v>0</v>
      </c>
      <c r="AB261" s="187">
        <v>10</v>
      </c>
      <c r="AC261" s="187">
        <v>11</v>
      </c>
      <c r="AD261" s="187">
        <v>1645</v>
      </c>
      <c r="AE261" s="187">
        <v>11</v>
      </c>
      <c r="AF261" s="187">
        <v>4</v>
      </c>
      <c r="AG261" s="187">
        <v>15</v>
      </c>
      <c r="AH261" s="187"/>
      <c r="AI261" s="187"/>
      <c r="AJ261" s="187"/>
      <c r="AK261" s="187"/>
      <c r="AL261" s="187"/>
      <c r="AM261" s="187"/>
      <c r="AN261" s="187"/>
      <c r="AO261" s="187"/>
      <c r="AP261" s="187"/>
      <c r="AQ261" s="187"/>
      <c r="AR261" s="187"/>
      <c r="AS261" s="187"/>
      <c r="AT261" s="187"/>
      <c r="AU261" s="187"/>
      <c r="AV261" s="187"/>
      <c r="AW261" s="187"/>
      <c r="AX261" s="187"/>
      <c r="AY261" s="187"/>
      <c r="AZ261" s="187"/>
      <c r="BA261" s="187"/>
      <c r="BB261" s="187"/>
      <c r="BC261" s="187"/>
      <c r="BD261" s="187"/>
      <c r="BE261" s="187"/>
      <c r="BF261" s="187"/>
      <c r="BG261" s="187"/>
      <c r="BH261" s="187"/>
      <c r="BI261" s="187"/>
      <c r="BJ261" s="187"/>
      <c r="BK261" s="187"/>
      <c r="BL261" s="187"/>
      <c r="BM261" s="187"/>
      <c r="BN261" s="187"/>
      <c r="BO261" s="187"/>
      <c r="BP261" s="187"/>
      <c r="BQ261" s="187"/>
      <c r="BR261" s="187"/>
      <c r="BS261" s="187"/>
      <c r="BT261" s="187"/>
      <c r="BU261" s="187"/>
      <c r="BV261" s="187"/>
      <c r="BW261" s="187"/>
      <c r="BX261" s="187"/>
      <c r="BY261" s="187"/>
      <c r="BZ261" s="187"/>
      <c r="CA261" s="187"/>
      <c r="CB261" s="187"/>
      <c r="CC261" s="187"/>
      <c r="CD261" s="187"/>
      <c r="CE261" s="187"/>
      <c r="CF261" s="187"/>
      <c r="CG261" s="187"/>
      <c r="CH261" s="187"/>
      <c r="CI261" s="187"/>
      <c r="CJ261" s="187"/>
      <c r="CK261" s="187"/>
      <c r="CL261" s="187"/>
      <c r="CM261" s="187"/>
      <c r="CN261" s="187"/>
      <c r="CO261" s="187"/>
      <c r="CP261" s="187"/>
      <c r="CQ261" s="187"/>
      <c r="CR261" s="187"/>
      <c r="CS261" s="187"/>
      <c r="CT261" s="187"/>
      <c r="CU261" s="187"/>
      <c r="CV261" s="187"/>
      <c r="CW261" s="187"/>
      <c r="CX261" s="187"/>
      <c r="CY261" s="187"/>
      <c r="CZ261" s="187"/>
      <c r="DA261" s="187"/>
      <c r="DB261" s="187"/>
      <c r="DC261" s="187"/>
      <c r="DD261" s="187"/>
      <c r="DE261" s="187"/>
      <c r="DF261" s="187"/>
      <c r="DG261" s="187"/>
      <c r="DH261" s="187"/>
      <c r="DI261" s="187"/>
      <c r="DJ261" s="187"/>
      <c r="DK261" s="187"/>
      <c r="DL261" s="187"/>
      <c r="DM261" s="187"/>
      <c r="DN261" s="187"/>
      <c r="DO261" s="187"/>
      <c r="DP261" s="187"/>
      <c r="DQ261" s="187"/>
      <c r="DR261" s="187"/>
      <c r="DS261" s="187"/>
      <c r="DT261" s="187"/>
      <c r="DU261" s="187"/>
      <c r="DV261" s="187"/>
      <c r="DW261" s="187"/>
      <c r="DX261" s="187"/>
      <c r="DY261" s="187"/>
      <c r="DZ261" s="187"/>
      <c r="EA261" s="187"/>
      <c r="EB261" s="187"/>
      <c r="EC261" s="187"/>
      <c r="ED261" s="187"/>
      <c r="EE261" s="187"/>
      <c r="EF261" s="187"/>
      <c r="EG261" s="187"/>
      <c r="EH261" s="187"/>
      <c r="EI261" s="187"/>
      <c r="EJ261" s="187"/>
      <c r="EK261" s="187"/>
      <c r="EL261" s="187"/>
      <c r="EM261" s="187"/>
      <c r="EN261" s="187"/>
      <c r="EO261" s="187"/>
      <c r="EP261" s="187"/>
      <c r="EQ261" s="187"/>
      <c r="ER261" s="187"/>
      <c r="ES261" s="187"/>
      <c r="ET261" s="187"/>
      <c r="EU261" s="187"/>
      <c r="EV261" s="187"/>
      <c r="EW261" s="187"/>
      <c r="EX261" s="187"/>
      <c r="EY261" s="187"/>
      <c r="EZ261" s="187"/>
      <c r="FA261" s="187"/>
      <c r="FB261" s="187"/>
      <c r="FC261" s="187"/>
    </row>
    <row r="262" spans="1:159" ht="15" x14ac:dyDescent="0.25">
      <c r="A262" s="187" t="s">
        <v>578</v>
      </c>
      <c r="B262" s="187" t="s">
        <v>579</v>
      </c>
      <c r="C262" s="187">
        <v>4763</v>
      </c>
      <c r="D262" s="187">
        <v>0</v>
      </c>
      <c r="E262" s="187">
        <v>605</v>
      </c>
      <c r="F262" s="187">
        <v>1240</v>
      </c>
      <c r="G262" s="187">
        <v>1309</v>
      </c>
      <c r="H262" s="187">
        <v>7917</v>
      </c>
      <c r="I262" s="187">
        <v>6608</v>
      </c>
      <c r="J262" s="187">
        <v>11</v>
      </c>
      <c r="K262" s="187">
        <v>88.94</v>
      </c>
      <c r="L262" s="187">
        <v>87.24</v>
      </c>
      <c r="M262" s="187">
        <v>7.5</v>
      </c>
      <c r="N262" s="187">
        <v>93.26</v>
      </c>
      <c r="O262" s="187">
        <v>3843</v>
      </c>
      <c r="P262" s="187">
        <v>90.78</v>
      </c>
      <c r="Q262" s="187">
        <v>82.97</v>
      </c>
      <c r="R262" s="187">
        <v>33.92</v>
      </c>
      <c r="S262" s="187">
        <v>123.96</v>
      </c>
      <c r="T262" s="187">
        <v>1619</v>
      </c>
      <c r="U262" s="187">
        <v>123.49</v>
      </c>
      <c r="V262" s="187">
        <v>672</v>
      </c>
      <c r="W262" s="187">
        <v>183.02</v>
      </c>
      <c r="X262" s="187">
        <v>52</v>
      </c>
      <c r="Y262" s="187">
        <v>10</v>
      </c>
      <c r="Z262" s="187">
        <v>15</v>
      </c>
      <c r="AA262" s="187">
        <v>0</v>
      </c>
      <c r="AB262" s="187">
        <v>30</v>
      </c>
      <c r="AC262" s="187">
        <v>16</v>
      </c>
      <c r="AD262" s="187">
        <v>4275</v>
      </c>
      <c r="AE262" s="187">
        <v>27</v>
      </c>
      <c r="AF262" s="187">
        <v>33</v>
      </c>
      <c r="AG262" s="187">
        <v>60</v>
      </c>
      <c r="AH262" s="187"/>
      <c r="AI262" s="187"/>
      <c r="AJ262" s="187"/>
      <c r="AK262" s="187"/>
      <c r="AL262" s="187"/>
      <c r="AM262" s="187"/>
      <c r="AN262" s="187"/>
      <c r="AO262" s="187"/>
      <c r="AP262" s="187"/>
      <c r="AQ262" s="187"/>
      <c r="AR262" s="187"/>
      <c r="AS262" s="187"/>
      <c r="AT262" s="187"/>
      <c r="AU262" s="187"/>
      <c r="AV262" s="187"/>
      <c r="AW262" s="187"/>
      <c r="AX262" s="187"/>
      <c r="AY262" s="187"/>
      <c r="AZ262" s="187"/>
      <c r="BA262" s="187"/>
      <c r="BB262" s="187"/>
      <c r="BC262" s="187"/>
      <c r="BD262" s="187"/>
      <c r="BE262" s="187"/>
      <c r="BF262" s="187"/>
      <c r="BG262" s="187"/>
      <c r="BH262" s="187"/>
      <c r="BI262" s="187"/>
      <c r="BJ262" s="187"/>
      <c r="BK262" s="187"/>
      <c r="BL262" s="187"/>
      <c r="BM262" s="187"/>
      <c r="BN262" s="187"/>
      <c r="BO262" s="187"/>
      <c r="BP262" s="187"/>
      <c r="BQ262" s="187"/>
      <c r="BR262" s="187"/>
      <c r="BS262" s="187"/>
      <c r="BT262" s="187"/>
      <c r="BU262" s="187"/>
      <c r="BV262" s="187"/>
      <c r="BW262" s="187"/>
      <c r="BX262" s="187"/>
      <c r="BY262" s="187"/>
      <c r="BZ262" s="187"/>
      <c r="CA262" s="187"/>
      <c r="CB262" s="187"/>
      <c r="CC262" s="187"/>
      <c r="CD262" s="187"/>
      <c r="CE262" s="187"/>
      <c r="CF262" s="187"/>
      <c r="CG262" s="187"/>
      <c r="CH262" s="187"/>
      <c r="CI262" s="187"/>
      <c r="CJ262" s="187"/>
      <c r="CK262" s="187"/>
      <c r="CL262" s="187"/>
      <c r="CM262" s="187"/>
      <c r="CN262" s="187"/>
      <c r="CO262" s="187"/>
      <c r="CP262" s="187"/>
      <c r="CQ262" s="187"/>
      <c r="CR262" s="187"/>
      <c r="CS262" s="187"/>
      <c r="CT262" s="187"/>
      <c r="CU262" s="187"/>
      <c r="CV262" s="187"/>
      <c r="CW262" s="187"/>
      <c r="CX262" s="187"/>
      <c r="CY262" s="187"/>
      <c r="CZ262" s="187"/>
      <c r="DA262" s="187"/>
      <c r="DB262" s="187"/>
      <c r="DC262" s="187"/>
      <c r="DD262" s="187"/>
      <c r="DE262" s="187"/>
      <c r="DF262" s="187"/>
      <c r="DG262" s="187"/>
      <c r="DH262" s="187"/>
      <c r="DI262" s="187"/>
      <c r="DJ262" s="187"/>
      <c r="DK262" s="187"/>
      <c r="DL262" s="187"/>
      <c r="DM262" s="187"/>
      <c r="DN262" s="187"/>
      <c r="DO262" s="187"/>
      <c r="DP262" s="187"/>
      <c r="DQ262" s="187"/>
      <c r="DR262" s="187"/>
      <c r="DS262" s="187"/>
      <c r="DT262" s="187"/>
      <c r="DU262" s="187"/>
      <c r="DV262" s="187"/>
      <c r="DW262" s="187"/>
      <c r="DX262" s="187"/>
      <c r="DY262" s="187"/>
      <c r="DZ262" s="187"/>
      <c r="EA262" s="187"/>
      <c r="EB262" s="187"/>
      <c r="EC262" s="187"/>
      <c r="ED262" s="187"/>
      <c r="EE262" s="187"/>
      <c r="EF262" s="187"/>
      <c r="EG262" s="187"/>
      <c r="EH262" s="187"/>
      <c r="EI262" s="187"/>
      <c r="EJ262" s="187"/>
      <c r="EK262" s="187"/>
      <c r="EL262" s="187"/>
      <c r="EM262" s="187"/>
      <c r="EN262" s="187"/>
      <c r="EO262" s="187"/>
      <c r="EP262" s="187"/>
      <c r="EQ262" s="187"/>
      <c r="ER262" s="187"/>
      <c r="ES262" s="187"/>
      <c r="ET262" s="187"/>
      <c r="EU262" s="187"/>
      <c r="EV262" s="187"/>
      <c r="EW262" s="187"/>
      <c r="EX262" s="187"/>
      <c r="EY262" s="187"/>
      <c r="EZ262" s="187"/>
      <c r="FA262" s="187"/>
      <c r="FB262" s="187"/>
      <c r="FC262" s="187"/>
    </row>
    <row r="263" spans="1:159" ht="15" x14ac:dyDescent="0.25">
      <c r="A263" s="187" t="s">
        <v>580</v>
      </c>
      <c r="B263" s="187" t="s">
        <v>581</v>
      </c>
      <c r="C263" s="187">
        <v>12895</v>
      </c>
      <c r="D263" s="187">
        <v>0</v>
      </c>
      <c r="E263" s="187">
        <v>302</v>
      </c>
      <c r="F263" s="187">
        <v>776</v>
      </c>
      <c r="G263" s="187">
        <v>362</v>
      </c>
      <c r="H263" s="187">
        <v>14335</v>
      </c>
      <c r="I263" s="187">
        <v>13973</v>
      </c>
      <c r="J263" s="187">
        <v>53</v>
      </c>
      <c r="K263" s="187">
        <v>87.59</v>
      </c>
      <c r="L263" s="187">
        <v>86.72</v>
      </c>
      <c r="M263" s="187">
        <v>11.98</v>
      </c>
      <c r="N263" s="187">
        <v>90.96</v>
      </c>
      <c r="O263" s="187">
        <v>10617</v>
      </c>
      <c r="P263" s="187">
        <v>89.65</v>
      </c>
      <c r="Q263" s="187">
        <v>82.93</v>
      </c>
      <c r="R263" s="187">
        <v>52.07</v>
      </c>
      <c r="S263" s="187">
        <v>141.29</v>
      </c>
      <c r="T263" s="187">
        <v>972</v>
      </c>
      <c r="U263" s="187">
        <v>107.56</v>
      </c>
      <c r="V263" s="187">
        <v>2109</v>
      </c>
      <c r="W263" s="187">
        <v>172.24</v>
      </c>
      <c r="X263" s="187">
        <v>61</v>
      </c>
      <c r="Y263" s="187">
        <v>0</v>
      </c>
      <c r="Z263" s="187">
        <v>51</v>
      </c>
      <c r="AA263" s="187">
        <v>36</v>
      </c>
      <c r="AB263" s="187">
        <v>18</v>
      </c>
      <c r="AC263" s="187">
        <v>8</v>
      </c>
      <c r="AD263" s="187">
        <v>12698</v>
      </c>
      <c r="AE263" s="187">
        <v>64</v>
      </c>
      <c r="AF263" s="187">
        <v>133</v>
      </c>
      <c r="AG263" s="187">
        <v>197</v>
      </c>
      <c r="AH263" s="187"/>
      <c r="AI263" s="187"/>
      <c r="AJ263" s="187"/>
      <c r="AK263" s="187"/>
      <c r="AL263" s="187"/>
      <c r="AM263" s="187"/>
      <c r="AN263" s="187"/>
      <c r="AO263" s="187"/>
      <c r="AP263" s="187"/>
      <c r="AQ263" s="187"/>
      <c r="AR263" s="187"/>
      <c r="AS263" s="187"/>
      <c r="AT263" s="187"/>
      <c r="AU263" s="187"/>
      <c r="AV263" s="187"/>
      <c r="AW263" s="187"/>
      <c r="AX263" s="187"/>
      <c r="AY263" s="187"/>
      <c r="AZ263" s="187"/>
      <c r="BA263" s="187"/>
      <c r="BB263" s="187"/>
      <c r="BC263" s="187"/>
      <c r="BD263" s="187"/>
      <c r="BE263" s="187"/>
      <c r="BF263" s="187"/>
      <c r="BG263" s="187"/>
      <c r="BH263" s="187"/>
      <c r="BI263" s="187"/>
      <c r="BJ263" s="187"/>
      <c r="BK263" s="187"/>
      <c r="BL263" s="187"/>
      <c r="BM263" s="187"/>
      <c r="BN263" s="187"/>
      <c r="BO263" s="187"/>
      <c r="BP263" s="187"/>
      <c r="BQ263" s="187"/>
      <c r="BR263" s="187"/>
      <c r="BS263" s="187"/>
      <c r="BT263" s="187"/>
      <c r="BU263" s="187"/>
      <c r="BV263" s="187"/>
      <c r="BW263" s="187"/>
      <c r="BX263" s="187"/>
      <c r="BY263" s="187"/>
      <c r="BZ263" s="187"/>
      <c r="CA263" s="187"/>
      <c r="CB263" s="187"/>
      <c r="CC263" s="187"/>
      <c r="CD263" s="187"/>
      <c r="CE263" s="187"/>
      <c r="CF263" s="187"/>
      <c r="CG263" s="187"/>
      <c r="CH263" s="187"/>
      <c r="CI263" s="187"/>
      <c r="CJ263" s="187"/>
      <c r="CK263" s="187"/>
      <c r="CL263" s="187"/>
      <c r="CM263" s="187"/>
      <c r="CN263" s="187"/>
      <c r="CO263" s="187"/>
      <c r="CP263" s="187"/>
      <c r="CQ263" s="187"/>
      <c r="CR263" s="187"/>
      <c r="CS263" s="187"/>
      <c r="CT263" s="187"/>
      <c r="CU263" s="187"/>
      <c r="CV263" s="187"/>
      <c r="CW263" s="187"/>
      <c r="CX263" s="187"/>
      <c r="CY263" s="187"/>
      <c r="CZ263" s="187"/>
      <c r="DA263" s="187"/>
      <c r="DB263" s="187"/>
      <c r="DC263" s="187"/>
      <c r="DD263" s="187"/>
      <c r="DE263" s="187"/>
      <c r="DF263" s="187"/>
      <c r="DG263" s="187"/>
      <c r="DH263" s="187"/>
      <c r="DI263" s="187"/>
      <c r="DJ263" s="187"/>
      <c r="DK263" s="187"/>
      <c r="DL263" s="187"/>
      <c r="DM263" s="187"/>
      <c r="DN263" s="187"/>
      <c r="DO263" s="187"/>
      <c r="DP263" s="187"/>
      <c r="DQ263" s="187"/>
      <c r="DR263" s="187"/>
      <c r="DS263" s="187"/>
      <c r="DT263" s="187"/>
      <c r="DU263" s="187"/>
      <c r="DV263" s="187"/>
      <c r="DW263" s="187"/>
      <c r="DX263" s="187"/>
      <c r="DY263" s="187"/>
      <c r="DZ263" s="187"/>
      <c r="EA263" s="187"/>
      <c r="EB263" s="187"/>
      <c r="EC263" s="187"/>
      <c r="ED263" s="187"/>
      <c r="EE263" s="187"/>
      <c r="EF263" s="187"/>
      <c r="EG263" s="187"/>
      <c r="EH263" s="187"/>
      <c r="EI263" s="187"/>
      <c r="EJ263" s="187"/>
      <c r="EK263" s="187"/>
      <c r="EL263" s="187"/>
      <c r="EM263" s="187"/>
      <c r="EN263" s="187"/>
      <c r="EO263" s="187"/>
      <c r="EP263" s="187"/>
      <c r="EQ263" s="187"/>
      <c r="ER263" s="187"/>
      <c r="ES263" s="187"/>
      <c r="ET263" s="187"/>
      <c r="EU263" s="187"/>
      <c r="EV263" s="187"/>
      <c r="EW263" s="187"/>
      <c r="EX263" s="187"/>
      <c r="EY263" s="187"/>
      <c r="EZ263" s="187"/>
      <c r="FA263" s="187"/>
      <c r="FB263" s="187"/>
      <c r="FC263" s="187"/>
    </row>
    <row r="264" spans="1:159" ht="15" x14ac:dyDescent="0.25">
      <c r="A264" s="187" t="s">
        <v>582</v>
      </c>
      <c r="B264" s="187" t="s">
        <v>583</v>
      </c>
      <c r="C264" s="187">
        <v>6097</v>
      </c>
      <c r="D264" s="187">
        <v>4</v>
      </c>
      <c r="E264" s="187">
        <v>831</v>
      </c>
      <c r="F264" s="187">
        <v>1525</v>
      </c>
      <c r="G264" s="187">
        <v>249</v>
      </c>
      <c r="H264" s="187">
        <v>8706</v>
      </c>
      <c r="I264" s="187">
        <v>8457</v>
      </c>
      <c r="J264" s="187">
        <v>116</v>
      </c>
      <c r="K264" s="187">
        <v>81.44</v>
      </c>
      <c r="L264" s="187">
        <v>80.16</v>
      </c>
      <c r="M264" s="187">
        <v>5.59</v>
      </c>
      <c r="N264" s="187">
        <v>85.53</v>
      </c>
      <c r="O264" s="187">
        <v>4842</v>
      </c>
      <c r="P264" s="187">
        <v>105.46</v>
      </c>
      <c r="Q264" s="187">
        <v>90.08</v>
      </c>
      <c r="R264" s="187">
        <v>76.25</v>
      </c>
      <c r="S264" s="187">
        <v>180.74</v>
      </c>
      <c r="T264" s="187">
        <v>1809</v>
      </c>
      <c r="U264" s="187">
        <v>104.9</v>
      </c>
      <c r="V264" s="187">
        <v>654</v>
      </c>
      <c r="W264" s="187">
        <v>239.1</v>
      </c>
      <c r="X264" s="187">
        <v>145</v>
      </c>
      <c r="Y264" s="187">
        <v>87</v>
      </c>
      <c r="Z264" s="187">
        <v>7</v>
      </c>
      <c r="AA264" s="187">
        <v>3</v>
      </c>
      <c r="AB264" s="187">
        <v>1</v>
      </c>
      <c r="AC264" s="187">
        <v>7</v>
      </c>
      <c r="AD264" s="187">
        <v>5482</v>
      </c>
      <c r="AE264" s="187">
        <v>41</v>
      </c>
      <c r="AF264" s="187">
        <v>35</v>
      </c>
      <c r="AG264" s="187">
        <v>76</v>
      </c>
      <c r="AH264" s="187"/>
      <c r="AI264" s="187"/>
      <c r="AJ264" s="187"/>
      <c r="AK264" s="187"/>
      <c r="AL264" s="187"/>
      <c r="AM264" s="187"/>
      <c r="AN264" s="187"/>
      <c r="AO264" s="187"/>
      <c r="AP264" s="187"/>
      <c r="AQ264" s="187"/>
      <c r="AR264" s="187"/>
      <c r="AS264" s="187"/>
      <c r="AT264" s="187"/>
      <c r="AU264" s="187"/>
      <c r="AV264" s="187"/>
      <c r="AW264" s="187"/>
      <c r="AX264" s="187"/>
      <c r="AY264" s="187"/>
      <c r="AZ264" s="187"/>
      <c r="BA264" s="187"/>
      <c r="BB264" s="187"/>
      <c r="BC264" s="187"/>
      <c r="BD264" s="187"/>
      <c r="BE264" s="187"/>
      <c r="BF264" s="187"/>
      <c r="BG264" s="187"/>
      <c r="BH264" s="187"/>
      <c r="BI264" s="187"/>
      <c r="BJ264" s="187"/>
      <c r="BK264" s="187"/>
      <c r="BL264" s="187"/>
      <c r="BM264" s="187"/>
      <c r="BN264" s="187"/>
      <c r="BO264" s="187"/>
      <c r="BP264" s="187"/>
      <c r="BQ264" s="187"/>
      <c r="BR264" s="187"/>
      <c r="BS264" s="187"/>
      <c r="BT264" s="187"/>
      <c r="BU264" s="187"/>
      <c r="BV264" s="187"/>
      <c r="BW264" s="187"/>
      <c r="BX264" s="187"/>
      <c r="BY264" s="187"/>
      <c r="BZ264" s="187"/>
      <c r="CA264" s="187"/>
      <c r="CB264" s="187"/>
      <c r="CC264" s="187"/>
      <c r="CD264" s="187"/>
      <c r="CE264" s="187"/>
      <c r="CF264" s="187"/>
      <c r="CG264" s="187"/>
      <c r="CH264" s="187"/>
      <c r="CI264" s="187"/>
      <c r="CJ264" s="187"/>
      <c r="CK264" s="187"/>
      <c r="CL264" s="187"/>
      <c r="CM264" s="187"/>
      <c r="CN264" s="187"/>
      <c r="CO264" s="187"/>
      <c r="CP264" s="187"/>
      <c r="CQ264" s="187"/>
      <c r="CR264" s="187"/>
      <c r="CS264" s="187"/>
      <c r="CT264" s="187"/>
      <c r="CU264" s="187"/>
      <c r="CV264" s="187"/>
      <c r="CW264" s="187"/>
      <c r="CX264" s="187"/>
      <c r="CY264" s="187"/>
      <c r="CZ264" s="187"/>
      <c r="DA264" s="187"/>
      <c r="DB264" s="187"/>
      <c r="DC264" s="187"/>
      <c r="DD264" s="187"/>
      <c r="DE264" s="187"/>
      <c r="DF264" s="187"/>
      <c r="DG264" s="187"/>
      <c r="DH264" s="187"/>
      <c r="DI264" s="187"/>
      <c r="DJ264" s="187"/>
      <c r="DK264" s="187"/>
      <c r="DL264" s="187"/>
      <c r="DM264" s="187"/>
      <c r="DN264" s="187"/>
      <c r="DO264" s="187"/>
      <c r="DP264" s="187"/>
      <c r="DQ264" s="187"/>
      <c r="DR264" s="187"/>
      <c r="DS264" s="187"/>
      <c r="DT264" s="187"/>
      <c r="DU264" s="187"/>
      <c r="DV264" s="187"/>
      <c r="DW264" s="187"/>
      <c r="DX264" s="187"/>
      <c r="DY264" s="187"/>
      <c r="DZ264" s="187"/>
      <c r="EA264" s="187"/>
      <c r="EB264" s="187"/>
      <c r="EC264" s="187"/>
      <c r="ED264" s="187"/>
      <c r="EE264" s="187"/>
      <c r="EF264" s="187"/>
      <c r="EG264" s="187"/>
      <c r="EH264" s="187"/>
      <c r="EI264" s="187"/>
      <c r="EJ264" s="187"/>
      <c r="EK264" s="187"/>
      <c r="EL264" s="187"/>
      <c r="EM264" s="187"/>
      <c r="EN264" s="187"/>
      <c r="EO264" s="187"/>
      <c r="EP264" s="187"/>
      <c r="EQ264" s="187"/>
      <c r="ER264" s="187"/>
      <c r="ES264" s="187"/>
      <c r="ET264" s="187"/>
      <c r="EU264" s="187"/>
      <c r="EV264" s="187"/>
      <c r="EW264" s="187"/>
      <c r="EX264" s="187"/>
      <c r="EY264" s="187"/>
      <c r="EZ264" s="187"/>
      <c r="FA264" s="187"/>
      <c r="FB264" s="187"/>
      <c r="FC264" s="187"/>
    </row>
    <row r="265" spans="1:159" ht="15" x14ac:dyDescent="0.25">
      <c r="A265" s="187" t="s">
        <v>584</v>
      </c>
      <c r="B265" s="187" t="s">
        <v>585</v>
      </c>
      <c r="C265" s="187">
        <v>7806</v>
      </c>
      <c r="D265" s="187">
        <v>2</v>
      </c>
      <c r="E265" s="187">
        <v>113</v>
      </c>
      <c r="F265" s="187">
        <v>843</v>
      </c>
      <c r="G265" s="187">
        <v>1261</v>
      </c>
      <c r="H265" s="187">
        <v>10025</v>
      </c>
      <c r="I265" s="187">
        <v>8764</v>
      </c>
      <c r="J265" s="187">
        <v>9</v>
      </c>
      <c r="K265" s="187">
        <v>113.89</v>
      </c>
      <c r="L265" s="187">
        <v>111</v>
      </c>
      <c r="M265" s="187">
        <v>4.4800000000000004</v>
      </c>
      <c r="N265" s="187">
        <v>116.32</v>
      </c>
      <c r="O265" s="187">
        <v>6962</v>
      </c>
      <c r="P265" s="187">
        <v>108.6</v>
      </c>
      <c r="Q265" s="187">
        <v>100.04</v>
      </c>
      <c r="R265" s="187">
        <v>50.4</v>
      </c>
      <c r="S265" s="187">
        <v>157.19</v>
      </c>
      <c r="T265" s="187">
        <v>782</v>
      </c>
      <c r="U265" s="187">
        <v>154.75</v>
      </c>
      <c r="V265" s="187">
        <v>483</v>
      </c>
      <c r="W265" s="187">
        <v>185.09</v>
      </c>
      <c r="X265" s="187">
        <v>91</v>
      </c>
      <c r="Y265" s="187">
        <v>8</v>
      </c>
      <c r="Z265" s="187">
        <v>6</v>
      </c>
      <c r="AA265" s="187">
        <v>1</v>
      </c>
      <c r="AB265" s="187">
        <v>133</v>
      </c>
      <c r="AC265" s="187">
        <v>27</v>
      </c>
      <c r="AD265" s="187">
        <v>7368</v>
      </c>
      <c r="AE265" s="187">
        <v>44</v>
      </c>
      <c r="AF265" s="187">
        <v>85</v>
      </c>
      <c r="AG265" s="187">
        <v>129</v>
      </c>
      <c r="AH265" s="187"/>
      <c r="AI265" s="187"/>
      <c r="AJ265" s="187"/>
      <c r="AK265" s="187"/>
      <c r="AL265" s="187"/>
      <c r="AM265" s="187"/>
      <c r="AN265" s="187"/>
      <c r="AO265" s="187"/>
      <c r="AP265" s="187"/>
      <c r="AQ265" s="187"/>
      <c r="AR265" s="187"/>
      <c r="AS265" s="187"/>
      <c r="AT265" s="187"/>
      <c r="AU265" s="187"/>
      <c r="AV265" s="187"/>
      <c r="AW265" s="187"/>
      <c r="AX265" s="187"/>
      <c r="AY265" s="187"/>
      <c r="AZ265" s="187"/>
      <c r="BA265" s="187"/>
      <c r="BB265" s="187"/>
      <c r="BC265" s="187"/>
      <c r="BD265" s="187"/>
      <c r="BE265" s="187"/>
      <c r="BF265" s="187"/>
      <c r="BG265" s="187"/>
      <c r="BH265" s="187"/>
      <c r="BI265" s="187"/>
      <c r="BJ265" s="187"/>
      <c r="BK265" s="187"/>
      <c r="BL265" s="187"/>
      <c r="BM265" s="187"/>
      <c r="BN265" s="187"/>
      <c r="BO265" s="187"/>
      <c r="BP265" s="187"/>
      <c r="BQ265" s="187"/>
      <c r="BR265" s="187"/>
      <c r="BS265" s="187"/>
      <c r="BT265" s="187"/>
      <c r="BU265" s="187"/>
      <c r="BV265" s="187"/>
      <c r="BW265" s="187"/>
      <c r="BX265" s="187"/>
      <c r="BY265" s="187"/>
      <c r="BZ265" s="187"/>
      <c r="CA265" s="187"/>
      <c r="CB265" s="187"/>
      <c r="CC265" s="187"/>
      <c r="CD265" s="187"/>
      <c r="CE265" s="187"/>
      <c r="CF265" s="187"/>
      <c r="CG265" s="187"/>
      <c r="CH265" s="187"/>
      <c r="CI265" s="187"/>
      <c r="CJ265" s="187"/>
      <c r="CK265" s="187"/>
      <c r="CL265" s="187"/>
      <c r="CM265" s="187"/>
      <c r="CN265" s="187"/>
      <c r="CO265" s="187"/>
      <c r="CP265" s="187"/>
      <c r="CQ265" s="187"/>
      <c r="CR265" s="187"/>
      <c r="CS265" s="187"/>
      <c r="CT265" s="187"/>
      <c r="CU265" s="187"/>
      <c r="CV265" s="187"/>
      <c r="CW265" s="187"/>
      <c r="CX265" s="187"/>
      <c r="CY265" s="187"/>
      <c r="CZ265" s="187"/>
      <c r="DA265" s="187"/>
      <c r="DB265" s="187"/>
      <c r="DC265" s="187"/>
      <c r="DD265" s="187"/>
      <c r="DE265" s="187"/>
      <c r="DF265" s="187"/>
      <c r="DG265" s="187"/>
      <c r="DH265" s="187"/>
      <c r="DI265" s="187"/>
      <c r="DJ265" s="187"/>
      <c r="DK265" s="187"/>
      <c r="DL265" s="187"/>
      <c r="DM265" s="187"/>
      <c r="DN265" s="187"/>
      <c r="DO265" s="187"/>
      <c r="DP265" s="187"/>
      <c r="DQ265" s="187"/>
      <c r="DR265" s="187"/>
      <c r="DS265" s="187"/>
      <c r="DT265" s="187"/>
      <c r="DU265" s="187"/>
      <c r="DV265" s="187"/>
      <c r="DW265" s="187"/>
      <c r="DX265" s="187"/>
      <c r="DY265" s="187"/>
      <c r="DZ265" s="187"/>
      <c r="EA265" s="187"/>
      <c r="EB265" s="187"/>
      <c r="EC265" s="187"/>
      <c r="ED265" s="187"/>
      <c r="EE265" s="187"/>
      <c r="EF265" s="187"/>
      <c r="EG265" s="187"/>
      <c r="EH265" s="187"/>
      <c r="EI265" s="187"/>
      <c r="EJ265" s="187"/>
      <c r="EK265" s="187"/>
      <c r="EL265" s="187"/>
      <c r="EM265" s="187"/>
      <c r="EN265" s="187"/>
      <c r="EO265" s="187"/>
      <c r="EP265" s="187"/>
      <c r="EQ265" s="187"/>
      <c r="ER265" s="187"/>
      <c r="ES265" s="187"/>
      <c r="ET265" s="187"/>
      <c r="EU265" s="187"/>
      <c r="EV265" s="187"/>
      <c r="EW265" s="187"/>
      <c r="EX265" s="187"/>
      <c r="EY265" s="187"/>
      <c r="EZ265" s="187"/>
      <c r="FA265" s="187"/>
      <c r="FB265" s="187"/>
      <c r="FC265" s="187"/>
    </row>
    <row r="266" spans="1:159" ht="15" x14ac:dyDescent="0.25">
      <c r="A266" s="187" t="s">
        <v>586</v>
      </c>
      <c r="B266" s="187" t="s">
        <v>587</v>
      </c>
      <c r="C266" s="187">
        <v>1851</v>
      </c>
      <c r="D266" s="187">
        <v>4</v>
      </c>
      <c r="E266" s="187">
        <v>152</v>
      </c>
      <c r="F266" s="187">
        <v>139</v>
      </c>
      <c r="G266" s="187">
        <v>761</v>
      </c>
      <c r="H266" s="187">
        <v>2907</v>
      </c>
      <c r="I266" s="187">
        <v>2146</v>
      </c>
      <c r="J266" s="187">
        <v>9</v>
      </c>
      <c r="K266" s="187">
        <v>105.84</v>
      </c>
      <c r="L266" s="187">
        <v>102.7</v>
      </c>
      <c r="M266" s="187">
        <v>5.87</v>
      </c>
      <c r="N266" s="187">
        <v>110.58</v>
      </c>
      <c r="O266" s="187">
        <v>1085</v>
      </c>
      <c r="P266" s="187">
        <v>102.5</v>
      </c>
      <c r="Q266" s="187">
        <v>85.68</v>
      </c>
      <c r="R266" s="187">
        <v>53.62</v>
      </c>
      <c r="S266" s="187">
        <v>154.47999999999999</v>
      </c>
      <c r="T266" s="187">
        <v>229</v>
      </c>
      <c r="U266" s="187">
        <v>135.38</v>
      </c>
      <c r="V266" s="187">
        <v>679</v>
      </c>
      <c r="W266" s="187">
        <v>0</v>
      </c>
      <c r="X266" s="187">
        <v>0</v>
      </c>
      <c r="Y266" s="187">
        <v>0</v>
      </c>
      <c r="Z266" s="187">
        <v>0</v>
      </c>
      <c r="AA266" s="187">
        <v>5</v>
      </c>
      <c r="AB266" s="187">
        <v>109</v>
      </c>
      <c r="AC266" s="187">
        <v>12</v>
      </c>
      <c r="AD266" s="187">
        <v>1773</v>
      </c>
      <c r="AE266" s="187">
        <v>9</v>
      </c>
      <c r="AF266" s="187">
        <v>9</v>
      </c>
      <c r="AG266" s="187">
        <v>18</v>
      </c>
      <c r="AH266" s="187"/>
      <c r="AI266" s="187"/>
      <c r="AJ266" s="187"/>
      <c r="AK266" s="187"/>
      <c r="AL266" s="187"/>
      <c r="AM266" s="187"/>
      <c r="AN266" s="187"/>
      <c r="AO266" s="187"/>
      <c r="AP266" s="187"/>
      <c r="AQ266" s="187"/>
      <c r="AR266" s="187"/>
      <c r="AS266" s="187"/>
      <c r="AT266" s="187"/>
      <c r="AU266" s="187"/>
      <c r="AV266" s="187"/>
      <c r="AW266" s="187"/>
      <c r="AX266" s="187"/>
      <c r="AY266" s="187"/>
      <c r="AZ266" s="187"/>
      <c r="BA266" s="187"/>
      <c r="BB266" s="187"/>
      <c r="BC266" s="187"/>
      <c r="BD266" s="187"/>
      <c r="BE266" s="187"/>
      <c r="BF266" s="187"/>
      <c r="BG266" s="187"/>
      <c r="BH266" s="187"/>
      <c r="BI266" s="187"/>
      <c r="BJ266" s="187"/>
      <c r="BK266" s="187"/>
      <c r="BL266" s="187"/>
      <c r="BM266" s="187"/>
      <c r="BN266" s="187"/>
      <c r="BO266" s="187"/>
      <c r="BP266" s="187"/>
      <c r="BQ266" s="187"/>
      <c r="BR266" s="187"/>
      <c r="BS266" s="187"/>
      <c r="BT266" s="187"/>
      <c r="BU266" s="187"/>
      <c r="BV266" s="187"/>
      <c r="BW266" s="187"/>
      <c r="BX266" s="187"/>
      <c r="BY266" s="187"/>
      <c r="BZ266" s="187"/>
      <c r="CA266" s="187"/>
      <c r="CB266" s="187"/>
      <c r="CC266" s="187"/>
      <c r="CD266" s="187"/>
      <c r="CE266" s="187"/>
      <c r="CF266" s="187"/>
      <c r="CG266" s="187"/>
      <c r="CH266" s="187"/>
      <c r="CI266" s="187"/>
      <c r="CJ266" s="187"/>
      <c r="CK266" s="187"/>
      <c r="CL266" s="187"/>
      <c r="CM266" s="187"/>
      <c r="CN266" s="187"/>
      <c r="CO266" s="187"/>
      <c r="CP266" s="187"/>
      <c r="CQ266" s="187"/>
      <c r="CR266" s="187"/>
      <c r="CS266" s="187"/>
      <c r="CT266" s="187"/>
      <c r="CU266" s="187"/>
      <c r="CV266" s="187"/>
      <c r="CW266" s="187"/>
      <c r="CX266" s="187"/>
      <c r="CY266" s="187"/>
      <c r="CZ266" s="187"/>
      <c r="DA266" s="187"/>
      <c r="DB266" s="187"/>
      <c r="DC266" s="187"/>
      <c r="DD266" s="187"/>
      <c r="DE266" s="187"/>
      <c r="DF266" s="187"/>
      <c r="DG266" s="187"/>
      <c r="DH266" s="187"/>
      <c r="DI266" s="187"/>
      <c r="DJ266" s="187"/>
      <c r="DK266" s="187"/>
      <c r="DL266" s="187"/>
      <c r="DM266" s="187"/>
      <c r="DN266" s="187"/>
      <c r="DO266" s="187"/>
      <c r="DP266" s="187"/>
      <c r="DQ266" s="187"/>
      <c r="DR266" s="187"/>
      <c r="DS266" s="187"/>
      <c r="DT266" s="187"/>
      <c r="DU266" s="187"/>
      <c r="DV266" s="187"/>
      <c r="DW266" s="187"/>
      <c r="DX266" s="187"/>
      <c r="DY266" s="187"/>
      <c r="DZ266" s="187"/>
      <c r="EA266" s="187"/>
      <c r="EB266" s="187"/>
      <c r="EC266" s="187"/>
      <c r="ED266" s="187"/>
      <c r="EE266" s="187"/>
      <c r="EF266" s="187"/>
      <c r="EG266" s="187"/>
      <c r="EH266" s="187"/>
      <c r="EI266" s="187"/>
      <c r="EJ266" s="187"/>
      <c r="EK266" s="187"/>
      <c r="EL266" s="187"/>
      <c r="EM266" s="187"/>
      <c r="EN266" s="187"/>
      <c r="EO266" s="187"/>
      <c r="EP266" s="187"/>
      <c r="EQ266" s="187"/>
      <c r="ER266" s="187"/>
      <c r="ES266" s="187"/>
      <c r="ET266" s="187"/>
      <c r="EU266" s="187"/>
      <c r="EV266" s="187"/>
      <c r="EW266" s="187"/>
      <c r="EX266" s="187"/>
      <c r="EY266" s="187"/>
      <c r="EZ266" s="187"/>
      <c r="FA266" s="187"/>
      <c r="FB266" s="187"/>
      <c r="FC266" s="187"/>
    </row>
    <row r="267" spans="1:159" ht="15" x14ac:dyDescent="0.25">
      <c r="A267" s="187" t="s">
        <v>588</v>
      </c>
      <c r="B267" s="187" t="s">
        <v>589</v>
      </c>
      <c r="C267" s="187">
        <v>31700</v>
      </c>
      <c r="D267" s="187">
        <v>2</v>
      </c>
      <c r="E267" s="187">
        <v>847</v>
      </c>
      <c r="F267" s="187">
        <v>2058</v>
      </c>
      <c r="G267" s="187">
        <v>408</v>
      </c>
      <c r="H267" s="187">
        <v>35015</v>
      </c>
      <c r="I267" s="187">
        <v>34607</v>
      </c>
      <c r="J267" s="187">
        <v>113</v>
      </c>
      <c r="K267" s="187">
        <v>84.61</v>
      </c>
      <c r="L267" s="187">
        <v>84.26</v>
      </c>
      <c r="M267" s="187">
        <v>9.5</v>
      </c>
      <c r="N267" s="187">
        <v>86.56</v>
      </c>
      <c r="O267" s="187">
        <v>28804</v>
      </c>
      <c r="P267" s="187">
        <v>97.27</v>
      </c>
      <c r="Q267" s="187">
        <v>84.07</v>
      </c>
      <c r="R267" s="187">
        <v>50.86</v>
      </c>
      <c r="S267" s="187">
        <v>147.07</v>
      </c>
      <c r="T267" s="187">
        <v>2500</v>
      </c>
      <c r="U267" s="187">
        <v>106.49</v>
      </c>
      <c r="V267" s="187">
        <v>2456</v>
      </c>
      <c r="W267" s="187">
        <v>232.43</v>
      </c>
      <c r="X267" s="187">
        <v>220</v>
      </c>
      <c r="Y267" s="187">
        <v>4</v>
      </c>
      <c r="Z267" s="187">
        <v>192</v>
      </c>
      <c r="AA267" s="187">
        <v>2</v>
      </c>
      <c r="AB267" s="187">
        <v>22</v>
      </c>
      <c r="AC267" s="187">
        <v>16</v>
      </c>
      <c r="AD267" s="187">
        <v>31397</v>
      </c>
      <c r="AE267" s="187">
        <v>201</v>
      </c>
      <c r="AF267" s="187">
        <v>298</v>
      </c>
      <c r="AG267" s="187">
        <v>499</v>
      </c>
      <c r="AH267" s="187"/>
      <c r="AI267" s="187"/>
      <c r="AJ267" s="187"/>
      <c r="AK267" s="187"/>
      <c r="AL267" s="187"/>
      <c r="AM267" s="187"/>
      <c r="AN267" s="187"/>
      <c r="AO267" s="187"/>
      <c r="AP267" s="187"/>
      <c r="AQ267" s="187"/>
      <c r="AR267" s="187"/>
      <c r="AS267" s="187"/>
      <c r="AT267" s="187"/>
      <c r="AU267" s="187"/>
      <c r="AV267" s="187"/>
      <c r="AW267" s="187"/>
      <c r="AX267" s="187"/>
      <c r="AY267" s="187"/>
      <c r="AZ267" s="187"/>
      <c r="BA267" s="187"/>
      <c r="BB267" s="187"/>
      <c r="BC267" s="187"/>
      <c r="BD267" s="187"/>
      <c r="BE267" s="187"/>
      <c r="BF267" s="187"/>
      <c r="BG267" s="187"/>
      <c r="BH267" s="187"/>
      <c r="BI267" s="187"/>
      <c r="BJ267" s="187"/>
      <c r="BK267" s="187"/>
      <c r="BL267" s="187"/>
      <c r="BM267" s="187"/>
      <c r="BN267" s="187"/>
      <c r="BO267" s="187"/>
      <c r="BP267" s="187"/>
      <c r="BQ267" s="187"/>
      <c r="BR267" s="187"/>
      <c r="BS267" s="187"/>
      <c r="BT267" s="187"/>
      <c r="BU267" s="187"/>
      <c r="BV267" s="187"/>
      <c r="BW267" s="187"/>
      <c r="BX267" s="187"/>
      <c r="BY267" s="187"/>
      <c r="BZ267" s="187"/>
      <c r="CA267" s="187"/>
      <c r="CB267" s="187"/>
      <c r="CC267" s="187"/>
      <c r="CD267" s="187"/>
      <c r="CE267" s="187"/>
      <c r="CF267" s="187"/>
      <c r="CG267" s="187"/>
      <c r="CH267" s="187"/>
      <c r="CI267" s="187"/>
      <c r="CJ267" s="187"/>
      <c r="CK267" s="187"/>
      <c r="CL267" s="187"/>
      <c r="CM267" s="187"/>
      <c r="CN267" s="187"/>
      <c r="CO267" s="187"/>
      <c r="CP267" s="187"/>
      <c r="CQ267" s="187"/>
      <c r="CR267" s="187"/>
      <c r="CS267" s="187"/>
      <c r="CT267" s="187"/>
      <c r="CU267" s="187"/>
      <c r="CV267" s="187"/>
      <c r="CW267" s="187"/>
      <c r="CX267" s="187"/>
      <c r="CY267" s="187"/>
      <c r="CZ267" s="187"/>
      <c r="DA267" s="187"/>
      <c r="DB267" s="187"/>
      <c r="DC267" s="187"/>
      <c r="DD267" s="187"/>
      <c r="DE267" s="187"/>
      <c r="DF267" s="187"/>
      <c r="DG267" s="187"/>
      <c r="DH267" s="187"/>
      <c r="DI267" s="187"/>
      <c r="DJ267" s="187"/>
      <c r="DK267" s="187"/>
      <c r="DL267" s="187"/>
      <c r="DM267" s="187"/>
      <c r="DN267" s="187"/>
      <c r="DO267" s="187"/>
      <c r="DP267" s="187"/>
      <c r="DQ267" s="187"/>
      <c r="DR267" s="187"/>
      <c r="DS267" s="187"/>
      <c r="DT267" s="187"/>
      <c r="DU267" s="187"/>
      <c r="DV267" s="187"/>
      <c r="DW267" s="187"/>
      <c r="DX267" s="187"/>
      <c r="DY267" s="187"/>
      <c r="DZ267" s="187"/>
      <c r="EA267" s="187"/>
      <c r="EB267" s="187"/>
      <c r="EC267" s="187"/>
      <c r="ED267" s="187"/>
      <c r="EE267" s="187"/>
      <c r="EF267" s="187"/>
      <c r="EG267" s="187"/>
      <c r="EH267" s="187"/>
      <c r="EI267" s="187"/>
      <c r="EJ267" s="187"/>
      <c r="EK267" s="187"/>
      <c r="EL267" s="187"/>
      <c r="EM267" s="187"/>
      <c r="EN267" s="187"/>
      <c r="EO267" s="187"/>
      <c r="EP267" s="187"/>
      <c r="EQ267" s="187"/>
      <c r="ER267" s="187"/>
      <c r="ES267" s="187"/>
      <c r="ET267" s="187"/>
      <c r="EU267" s="187"/>
      <c r="EV267" s="187"/>
      <c r="EW267" s="187"/>
      <c r="EX267" s="187"/>
      <c r="EY267" s="187"/>
      <c r="EZ267" s="187"/>
      <c r="FA267" s="187"/>
      <c r="FB267" s="187"/>
      <c r="FC267" s="187"/>
    </row>
    <row r="268" spans="1:159" ht="15" x14ac:dyDescent="0.25">
      <c r="A268" s="187" t="s">
        <v>590</v>
      </c>
      <c r="B268" s="187" t="s">
        <v>591</v>
      </c>
      <c r="C268" s="187">
        <v>3302</v>
      </c>
      <c r="D268" s="187">
        <v>0</v>
      </c>
      <c r="E268" s="187">
        <v>96</v>
      </c>
      <c r="F268" s="187">
        <v>302</v>
      </c>
      <c r="G268" s="187">
        <v>439</v>
      </c>
      <c r="H268" s="187">
        <v>4139</v>
      </c>
      <c r="I268" s="187">
        <v>3700</v>
      </c>
      <c r="J268" s="187">
        <v>8</v>
      </c>
      <c r="K268" s="187">
        <v>119.25</v>
      </c>
      <c r="L268" s="187">
        <v>115.97</v>
      </c>
      <c r="M268" s="187">
        <v>9.5399999999999991</v>
      </c>
      <c r="N268" s="187">
        <v>124.91</v>
      </c>
      <c r="O268" s="187">
        <v>2957</v>
      </c>
      <c r="P268" s="187">
        <v>116.98</v>
      </c>
      <c r="Q268" s="187">
        <v>95.39</v>
      </c>
      <c r="R268" s="187">
        <v>40.909999999999997</v>
      </c>
      <c r="S268" s="187">
        <v>157.77000000000001</v>
      </c>
      <c r="T268" s="187">
        <v>345</v>
      </c>
      <c r="U268" s="187">
        <v>221.15</v>
      </c>
      <c r="V268" s="187">
        <v>250</v>
      </c>
      <c r="W268" s="187">
        <v>0</v>
      </c>
      <c r="X268" s="187">
        <v>0</v>
      </c>
      <c r="Y268" s="187">
        <v>7</v>
      </c>
      <c r="Z268" s="187">
        <v>2</v>
      </c>
      <c r="AA268" s="187">
        <v>0</v>
      </c>
      <c r="AB268" s="187">
        <v>61</v>
      </c>
      <c r="AC268" s="187">
        <v>11</v>
      </c>
      <c r="AD268" s="187">
        <v>3299</v>
      </c>
      <c r="AE268" s="187">
        <v>62</v>
      </c>
      <c r="AF268" s="187">
        <v>5</v>
      </c>
      <c r="AG268" s="187">
        <v>67</v>
      </c>
      <c r="AH268" s="187"/>
      <c r="AI268" s="187"/>
      <c r="AJ268" s="187"/>
      <c r="AK268" s="187"/>
      <c r="AL268" s="187"/>
      <c r="AM268" s="187"/>
      <c r="AN268" s="187"/>
      <c r="AO268" s="187"/>
      <c r="AP268" s="187"/>
      <c r="AQ268" s="187"/>
      <c r="AR268" s="187"/>
      <c r="AS268" s="187"/>
      <c r="AT268" s="187"/>
      <c r="AU268" s="187"/>
      <c r="AV268" s="187"/>
      <c r="AW268" s="187"/>
      <c r="AX268" s="187"/>
      <c r="AY268" s="187"/>
      <c r="AZ268" s="187"/>
      <c r="BA268" s="187"/>
      <c r="BB268" s="187"/>
      <c r="BC268" s="187"/>
      <c r="BD268" s="187"/>
      <c r="BE268" s="187"/>
      <c r="BF268" s="187"/>
      <c r="BG268" s="187"/>
      <c r="BH268" s="187"/>
      <c r="BI268" s="187"/>
      <c r="BJ268" s="187"/>
      <c r="BK268" s="187"/>
      <c r="BL268" s="187"/>
      <c r="BM268" s="187"/>
      <c r="BN268" s="187"/>
      <c r="BO268" s="187"/>
      <c r="BP268" s="187"/>
      <c r="BQ268" s="187"/>
      <c r="BR268" s="187"/>
      <c r="BS268" s="187"/>
      <c r="BT268" s="187"/>
      <c r="BU268" s="187"/>
      <c r="BV268" s="187"/>
      <c r="BW268" s="187"/>
      <c r="BX268" s="187"/>
      <c r="BY268" s="187"/>
      <c r="BZ268" s="187"/>
      <c r="CA268" s="187"/>
      <c r="CB268" s="187"/>
      <c r="CC268" s="187"/>
      <c r="CD268" s="187"/>
      <c r="CE268" s="187"/>
      <c r="CF268" s="187"/>
      <c r="CG268" s="187"/>
      <c r="CH268" s="187"/>
      <c r="CI268" s="187"/>
      <c r="CJ268" s="187"/>
      <c r="CK268" s="187"/>
      <c r="CL268" s="187"/>
      <c r="CM268" s="187"/>
      <c r="CN268" s="187"/>
      <c r="CO268" s="187"/>
      <c r="CP268" s="187"/>
      <c r="CQ268" s="187"/>
      <c r="CR268" s="187"/>
      <c r="CS268" s="187"/>
      <c r="CT268" s="187"/>
      <c r="CU268" s="187"/>
      <c r="CV268" s="187"/>
      <c r="CW268" s="187"/>
      <c r="CX268" s="187"/>
      <c r="CY268" s="187"/>
      <c r="CZ268" s="187"/>
      <c r="DA268" s="187"/>
      <c r="DB268" s="187"/>
      <c r="DC268" s="187"/>
      <c r="DD268" s="187"/>
      <c r="DE268" s="187"/>
      <c r="DF268" s="187"/>
      <c r="DG268" s="187"/>
      <c r="DH268" s="187"/>
      <c r="DI268" s="187"/>
      <c r="DJ268" s="187"/>
      <c r="DK268" s="187"/>
      <c r="DL268" s="187"/>
      <c r="DM268" s="187"/>
      <c r="DN268" s="187"/>
      <c r="DO268" s="187"/>
      <c r="DP268" s="187"/>
      <c r="DQ268" s="187"/>
      <c r="DR268" s="187"/>
      <c r="DS268" s="187"/>
      <c r="DT268" s="187"/>
      <c r="DU268" s="187"/>
      <c r="DV268" s="187"/>
      <c r="DW268" s="187"/>
      <c r="DX268" s="187"/>
      <c r="DY268" s="187"/>
      <c r="DZ268" s="187"/>
      <c r="EA268" s="187"/>
      <c r="EB268" s="187"/>
      <c r="EC268" s="187"/>
      <c r="ED268" s="187"/>
      <c r="EE268" s="187"/>
      <c r="EF268" s="187"/>
      <c r="EG268" s="187"/>
      <c r="EH268" s="187"/>
      <c r="EI268" s="187"/>
      <c r="EJ268" s="187"/>
      <c r="EK268" s="187"/>
      <c r="EL268" s="187"/>
      <c r="EM268" s="187"/>
      <c r="EN268" s="187"/>
      <c r="EO268" s="187"/>
      <c r="EP268" s="187"/>
      <c r="EQ268" s="187"/>
      <c r="ER268" s="187"/>
      <c r="ES268" s="187"/>
      <c r="ET268" s="187"/>
      <c r="EU268" s="187"/>
      <c r="EV268" s="187"/>
      <c r="EW268" s="187"/>
      <c r="EX268" s="187"/>
      <c r="EY268" s="187"/>
      <c r="EZ268" s="187"/>
      <c r="FA268" s="187"/>
      <c r="FB268" s="187"/>
      <c r="FC268" s="187"/>
    </row>
    <row r="269" spans="1:159" ht="15" x14ac:dyDescent="0.25">
      <c r="A269" s="187" t="s">
        <v>592</v>
      </c>
      <c r="B269" s="187" t="s">
        <v>593</v>
      </c>
      <c r="C269" s="187">
        <v>4598</v>
      </c>
      <c r="D269" s="187">
        <v>8</v>
      </c>
      <c r="E269" s="187">
        <v>413</v>
      </c>
      <c r="F269" s="187">
        <v>949</v>
      </c>
      <c r="G269" s="187">
        <v>1003</v>
      </c>
      <c r="H269" s="187">
        <v>6971</v>
      </c>
      <c r="I269" s="187">
        <v>5968</v>
      </c>
      <c r="J269" s="187">
        <v>31</v>
      </c>
      <c r="K269" s="187">
        <v>125.55</v>
      </c>
      <c r="L269" s="187">
        <v>123.64</v>
      </c>
      <c r="M269" s="187">
        <v>9.23</v>
      </c>
      <c r="N269" s="187">
        <v>134.38</v>
      </c>
      <c r="O269" s="187">
        <v>3998</v>
      </c>
      <c r="P269" s="187">
        <v>126.84</v>
      </c>
      <c r="Q269" s="187">
        <v>112.75</v>
      </c>
      <c r="R269" s="187">
        <v>50.26</v>
      </c>
      <c r="S269" s="187">
        <v>174.57</v>
      </c>
      <c r="T269" s="187">
        <v>814</v>
      </c>
      <c r="U269" s="187">
        <v>197.6</v>
      </c>
      <c r="V269" s="187">
        <v>377</v>
      </c>
      <c r="W269" s="187">
        <v>182.78</v>
      </c>
      <c r="X269" s="187">
        <v>34</v>
      </c>
      <c r="Y269" s="187">
        <v>1</v>
      </c>
      <c r="Z269" s="187">
        <v>3</v>
      </c>
      <c r="AA269" s="187">
        <v>5</v>
      </c>
      <c r="AB269" s="187">
        <v>26</v>
      </c>
      <c r="AC269" s="187">
        <v>18</v>
      </c>
      <c r="AD269" s="187">
        <v>4429</v>
      </c>
      <c r="AE269" s="187">
        <v>23</v>
      </c>
      <c r="AF269" s="187">
        <v>11</v>
      </c>
      <c r="AG269" s="187">
        <v>34</v>
      </c>
      <c r="AH269" s="187"/>
      <c r="AI269" s="187"/>
      <c r="AJ269" s="187"/>
      <c r="AK269" s="187"/>
      <c r="AL269" s="187"/>
      <c r="AM269" s="187"/>
      <c r="AN269" s="187"/>
      <c r="AO269" s="187"/>
      <c r="AP269" s="187"/>
      <c r="AQ269" s="187"/>
      <c r="AR269" s="187"/>
      <c r="AS269" s="187"/>
      <c r="AT269" s="187"/>
      <c r="AU269" s="187"/>
      <c r="AV269" s="187"/>
      <c r="AW269" s="187"/>
      <c r="AX269" s="187"/>
      <c r="AY269" s="187"/>
      <c r="AZ269" s="187"/>
      <c r="BA269" s="187"/>
      <c r="BB269" s="187"/>
      <c r="BC269" s="187"/>
      <c r="BD269" s="187"/>
      <c r="BE269" s="187"/>
      <c r="BF269" s="187"/>
      <c r="BG269" s="187"/>
      <c r="BH269" s="187"/>
      <c r="BI269" s="187"/>
      <c r="BJ269" s="187"/>
      <c r="BK269" s="187"/>
      <c r="BL269" s="187"/>
      <c r="BM269" s="187"/>
      <c r="BN269" s="187"/>
      <c r="BO269" s="187"/>
      <c r="BP269" s="187"/>
      <c r="BQ269" s="187"/>
      <c r="BR269" s="187"/>
      <c r="BS269" s="187"/>
      <c r="BT269" s="187"/>
      <c r="BU269" s="187"/>
      <c r="BV269" s="187"/>
      <c r="BW269" s="187"/>
      <c r="BX269" s="187"/>
      <c r="BY269" s="187"/>
      <c r="BZ269" s="187"/>
      <c r="CA269" s="187"/>
      <c r="CB269" s="187"/>
      <c r="CC269" s="187"/>
      <c r="CD269" s="187"/>
      <c r="CE269" s="187"/>
      <c r="CF269" s="187"/>
      <c r="CG269" s="187"/>
      <c r="CH269" s="187"/>
      <c r="CI269" s="187"/>
      <c r="CJ269" s="187"/>
      <c r="CK269" s="187"/>
      <c r="CL269" s="187"/>
      <c r="CM269" s="187"/>
      <c r="CN269" s="187"/>
      <c r="CO269" s="187"/>
      <c r="CP269" s="187"/>
      <c r="CQ269" s="187"/>
      <c r="CR269" s="187"/>
      <c r="CS269" s="187"/>
      <c r="CT269" s="187"/>
      <c r="CU269" s="187"/>
      <c r="CV269" s="187"/>
      <c r="CW269" s="187"/>
      <c r="CX269" s="187"/>
      <c r="CY269" s="187"/>
      <c r="CZ269" s="187"/>
      <c r="DA269" s="187"/>
      <c r="DB269" s="187"/>
      <c r="DC269" s="187"/>
      <c r="DD269" s="187"/>
      <c r="DE269" s="187"/>
      <c r="DF269" s="187"/>
      <c r="DG269" s="187"/>
      <c r="DH269" s="187"/>
      <c r="DI269" s="187"/>
      <c r="DJ269" s="187"/>
      <c r="DK269" s="187"/>
      <c r="DL269" s="187"/>
      <c r="DM269" s="187"/>
      <c r="DN269" s="187"/>
      <c r="DO269" s="187"/>
      <c r="DP269" s="187"/>
      <c r="DQ269" s="187"/>
      <c r="DR269" s="187"/>
      <c r="DS269" s="187"/>
      <c r="DT269" s="187"/>
      <c r="DU269" s="187"/>
      <c r="DV269" s="187"/>
      <c r="DW269" s="187"/>
      <c r="DX269" s="187"/>
      <c r="DY269" s="187"/>
      <c r="DZ269" s="187"/>
      <c r="EA269" s="187"/>
      <c r="EB269" s="187"/>
      <c r="EC269" s="187"/>
      <c r="ED269" s="187"/>
      <c r="EE269" s="187"/>
      <c r="EF269" s="187"/>
      <c r="EG269" s="187"/>
      <c r="EH269" s="187"/>
      <c r="EI269" s="187"/>
      <c r="EJ269" s="187"/>
      <c r="EK269" s="187"/>
      <c r="EL269" s="187"/>
      <c r="EM269" s="187"/>
      <c r="EN269" s="187"/>
      <c r="EO269" s="187"/>
      <c r="EP269" s="187"/>
      <c r="EQ269" s="187"/>
      <c r="ER269" s="187"/>
      <c r="ES269" s="187"/>
      <c r="ET269" s="187"/>
      <c r="EU269" s="187"/>
      <c r="EV269" s="187"/>
      <c r="EW269" s="187"/>
      <c r="EX269" s="187"/>
      <c r="EY269" s="187"/>
      <c r="EZ269" s="187"/>
      <c r="FA269" s="187"/>
      <c r="FB269" s="187"/>
      <c r="FC269" s="187"/>
    </row>
    <row r="270" spans="1:159" ht="15" x14ac:dyDescent="0.25">
      <c r="A270" s="187" t="s">
        <v>594</v>
      </c>
      <c r="B270" s="187" t="s">
        <v>595</v>
      </c>
      <c r="C270" s="187">
        <v>8035</v>
      </c>
      <c r="D270" s="187">
        <v>0</v>
      </c>
      <c r="E270" s="187">
        <v>244</v>
      </c>
      <c r="F270" s="187">
        <v>432</v>
      </c>
      <c r="G270" s="187">
        <v>794</v>
      </c>
      <c r="H270" s="187">
        <v>9505</v>
      </c>
      <c r="I270" s="187">
        <v>8711</v>
      </c>
      <c r="J270" s="187">
        <v>53</v>
      </c>
      <c r="K270" s="187">
        <v>104.53</v>
      </c>
      <c r="L270" s="187">
        <v>104.1</v>
      </c>
      <c r="M270" s="187">
        <v>7.47</v>
      </c>
      <c r="N270" s="187">
        <v>108.01</v>
      </c>
      <c r="O270" s="187">
        <v>6588</v>
      </c>
      <c r="P270" s="187">
        <v>103.03</v>
      </c>
      <c r="Q270" s="187">
        <v>87.27</v>
      </c>
      <c r="R270" s="187">
        <v>56</v>
      </c>
      <c r="S270" s="187">
        <v>153.94999999999999</v>
      </c>
      <c r="T270" s="187">
        <v>607</v>
      </c>
      <c r="U270" s="187">
        <v>146.85</v>
      </c>
      <c r="V270" s="187">
        <v>1332</v>
      </c>
      <c r="W270" s="187">
        <v>0</v>
      </c>
      <c r="X270" s="187">
        <v>0</v>
      </c>
      <c r="Y270" s="187">
        <v>42</v>
      </c>
      <c r="Z270" s="187">
        <v>0</v>
      </c>
      <c r="AA270" s="187">
        <v>6</v>
      </c>
      <c r="AB270" s="187">
        <v>117</v>
      </c>
      <c r="AC270" s="187">
        <v>13</v>
      </c>
      <c r="AD270" s="187">
        <v>7940</v>
      </c>
      <c r="AE270" s="187">
        <v>5</v>
      </c>
      <c r="AF270" s="187">
        <v>11</v>
      </c>
      <c r="AG270" s="187">
        <v>16</v>
      </c>
      <c r="AH270" s="187"/>
      <c r="AI270" s="187"/>
      <c r="AJ270" s="187"/>
      <c r="AK270" s="187"/>
      <c r="AL270" s="187"/>
      <c r="AM270" s="187"/>
      <c r="AN270" s="187"/>
      <c r="AO270" s="187"/>
      <c r="AP270" s="187"/>
      <c r="AQ270" s="187"/>
      <c r="AR270" s="187"/>
      <c r="AS270" s="187"/>
      <c r="AT270" s="187"/>
      <c r="AU270" s="187"/>
      <c r="AV270" s="187"/>
      <c r="AW270" s="187"/>
      <c r="AX270" s="187"/>
      <c r="AY270" s="187"/>
      <c r="AZ270" s="187"/>
      <c r="BA270" s="187"/>
      <c r="BB270" s="187"/>
      <c r="BC270" s="187"/>
      <c r="BD270" s="187"/>
      <c r="BE270" s="187"/>
      <c r="BF270" s="187"/>
      <c r="BG270" s="187"/>
      <c r="BH270" s="187"/>
      <c r="BI270" s="187"/>
      <c r="BJ270" s="187"/>
      <c r="BK270" s="187"/>
      <c r="BL270" s="187"/>
      <c r="BM270" s="187"/>
      <c r="BN270" s="187"/>
      <c r="BO270" s="187"/>
      <c r="BP270" s="187"/>
      <c r="BQ270" s="187"/>
      <c r="BR270" s="187"/>
      <c r="BS270" s="187"/>
      <c r="BT270" s="187"/>
      <c r="BU270" s="187"/>
      <c r="BV270" s="187"/>
      <c r="BW270" s="187"/>
      <c r="BX270" s="187"/>
      <c r="BY270" s="187"/>
      <c r="BZ270" s="187"/>
      <c r="CA270" s="187"/>
      <c r="CB270" s="187"/>
      <c r="CC270" s="187"/>
      <c r="CD270" s="187"/>
      <c r="CE270" s="187"/>
      <c r="CF270" s="187"/>
      <c r="CG270" s="187"/>
      <c r="CH270" s="187"/>
      <c r="CI270" s="187"/>
      <c r="CJ270" s="187"/>
      <c r="CK270" s="187"/>
      <c r="CL270" s="187"/>
      <c r="CM270" s="187"/>
      <c r="CN270" s="187"/>
      <c r="CO270" s="187"/>
      <c r="CP270" s="187"/>
      <c r="CQ270" s="187"/>
      <c r="CR270" s="187"/>
      <c r="CS270" s="187"/>
      <c r="CT270" s="187"/>
      <c r="CU270" s="187"/>
      <c r="CV270" s="187"/>
      <c r="CW270" s="187"/>
      <c r="CX270" s="187"/>
      <c r="CY270" s="187"/>
      <c r="CZ270" s="187"/>
      <c r="DA270" s="187"/>
      <c r="DB270" s="187"/>
      <c r="DC270" s="187"/>
      <c r="DD270" s="187"/>
      <c r="DE270" s="187"/>
      <c r="DF270" s="187"/>
      <c r="DG270" s="187"/>
      <c r="DH270" s="187"/>
      <c r="DI270" s="187"/>
      <c r="DJ270" s="187"/>
      <c r="DK270" s="187"/>
      <c r="DL270" s="187"/>
      <c r="DM270" s="187"/>
      <c r="DN270" s="187"/>
      <c r="DO270" s="187"/>
      <c r="DP270" s="187"/>
      <c r="DQ270" s="187"/>
      <c r="DR270" s="187"/>
      <c r="DS270" s="187"/>
      <c r="DT270" s="187"/>
      <c r="DU270" s="187"/>
      <c r="DV270" s="187"/>
      <c r="DW270" s="187"/>
      <c r="DX270" s="187"/>
      <c r="DY270" s="187"/>
      <c r="DZ270" s="187"/>
      <c r="EA270" s="187"/>
      <c r="EB270" s="187"/>
      <c r="EC270" s="187"/>
      <c r="ED270" s="187"/>
      <c r="EE270" s="187"/>
      <c r="EF270" s="187"/>
      <c r="EG270" s="187"/>
      <c r="EH270" s="187"/>
      <c r="EI270" s="187"/>
      <c r="EJ270" s="187"/>
      <c r="EK270" s="187"/>
      <c r="EL270" s="187"/>
      <c r="EM270" s="187"/>
      <c r="EN270" s="187"/>
      <c r="EO270" s="187"/>
      <c r="EP270" s="187"/>
      <c r="EQ270" s="187"/>
      <c r="ER270" s="187"/>
      <c r="ES270" s="187"/>
      <c r="ET270" s="187"/>
      <c r="EU270" s="187"/>
      <c r="EV270" s="187"/>
      <c r="EW270" s="187"/>
      <c r="EX270" s="187"/>
      <c r="EY270" s="187"/>
      <c r="EZ270" s="187"/>
      <c r="FA270" s="187"/>
      <c r="FB270" s="187"/>
      <c r="FC270" s="187"/>
    </row>
    <row r="271" spans="1:159" ht="15" x14ac:dyDescent="0.25">
      <c r="A271" s="187" t="s">
        <v>596</v>
      </c>
      <c r="B271" s="187" t="s">
        <v>597</v>
      </c>
      <c r="C271" s="187">
        <v>4247</v>
      </c>
      <c r="D271" s="187">
        <v>0</v>
      </c>
      <c r="E271" s="187">
        <v>548</v>
      </c>
      <c r="F271" s="187">
        <v>923</v>
      </c>
      <c r="G271" s="187">
        <v>1130</v>
      </c>
      <c r="H271" s="187">
        <v>6848</v>
      </c>
      <c r="I271" s="187">
        <v>5718</v>
      </c>
      <c r="J271" s="187">
        <v>60</v>
      </c>
      <c r="K271" s="187">
        <v>104.47</v>
      </c>
      <c r="L271" s="187">
        <v>101.29</v>
      </c>
      <c r="M271" s="187">
        <v>7.65</v>
      </c>
      <c r="N271" s="187">
        <v>110.47</v>
      </c>
      <c r="O271" s="187">
        <v>3084</v>
      </c>
      <c r="P271" s="187">
        <v>92.05</v>
      </c>
      <c r="Q271" s="187">
        <v>88.61</v>
      </c>
      <c r="R271" s="187">
        <v>51.48</v>
      </c>
      <c r="S271" s="187">
        <v>141.83000000000001</v>
      </c>
      <c r="T271" s="187">
        <v>1421</v>
      </c>
      <c r="U271" s="187">
        <v>147.43</v>
      </c>
      <c r="V271" s="187">
        <v>983</v>
      </c>
      <c r="W271" s="187">
        <v>124.19</v>
      </c>
      <c r="X271" s="187">
        <v>1</v>
      </c>
      <c r="Y271" s="187">
        <v>0</v>
      </c>
      <c r="Z271" s="187">
        <v>0</v>
      </c>
      <c r="AA271" s="187">
        <v>8</v>
      </c>
      <c r="AB271" s="187">
        <v>26</v>
      </c>
      <c r="AC271" s="187">
        <v>28</v>
      </c>
      <c r="AD271" s="187">
        <v>4191</v>
      </c>
      <c r="AE271" s="187">
        <v>28</v>
      </c>
      <c r="AF271" s="187">
        <v>19</v>
      </c>
      <c r="AG271" s="187">
        <v>47</v>
      </c>
      <c r="AH271" s="187"/>
      <c r="AI271" s="187"/>
      <c r="AJ271" s="187"/>
      <c r="AK271" s="187"/>
      <c r="AL271" s="187"/>
      <c r="AM271" s="187"/>
      <c r="AN271" s="187"/>
      <c r="AO271" s="187"/>
      <c r="AP271" s="187"/>
      <c r="AQ271" s="187"/>
      <c r="AR271" s="187"/>
      <c r="AS271" s="187"/>
      <c r="AT271" s="187"/>
      <c r="AU271" s="187"/>
      <c r="AV271" s="187"/>
      <c r="AW271" s="187"/>
      <c r="AX271" s="187"/>
      <c r="AY271" s="187"/>
      <c r="AZ271" s="187"/>
      <c r="BA271" s="187"/>
      <c r="BB271" s="187"/>
      <c r="BC271" s="187"/>
      <c r="BD271" s="187"/>
      <c r="BE271" s="187"/>
      <c r="BF271" s="187"/>
      <c r="BG271" s="187"/>
      <c r="BH271" s="187"/>
      <c r="BI271" s="187"/>
      <c r="BJ271" s="187"/>
      <c r="BK271" s="187"/>
      <c r="BL271" s="187"/>
      <c r="BM271" s="187"/>
      <c r="BN271" s="187"/>
      <c r="BO271" s="187"/>
      <c r="BP271" s="187"/>
      <c r="BQ271" s="187"/>
      <c r="BR271" s="187"/>
      <c r="BS271" s="187"/>
      <c r="BT271" s="187"/>
      <c r="BU271" s="187"/>
      <c r="BV271" s="187"/>
      <c r="BW271" s="187"/>
      <c r="BX271" s="187"/>
      <c r="BY271" s="187"/>
      <c r="BZ271" s="187"/>
      <c r="CA271" s="187"/>
      <c r="CB271" s="187"/>
      <c r="CC271" s="187"/>
      <c r="CD271" s="187"/>
      <c r="CE271" s="187"/>
      <c r="CF271" s="187"/>
      <c r="CG271" s="187"/>
      <c r="CH271" s="187"/>
      <c r="CI271" s="187"/>
      <c r="CJ271" s="187"/>
      <c r="CK271" s="187"/>
      <c r="CL271" s="187"/>
      <c r="CM271" s="187"/>
      <c r="CN271" s="187"/>
      <c r="CO271" s="187"/>
      <c r="CP271" s="187"/>
      <c r="CQ271" s="187"/>
      <c r="CR271" s="187"/>
      <c r="CS271" s="187"/>
      <c r="CT271" s="187"/>
      <c r="CU271" s="187"/>
      <c r="CV271" s="187"/>
      <c r="CW271" s="187"/>
      <c r="CX271" s="187"/>
      <c r="CY271" s="187"/>
      <c r="CZ271" s="187"/>
      <c r="DA271" s="187"/>
      <c r="DB271" s="187"/>
      <c r="DC271" s="187"/>
      <c r="DD271" s="187"/>
      <c r="DE271" s="187"/>
      <c r="DF271" s="187"/>
      <c r="DG271" s="187"/>
      <c r="DH271" s="187"/>
      <c r="DI271" s="187"/>
      <c r="DJ271" s="187"/>
      <c r="DK271" s="187"/>
      <c r="DL271" s="187"/>
      <c r="DM271" s="187"/>
      <c r="DN271" s="187"/>
      <c r="DO271" s="187"/>
      <c r="DP271" s="187"/>
      <c r="DQ271" s="187"/>
      <c r="DR271" s="187"/>
      <c r="DS271" s="187"/>
      <c r="DT271" s="187"/>
      <c r="DU271" s="187"/>
      <c r="DV271" s="187"/>
      <c r="DW271" s="187"/>
      <c r="DX271" s="187"/>
      <c r="DY271" s="187"/>
      <c r="DZ271" s="187"/>
      <c r="EA271" s="187"/>
      <c r="EB271" s="187"/>
      <c r="EC271" s="187"/>
      <c r="ED271" s="187"/>
      <c r="EE271" s="187"/>
      <c r="EF271" s="187"/>
      <c r="EG271" s="187"/>
      <c r="EH271" s="187"/>
      <c r="EI271" s="187"/>
      <c r="EJ271" s="187"/>
      <c r="EK271" s="187"/>
      <c r="EL271" s="187"/>
      <c r="EM271" s="187"/>
      <c r="EN271" s="187"/>
      <c r="EO271" s="187"/>
      <c r="EP271" s="187"/>
      <c r="EQ271" s="187"/>
      <c r="ER271" s="187"/>
      <c r="ES271" s="187"/>
      <c r="ET271" s="187"/>
      <c r="EU271" s="187"/>
      <c r="EV271" s="187"/>
      <c r="EW271" s="187"/>
      <c r="EX271" s="187"/>
      <c r="EY271" s="187"/>
      <c r="EZ271" s="187"/>
      <c r="FA271" s="187"/>
      <c r="FB271" s="187"/>
      <c r="FC271" s="187"/>
    </row>
    <row r="272" spans="1:159" ht="15" x14ac:dyDescent="0.25">
      <c r="A272" s="187" t="s">
        <v>598</v>
      </c>
      <c r="B272" s="187" t="s">
        <v>599</v>
      </c>
      <c r="C272" s="187">
        <v>20209</v>
      </c>
      <c r="D272" s="187">
        <v>1</v>
      </c>
      <c r="E272" s="187">
        <v>741</v>
      </c>
      <c r="F272" s="187">
        <v>1373</v>
      </c>
      <c r="G272" s="187">
        <v>230</v>
      </c>
      <c r="H272" s="187">
        <v>22554</v>
      </c>
      <c r="I272" s="187">
        <v>22324</v>
      </c>
      <c r="J272" s="187">
        <v>61</v>
      </c>
      <c r="K272" s="187">
        <v>86.98</v>
      </c>
      <c r="L272" s="187">
        <v>84.11</v>
      </c>
      <c r="M272" s="187">
        <v>4</v>
      </c>
      <c r="N272" s="187">
        <v>90.61</v>
      </c>
      <c r="O272" s="187">
        <v>16577</v>
      </c>
      <c r="P272" s="187">
        <v>87.74</v>
      </c>
      <c r="Q272" s="187">
        <v>76.540000000000006</v>
      </c>
      <c r="R272" s="187">
        <v>43.37</v>
      </c>
      <c r="S272" s="187">
        <v>127.69</v>
      </c>
      <c r="T272" s="187">
        <v>1894</v>
      </c>
      <c r="U272" s="187">
        <v>112.83</v>
      </c>
      <c r="V272" s="187">
        <v>2597</v>
      </c>
      <c r="W272" s="187">
        <v>138.16</v>
      </c>
      <c r="X272" s="187">
        <v>54</v>
      </c>
      <c r="Y272" s="187">
        <v>0</v>
      </c>
      <c r="Z272" s="187">
        <v>66</v>
      </c>
      <c r="AA272" s="187">
        <v>1</v>
      </c>
      <c r="AB272" s="187">
        <v>25</v>
      </c>
      <c r="AC272" s="187">
        <v>4</v>
      </c>
      <c r="AD272" s="187">
        <v>19193</v>
      </c>
      <c r="AE272" s="187">
        <v>155</v>
      </c>
      <c r="AF272" s="187">
        <v>29</v>
      </c>
      <c r="AG272" s="187">
        <v>184</v>
      </c>
      <c r="AH272" s="187"/>
      <c r="AI272" s="187"/>
      <c r="AJ272" s="187"/>
      <c r="AK272" s="187"/>
      <c r="AL272" s="187"/>
      <c r="AM272" s="187"/>
      <c r="AN272" s="187"/>
      <c r="AO272" s="187"/>
      <c r="AP272" s="187"/>
      <c r="AQ272" s="187"/>
      <c r="AR272" s="187"/>
      <c r="AS272" s="187"/>
      <c r="AT272" s="187"/>
      <c r="AU272" s="187"/>
      <c r="AV272" s="187"/>
      <c r="AW272" s="187"/>
      <c r="AX272" s="187"/>
      <c r="AY272" s="187"/>
      <c r="AZ272" s="187"/>
      <c r="BA272" s="187"/>
      <c r="BB272" s="187"/>
      <c r="BC272" s="187"/>
      <c r="BD272" s="187"/>
      <c r="BE272" s="187"/>
      <c r="BF272" s="187"/>
      <c r="BG272" s="187"/>
      <c r="BH272" s="187"/>
      <c r="BI272" s="187"/>
      <c r="BJ272" s="187"/>
      <c r="BK272" s="187"/>
      <c r="BL272" s="187"/>
      <c r="BM272" s="187"/>
      <c r="BN272" s="187"/>
      <c r="BO272" s="187"/>
      <c r="BP272" s="187"/>
      <c r="BQ272" s="187"/>
      <c r="BR272" s="187"/>
      <c r="BS272" s="187"/>
      <c r="BT272" s="187"/>
      <c r="BU272" s="187"/>
      <c r="BV272" s="187"/>
      <c r="BW272" s="187"/>
      <c r="BX272" s="187"/>
      <c r="BY272" s="187"/>
      <c r="BZ272" s="187"/>
      <c r="CA272" s="187"/>
      <c r="CB272" s="187"/>
      <c r="CC272" s="187"/>
      <c r="CD272" s="187"/>
      <c r="CE272" s="187"/>
      <c r="CF272" s="187"/>
      <c r="CG272" s="187"/>
      <c r="CH272" s="187"/>
      <c r="CI272" s="187"/>
      <c r="CJ272" s="187"/>
      <c r="CK272" s="187"/>
      <c r="CL272" s="187"/>
      <c r="CM272" s="187"/>
      <c r="CN272" s="187"/>
      <c r="CO272" s="187"/>
      <c r="CP272" s="187"/>
      <c r="CQ272" s="187"/>
      <c r="CR272" s="187"/>
      <c r="CS272" s="187"/>
      <c r="CT272" s="187"/>
      <c r="CU272" s="187"/>
      <c r="CV272" s="187"/>
      <c r="CW272" s="187"/>
      <c r="CX272" s="187"/>
      <c r="CY272" s="187"/>
      <c r="CZ272" s="187"/>
      <c r="DA272" s="187"/>
      <c r="DB272" s="187"/>
      <c r="DC272" s="187"/>
      <c r="DD272" s="187"/>
      <c r="DE272" s="187"/>
      <c r="DF272" s="187"/>
      <c r="DG272" s="187"/>
      <c r="DH272" s="187"/>
      <c r="DI272" s="187"/>
      <c r="DJ272" s="187"/>
      <c r="DK272" s="187"/>
      <c r="DL272" s="187"/>
      <c r="DM272" s="187"/>
      <c r="DN272" s="187"/>
      <c r="DO272" s="187"/>
      <c r="DP272" s="187"/>
      <c r="DQ272" s="187"/>
      <c r="DR272" s="187"/>
      <c r="DS272" s="187"/>
      <c r="DT272" s="187"/>
      <c r="DU272" s="187"/>
      <c r="DV272" s="187"/>
      <c r="DW272" s="187"/>
      <c r="DX272" s="187"/>
      <c r="DY272" s="187"/>
      <c r="DZ272" s="187"/>
      <c r="EA272" s="187"/>
      <c r="EB272" s="187"/>
      <c r="EC272" s="187"/>
      <c r="ED272" s="187"/>
      <c r="EE272" s="187"/>
      <c r="EF272" s="187"/>
      <c r="EG272" s="187"/>
      <c r="EH272" s="187"/>
      <c r="EI272" s="187"/>
      <c r="EJ272" s="187"/>
      <c r="EK272" s="187"/>
      <c r="EL272" s="187"/>
      <c r="EM272" s="187"/>
      <c r="EN272" s="187"/>
      <c r="EO272" s="187"/>
      <c r="EP272" s="187"/>
      <c r="EQ272" s="187"/>
      <c r="ER272" s="187"/>
      <c r="ES272" s="187"/>
      <c r="ET272" s="187"/>
      <c r="EU272" s="187"/>
      <c r="EV272" s="187"/>
      <c r="EW272" s="187"/>
      <c r="EX272" s="187"/>
      <c r="EY272" s="187"/>
      <c r="EZ272" s="187"/>
      <c r="FA272" s="187"/>
      <c r="FB272" s="187"/>
      <c r="FC272" s="187"/>
    </row>
    <row r="273" spans="1:159" ht="15" x14ac:dyDescent="0.25">
      <c r="A273" s="187" t="s">
        <v>600</v>
      </c>
      <c r="B273" s="187" t="s">
        <v>601</v>
      </c>
      <c r="C273" s="187">
        <v>1714</v>
      </c>
      <c r="D273" s="187">
        <v>0</v>
      </c>
      <c r="E273" s="187">
        <v>130</v>
      </c>
      <c r="F273" s="187">
        <v>110</v>
      </c>
      <c r="G273" s="187">
        <v>249</v>
      </c>
      <c r="H273" s="187">
        <v>2203</v>
      </c>
      <c r="I273" s="187">
        <v>1954</v>
      </c>
      <c r="J273" s="187">
        <v>2</v>
      </c>
      <c r="K273" s="187">
        <v>93.68</v>
      </c>
      <c r="L273" s="187">
        <v>90.33</v>
      </c>
      <c r="M273" s="187">
        <v>5.95</v>
      </c>
      <c r="N273" s="187">
        <v>98.75</v>
      </c>
      <c r="O273" s="187">
        <v>1228</v>
      </c>
      <c r="P273" s="187">
        <v>87.92</v>
      </c>
      <c r="Q273" s="187">
        <v>82.6</v>
      </c>
      <c r="R273" s="187">
        <v>37.200000000000003</v>
      </c>
      <c r="S273" s="187">
        <v>124.54</v>
      </c>
      <c r="T273" s="187">
        <v>190</v>
      </c>
      <c r="U273" s="187">
        <v>124.93</v>
      </c>
      <c r="V273" s="187">
        <v>475</v>
      </c>
      <c r="W273" s="187">
        <v>0</v>
      </c>
      <c r="X273" s="187">
        <v>0</v>
      </c>
      <c r="Y273" s="187">
        <v>0</v>
      </c>
      <c r="Z273" s="187">
        <v>0</v>
      </c>
      <c r="AA273" s="187">
        <v>1</v>
      </c>
      <c r="AB273" s="187">
        <v>13</v>
      </c>
      <c r="AC273" s="187">
        <v>6</v>
      </c>
      <c r="AD273" s="187">
        <v>1714</v>
      </c>
      <c r="AE273" s="187">
        <v>6</v>
      </c>
      <c r="AF273" s="187">
        <v>9</v>
      </c>
      <c r="AG273" s="187">
        <v>15</v>
      </c>
      <c r="AH273" s="187"/>
      <c r="AI273" s="187"/>
      <c r="AJ273" s="187"/>
      <c r="AK273" s="187"/>
      <c r="AL273" s="187"/>
      <c r="AM273" s="187"/>
      <c r="AN273" s="187"/>
      <c r="AO273" s="187"/>
      <c r="AP273" s="187"/>
      <c r="AQ273" s="187"/>
      <c r="AR273" s="187"/>
      <c r="AS273" s="187"/>
      <c r="AT273" s="187"/>
      <c r="AU273" s="187"/>
      <c r="AV273" s="187"/>
      <c r="AW273" s="187"/>
      <c r="AX273" s="187"/>
      <c r="AY273" s="187"/>
      <c r="AZ273" s="187"/>
      <c r="BA273" s="187"/>
      <c r="BB273" s="187"/>
      <c r="BC273" s="187"/>
      <c r="BD273" s="187"/>
      <c r="BE273" s="187"/>
      <c r="BF273" s="187"/>
      <c r="BG273" s="187"/>
      <c r="BH273" s="187"/>
      <c r="BI273" s="187"/>
      <c r="BJ273" s="187"/>
      <c r="BK273" s="187"/>
      <c r="BL273" s="187"/>
      <c r="BM273" s="187"/>
      <c r="BN273" s="187"/>
      <c r="BO273" s="187"/>
      <c r="BP273" s="187"/>
      <c r="BQ273" s="187"/>
      <c r="BR273" s="187"/>
      <c r="BS273" s="187"/>
      <c r="BT273" s="187"/>
      <c r="BU273" s="187"/>
      <c r="BV273" s="187"/>
      <c r="BW273" s="187"/>
      <c r="BX273" s="187"/>
      <c r="BY273" s="187"/>
      <c r="BZ273" s="187"/>
      <c r="CA273" s="187"/>
      <c r="CB273" s="187"/>
      <c r="CC273" s="187"/>
      <c r="CD273" s="187"/>
      <c r="CE273" s="187"/>
      <c r="CF273" s="187"/>
      <c r="CG273" s="187"/>
      <c r="CH273" s="187"/>
      <c r="CI273" s="187"/>
      <c r="CJ273" s="187"/>
      <c r="CK273" s="187"/>
      <c r="CL273" s="187"/>
      <c r="CM273" s="187"/>
      <c r="CN273" s="187"/>
      <c r="CO273" s="187"/>
      <c r="CP273" s="187"/>
      <c r="CQ273" s="187"/>
      <c r="CR273" s="187"/>
      <c r="CS273" s="187"/>
      <c r="CT273" s="187"/>
      <c r="CU273" s="187"/>
      <c r="CV273" s="187"/>
      <c r="CW273" s="187"/>
      <c r="CX273" s="187"/>
      <c r="CY273" s="187"/>
      <c r="CZ273" s="187"/>
      <c r="DA273" s="187"/>
      <c r="DB273" s="187"/>
      <c r="DC273" s="187"/>
      <c r="DD273" s="187"/>
      <c r="DE273" s="187"/>
      <c r="DF273" s="187"/>
      <c r="DG273" s="187"/>
      <c r="DH273" s="187"/>
      <c r="DI273" s="187"/>
      <c r="DJ273" s="187"/>
      <c r="DK273" s="187"/>
      <c r="DL273" s="187"/>
      <c r="DM273" s="187"/>
      <c r="DN273" s="187"/>
      <c r="DO273" s="187"/>
      <c r="DP273" s="187"/>
      <c r="DQ273" s="187"/>
      <c r="DR273" s="187"/>
      <c r="DS273" s="187"/>
      <c r="DT273" s="187"/>
      <c r="DU273" s="187"/>
      <c r="DV273" s="187"/>
      <c r="DW273" s="187"/>
      <c r="DX273" s="187"/>
      <c r="DY273" s="187"/>
      <c r="DZ273" s="187"/>
      <c r="EA273" s="187"/>
      <c r="EB273" s="187"/>
      <c r="EC273" s="187"/>
      <c r="ED273" s="187"/>
      <c r="EE273" s="187"/>
      <c r="EF273" s="187"/>
      <c r="EG273" s="187"/>
      <c r="EH273" s="187"/>
      <c r="EI273" s="187"/>
      <c r="EJ273" s="187"/>
      <c r="EK273" s="187"/>
      <c r="EL273" s="187"/>
      <c r="EM273" s="187"/>
      <c r="EN273" s="187"/>
      <c r="EO273" s="187"/>
      <c r="EP273" s="187"/>
      <c r="EQ273" s="187"/>
      <c r="ER273" s="187"/>
      <c r="ES273" s="187"/>
      <c r="ET273" s="187"/>
      <c r="EU273" s="187"/>
      <c r="EV273" s="187"/>
      <c r="EW273" s="187"/>
      <c r="EX273" s="187"/>
      <c r="EY273" s="187"/>
      <c r="EZ273" s="187"/>
      <c r="FA273" s="187"/>
      <c r="FB273" s="187"/>
      <c r="FC273" s="187"/>
    </row>
    <row r="274" spans="1:159" ht="15" x14ac:dyDescent="0.25">
      <c r="A274" s="187" t="s">
        <v>602</v>
      </c>
      <c r="B274" s="187" t="s">
        <v>603</v>
      </c>
      <c r="C274" s="187">
        <v>1217</v>
      </c>
      <c r="D274" s="187">
        <v>0</v>
      </c>
      <c r="E274" s="187">
        <v>130</v>
      </c>
      <c r="F274" s="187">
        <v>103</v>
      </c>
      <c r="G274" s="187">
        <v>402</v>
      </c>
      <c r="H274" s="187">
        <v>1852</v>
      </c>
      <c r="I274" s="187">
        <v>1450</v>
      </c>
      <c r="J274" s="187">
        <v>5</v>
      </c>
      <c r="K274" s="187">
        <v>132.46</v>
      </c>
      <c r="L274" s="187">
        <v>129.91999999999999</v>
      </c>
      <c r="M274" s="187">
        <v>9.1</v>
      </c>
      <c r="N274" s="187">
        <v>141.03</v>
      </c>
      <c r="O274" s="187">
        <v>721</v>
      </c>
      <c r="P274" s="187">
        <v>160.35</v>
      </c>
      <c r="Q274" s="187">
        <v>101.45</v>
      </c>
      <c r="R274" s="187">
        <v>50.41</v>
      </c>
      <c r="S274" s="187">
        <v>208.02</v>
      </c>
      <c r="T274" s="187">
        <v>92</v>
      </c>
      <c r="U274" s="187">
        <v>197.56</v>
      </c>
      <c r="V274" s="187">
        <v>377</v>
      </c>
      <c r="W274" s="187">
        <v>151.02000000000001</v>
      </c>
      <c r="X274" s="187">
        <v>8</v>
      </c>
      <c r="Y274" s="187">
        <v>0</v>
      </c>
      <c r="Z274" s="187">
        <v>0</v>
      </c>
      <c r="AA274" s="187">
        <v>0</v>
      </c>
      <c r="AB274" s="187">
        <v>1</v>
      </c>
      <c r="AC274" s="187">
        <v>5</v>
      </c>
      <c r="AD274" s="187">
        <v>1159</v>
      </c>
      <c r="AE274" s="187">
        <v>13</v>
      </c>
      <c r="AF274" s="187">
        <v>0</v>
      </c>
      <c r="AG274" s="187">
        <v>13</v>
      </c>
      <c r="AH274" s="187"/>
      <c r="AI274" s="187"/>
      <c r="AJ274" s="187"/>
      <c r="AK274" s="187"/>
      <c r="AL274" s="187"/>
      <c r="AM274" s="187"/>
      <c r="AN274" s="187"/>
      <c r="AO274" s="187"/>
      <c r="AP274" s="187"/>
      <c r="AQ274" s="187"/>
      <c r="AR274" s="187"/>
      <c r="AS274" s="187"/>
      <c r="AT274" s="187"/>
      <c r="AU274" s="187"/>
      <c r="AV274" s="187"/>
      <c r="AW274" s="187"/>
      <c r="AX274" s="187"/>
      <c r="AY274" s="187"/>
      <c r="AZ274" s="187"/>
      <c r="BA274" s="187"/>
      <c r="BB274" s="187"/>
      <c r="BC274" s="187"/>
      <c r="BD274" s="187"/>
      <c r="BE274" s="187"/>
      <c r="BF274" s="187"/>
      <c r="BG274" s="187"/>
      <c r="BH274" s="187"/>
      <c r="BI274" s="187"/>
      <c r="BJ274" s="187"/>
      <c r="BK274" s="187"/>
      <c r="BL274" s="187"/>
      <c r="BM274" s="187"/>
      <c r="BN274" s="187"/>
      <c r="BO274" s="187"/>
      <c r="BP274" s="187"/>
      <c r="BQ274" s="187"/>
      <c r="BR274" s="187"/>
      <c r="BS274" s="187"/>
      <c r="BT274" s="187"/>
      <c r="BU274" s="187"/>
      <c r="BV274" s="187"/>
      <c r="BW274" s="187"/>
      <c r="BX274" s="187"/>
      <c r="BY274" s="187"/>
      <c r="BZ274" s="187"/>
      <c r="CA274" s="187"/>
      <c r="CB274" s="187"/>
      <c r="CC274" s="187"/>
      <c r="CD274" s="187"/>
      <c r="CE274" s="187"/>
      <c r="CF274" s="187"/>
      <c r="CG274" s="187"/>
      <c r="CH274" s="187"/>
      <c r="CI274" s="187"/>
      <c r="CJ274" s="187"/>
      <c r="CK274" s="187"/>
      <c r="CL274" s="187"/>
      <c r="CM274" s="187"/>
      <c r="CN274" s="187"/>
      <c r="CO274" s="187"/>
      <c r="CP274" s="187"/>
      <c r="CQ274" s="187"/>
      <c r="CR274" s="187"/>
      <c r="CS274" s="187"/>
      <c r="CT274" s="187"/>
      <c r="CU274" s="187"/>
      <c r="CV274" s="187"/>
      <c r="CW274" s="187"/>
      <c r="CX274" s="187"/>
      <c r="CY274" s="187"/>
      <c r="CZ274" s="187"/>
      <c r="DA274" s="187"/>
      <c r="DB274" s="187"/>
      <c r="DC274" s="187"/>
      <c r="DD274" s="187"/>
      <c r="DE274" s="187"/>
      <c r="DF274" s="187"/>
      <c r="DG274" s="187"/>
      <c r="DH274" s="187"/>
      <c r="DI274" s="187"/>
      <c r="DJ274" s="187"/>
      <c r="DK274" s="187"/>
      <c r="DL274" s="187"/>
      <c r="DM274" s="187"/>
      <c r="DN274" s="187"/>
      <c r="DO274" s="187"/>
      <c r="DP274" s="187"/>
      <c r="DQ274" s="187"/>
      <c r="DR274" s="187"/>
      <c r="DS274" s="187"/>
      <c r="DT274" s="187"/>
      <c r="DU274" s="187"/>
      <c r="DV274" s="187"/>
      <c r="DW274" s="187"/>
      <c r="DX274" s="187"/>
      <c r="DY274" s="187"/>
      <c r="DZ274" s="187"/>
      <c r="EA274" s="187"/>
      <c r="EB274" s="187"/>
      <c r="EC274" s="187"/>
      <c r="ED274" s="187"/>
      <c r="EE274" s="187"/>
      <c r="EF274" s="187"/>
      <c r="EG274" s="187"/>
      <c r="EH274" s="187"/>
      <c r="EI274" s="187"/>
      <c r="EJ274" s="187"/>
      <c r="EK274" s="187"/>
      <c r="EL274" s="187"/>
      <c r="EM274" s="187"/>
      <c r="EN274" s="187"/>
      <c r="EO274" s="187"/>
      <c r="EP274" s="187"/>
      <c r="EQ274" s="187"/>
      <c r="ER274" s="187"/>
      <c r="ES274" s="187"/>
      <c r="ET274" s="187"/>
      <c r="EU274" s="187"/>
      <c r="EV274" s="187"/>
      <c r="EW274" s="187"/>
      <c r="EX274" s="187"/>
      <c r="EY274" s="187"/>
      <c r="EZ274" s="187"/>
      <c r="FA274" s="187"/>
      <c r="FB274" s="187"/>
      <c r="FC274" s="187"/>
    </row>
    <row r="275" spans="1:159" ht="15" x14ac:dyDescent="0.25">
      <c r="A275" s="187" t="s">
        <v>604</v>
      </c>
      <c r="B275" s="187" t="s">
        <v>605</v>
      </c>
      <c r="C275" s="187">
        <v>4423</v>
      </c>
      <c r="D275" s="187">
        <v>0</v>
      </c>
      <c r="E275" s="187">
        <v>214</v>
      </c>
      <c r="F275" s="187">
        <v>1379</v>
      </c>
      <c r="G275" s="187">
        <v>746</v>
      </c>
      <c r="H275" s="187">
        <v>6762</v>
      </c>
      <c r="I275" s="187">
        <v>6016</v>
      </c>
      <c r="J275" s="187">
        <v>19</v>
      </c>
      <c r="K275" s="187">
        <v>92.27</v>
      </c>
      <c r="L275" s="187">
        <v>91.28</v>
      </c>
      <c r="M275" s="187">
        <v>4.1500000000000004</v>
      </c>
      <c r="N275" s="187">
        <v>96.23</v>
      </c>
      <c r="O275" s="187">
        <v>3414</v>
      </c>
      <c r="P275" s="187">
        <v>88.98</v>
      </c>
      <c r="Q275" s="187">
        <v>83.16</v>
      </c>
      <c r="R275" s="187">
        <v>17.25</v>
      </c>
      <c r="S275" s="187">
        <v>105.98</v>
      </c>
      <c r="T275" s="187">
        <v>1505</v>
      </c>
      <c r="U275" s="187">
        <v>138.47</v>
      </c>
      <c r="V275" s="187">
        <v>926</v>
      </c>
      <c r="W275" s="187">
        <v>108.57</v>
      </c>
      <c r="X275" s="187">
        <v>4</v>
      </c>
      <c r="Y275" s="187">
        <v>0</v>
      </c>
      <c r="Z275" s="187">
        <v>6</v>
      </c>
      <c r="AA275" s="187">
        <v>1</v>
      </c>
      <c r="AB275" s="187">
        <v>53</v>
      </c>
      <c r="AC275" s="187">
        <v>17</v>
      </c>
      <c r="AD275" s="187">
        <v>4401</v>
      </c>
      <c r="AE275" s="187">
        <v>29</v>
      </c>
      <c r="AF275" s="187">
        <v>26</v>
      </c>
      <c r="AG275" s="187">
        <v>55</v>
      </c>
      <c r="AH275" s="187"/>
      <c r="AI275" s="187"/>
      <c r="AJ275" s="187"/>
      <c r="AK275" s="187"/>
      <c r="AL275" s="187"/>
      <c r="AM275" s="187"/>
      <c r="AN275" s="187"/>
      <c r="AO275" s="187"/>
      <c r="AP275" s="187"/>
      <c r="AQ275" s="187"/>
      <c r="AR275" s="187"/>
      <c r="AS275" s="187"/>
      <c r="AT275" s="187"/>
      <c r="AU275" s="187"/>
      <c r="AV275" s="187"/>
      <c r="AW275" s="187"/>
      <c r="AX275" s="187"/>
      <c r="AY275" s="187"/>
      <c r="AZ275" s="187"/>
      <c r="BA275" s="187"/>
      <c r="BB275" s="187"/>
      <c r="BC275" s="187"/>
      <c r="BD275" s="187"/>
      <c r="BE275" s="187"/>
      <c r="BF275" s="187"/>
      <c r="BG275" s="187"/>
      <c r="BH275" s="187"/>
      <c r="BI275" s="187"/>
      <c r="BJ275" s="187"/>
      <c r="BK275" s="187"/>
      <c r="BL275" s="187"/>
      <c r="BM275" s="187"/>
      <c r="BN275" s="187"/>
      <c r="BO275" s="187"/>
      <c r="BP275" s="187"/>
      <c r="BQ275" s="187"/>
      <c r="BR275" s="187"/>
      <c r="BS275" s="187"/>
      <c r="BT275" s="187"/>
      <c r="BU275" s="187"/>
      <c r="BV275" s="187"/>
      <c r="BW275" s="187"/>
      <c r="BX275" s="187"/>
      <c r="BY275" s="187"/>
      <c r="BZ275" s="187"/>
      <c r="CA275" s="187"/>
      <c r="CB275" s="187"/>
      <c r="CC275" s="187"/>
      <c r="CD275" s="187"/>
      <c r="CE275" s="187"/>
      <c r="CF275" s="187"/>
      <c r="CG275" s="187"/>
      <c r="CH275" s="187"/>
      <c r="CI275" s="187"/>
      <c r="CJ275" s="187"/>
      <c r="CK275" s="187"/>
      <c r="CL275" s="187"/>
      <c r="CM275" s="187"/>
      <c r="CN275" s="187"/>
      <c r="CO275" s="187"/>
      <c r="CP275" s="187"/>
      <c r="CQ275" s="187"/>
      <c r="CR275" s="187"/>
      <c r="CS275" s="187"/>
      <c r="CT275" s="187"/>
      <c r="CU275" s="187"/>
      <c r="CV275" s="187"/>
      <c r="CW275" s="187"/>
      <c r="CX275" s="187"/>
      <c r="CY275" s="187"/>
      <c r="CZ275" s="187"/>
      <c r="DA275" s="187"/>
      <c r="DB275" s="187"/>
      <c r="DC275" s="187"/>
      <c r="DD275" s="187"/>
      <c r="DE275" s="187"/>
      <c r="DF275" s="187"/>
      <c r="DG275" s="187"/>
      <c r="DH275" s="187"/>
      <c r="DI275" s="187"/>
      <c r="DJ275" s="187"/>
      <c r="DK275" s="187"/>
      <c r="DL275" s="187"/>
      <c r="DM275" s="187"/>
      <c r="DN275" s="187"/>
      <c r="DO275" s="187"/>
      <c r="DP275" s="187"/>
      <c r="DQ275" s="187"/>
      <c r="DR275" s="187"/>
      <c r="DS275" s="187"/>
      <c r="DT275" s="187"/>
      <c r="DU275" s="187"/>
      <c r="DV275" s="187"/>
      <c r="DW275" s="187"/>
      <c r="DX275" s="187"/>
      <c r="DY275" s="187"/>
      <c r="DZ275" s="187"/>
      <c r="EA275" s="187"/>
      <c r="EB275" s="187"/>
      <c r="EC275" s="187"/>
      <c r="ED275" s="187"/>
      <c r="EE275" s="187"/>
      <c r="EF275" s="187"/>
      <c r="EG275" s="187"/>
      <c r="EH275" s="187"/>
      <c r="EI275" s="187"/>
      <c r="EJ275" s="187"/>
      <c r="EK275" s="187"/>
      <c r="EL275" s="187"/>
      <c r="EM275" s="187"/>
      <c r="EN275" s="187"/>
      <c r="EO275" s="187"/>
      <c r="EP275" s="187"/>
      <c r="EQ275" s="187"/>
      <c r="ER275" s="187"/>
      <c r="ES275" s="187"/>
      <c r="ET275" s="187"/>
      <c r="EU275" s="187"/>
      <c r="EV275" s="187"/>
      <c r="EW275" s="187"/>
      <c r="EX275" s="187"/>
      <c r="EY275" s="187"/>
      <c r="EZ275" s="187"/>
      <c r="FA275" s="187"/>
      <c r="FB275" s="187"/>
      <c r="FC275" s="187"/>
    </row>
    <row r="276" spans="1:159" ht="15" x14ac:dyDescent="0.25">
      <c r="A276" s="187" t="s">
        <v>606</v>
      </c>
      <c r="B276" s="187" t="s">
        <v>607</v>
      </c>
      <c r="C276" s="187">
        <v>11757</v>
      </c>
      <c r="D276" s="187">
        <v>0</v>
      </c>
      <c r="E276" s="187">
        <v>376</v>
      </c>
      <c r="F276" s="187">
        <v>1960</v>
      </c>
      <c r="G276" s="187">
        <v>726</v>
      </c>
      <c r="H276" s="187">
        <v>14819</v>
      </c>
      <c r="I276" s="187">
        <v>14093</v>
      </c>
      <c r="J276" s="187">
        <v>28</v>
      </c>
      <c r="K276" s="187">
        <v>96.12</v>
      </c>
      <c r="L276" s="187">
        <v>93.06</v>
      </c>
      <c r="M276" s="187">
        <v>6.34</v>
      </c>
      <c r="N276" s="187">
        <v>98.73</v>
      </c>
      <c r="O276" s="187">
        <v>9449</v>
      </c>
      <c r="P276" s="187">
        <v>95.07</v>
      </c>
      <c r="Q276" s="187">
        <v>91.7</v>
      </c>
      <c r="R276" s="187">
        <v>42.28</v>
      </c>
      <c r="S276" s="187">
        <v>137.15</v>
      </c>
      <c r="T276" s="187">
        <v>1906</v>
      </c>
      <c r="U276" s="187">
        <v>125.2</v>
      </c>
      <c r="V276" s="187">
        <v>1893</v>
      </c>
      <c r="W276" s="187">
        <v>215.08</v>
      </c>
      <c r="X276" s="187">
        <v>263</v>
      </c>
      <c r="Y276" s="187">
        <v>0</v>
      </c>
      <c r="Z276" s="187">
        <v>32</v>
      </c>
      <c r="AA276" s="187">
        <v>83</v>
      </c>
      <c r="AB276" s="187">
        <v>91</v>
      </c>
      <c r="AC276" s="187">
        <v>10</v>
      </c>
      <c r="AD276" s="187">
        <v>11753</v>
      </c>
      <c r="AE276" s="187">
        <v>112</v>
      </c>
      <c r="AF276" s="187">
        <v>133</v>
      </c>
      <c r="AG276" s="187">
        <v>245</v>
      </c>
      <c r="AH276" s="187"/>
      <c r="AI276" s="187"/>
      <c r="AJ276" s="187"/>
      <c r="AK276" s="187"/>
      <c r="AL276" s="187"/>
      <c r="AM276" s="187"/>
      <c r="AN276" s="187"/>
      <c r="AO276" s="187"/>
      <c r="AP276" s="187"/>
      <c r="AQ276" s="187"/>
      <c r="AR276" s="187"/>
      <c r="AS276" s="187"/>
      <c r="AT276" s="187"/>
      <c r="AU276" s="187"/>
      <c r="AV276" s="187"/>
      <c r="AW276" s="187"/>
      <c r="AX276" s="187"/>
      <c r="AY276" s="187"/>
      <c r="AZ276" s="187"/>
      <c r="BA276" s="187"/>
      <c r="BB276" s="187"/>
      <c r="BC276" s="187"/>
      <c r="BD276" s="187"/>
      <c r="BE276" s="187"/>
      <c r="BF276" s="187"/>
      <c r="BG276" s="187"/>
      <c r="BH276" s="187"/>
      <c r="BI276" s="187"/>
      <c r="BJ276" s="187"/>
      <c r="BK276" s="187"/>
      <c r="BL276" s="187"/>
      <c r="BM276" s="187"/>
      <c r="BN276" s="187"/>
      <c r="BO276" s="187"/>
      <c r="BP276" s="187"/>
      <c r="BQ276" s="187"/>
      <c r="BR276" s="187"/>
      <c r="BS276" s="187"/>
      <c r="BT276" s="187"/>
      <c r="BU276" s="187"/>
      <c r="BV276" s="187"/>
      <c r="BW276" s="187"/>
      <c r="BX276" s="187"/>
      <c r="BY276" s="187"/>
      <c r="BZ276" s="187"/>
      <c r="CA276" s="187"/>
      <c r="CB276" s="187"/>
      <c r="CC276" s="187"/>
      <c r="CD276" s="187"/>
      <c r="CE276" s="187"/>
      <c r="CF276" s="187"/>
      <c r="CG276" s="187"/>
      <c r="CH276" s="187"/>
      <c r="CI276" s="187"/>
      <c r="CJ276" s="187"/>
      <c r="CK276" s="187"/>
      <c r="CL276" s="187"/>
      <c r="CM276" s="187"/>
      <c r="CN276" s="187"/>
      <c r="CO276" s="187"/>
      <c r="CP276" s="187"/>
      <c r="CQ276" s="187"/>
      <c r="CR276" s="187"/>
      <c r="CS276" s="187"/>
      <c r="CT276" s="187"/>
      <c r="CU276" s="187"/>
      <c r="CV276" s="187"/>
      <c r="CW276" s="187"/>
      <c r="CX276" s="187"/>
      <c r="CY276" s="187"/>
      <c r="CZ276" s="187"/>
      <c r="DA276" s="187"/>
      <c r="DB276" s="187"/>
      <c r="DC276" s="187"/>
      <c r="DD276" s="187"/>
      <c r="DE276" s="187"/>
      <c r="DF276" s="187"/>
      <c r="DG276" s="187"/>
      <c r="DH276" s="187"/>
      <c r="DI276" s="187"/>
      <c r="DJ276" s="187"/>
      <c r="DK276" s="187"/>
      <c r="DL276" s="187"/>
      <c r="DM276" s="187"/>
      <c r="DN276" s="187"/>
      <c r="DO276" s="187"/>
      <c r="DP276" s="187"/>
      <c r="DQ276" s="187"/>
      <c r="DR276" s="187"/>
      <c r="DS276" s="187"/>
      <c r="DT276" s="187"/>
      <c r="DU276" s="187"/>
      <c r="DV276" s="187"/>
      <c r="DW276" s="187"/>
      <c r="DX276" s="187"/>
      <c r="DY276" s="187"/>
      <c r="DZ276" s="187"/>
      <c r="EA276" s="187"/>
      <c r="EB276" s="187"/>
      <c r="EC276" s="187"/>
      <c r="ED276" s="187"/>
      <c r="EE276" s="187"/>
      <c r="EF276" s="187"/>
      <c r="EG276" s="187"/>
      <c r="EH276" s="187"/>
      <c r="EI276" s="187"/>
      <c r="EJ276" s="187"/>
      <c r="EK276" s="187"/>
      <c r="EL276" s="187"/>
      <c r="EM276" s="187"/>
      <c r="EN276" s="187"/>
      <c r="EO276" s="187"/>
      <c r="EP276" s="187"/>
      <c r="EQ276" s="187"/>
      <c r="ER276" s="187"/>
      <c r="ES276" s="187"/>
      <c r="ET276" s="187"/>
      <c r="EU276" s="187"/>
      <c r="EV276" s="187"/>
      <c r="EW276" s="187"/>
      <c r="EX276" s="187"/>
      <c r="EY276" s="187"/>
      <c r="EZ276" s="187"/>
      <c r="FA276" s="187"/>
      <c r="FB276" s="187"/>
      <c r="FC276" s="187"/>
    </row>
    <row r="277" spans="1:159" ht="15" x14ac:dyDescent="0.25">
      <c r="A277" s="187" t="s">
        <v>608</v>
      </c>
      <c r="B277" s="187" t="s">
        <v>609</v>
      </c>
      <c r="C277" s="187">
        <v>2165</v>
      </c>
      <c r="D277" s="187">
        <v>0</v>
      </c>
      <c r="E277" s="187">
        <v>260</v>
      </c>
      <c r="F277" s="187">
        <v>553</v>
      </c>
      <c r="G277" s="187">
        <v>217</v>
      </c>
      <c r="H277" s="187">
        <v>3195</v>
      </c>
      <c r="I277" s="187">
        <v>2978</v>
      </c>
      <c r="J277" s="187">
        <v>11</v>
      </c>
      <c r="K277" s="187">
        <v>106.3</v>
      </c>
      <c r="L277" s="187">
        <v>103.94</v>
      </c>
      <c r="M277" s="187">
        <v>4.5599999999999996</v>
      </c>
      <c r="N277" s="187">
        <v>110.1</v>
      </c>
      <c r="O277" s="187">
        <v>1734</v>
      </c>
      <c r="P277" s="187">
        <v>99.23</v>
      </c>
      <c r="Q277" s="187">
        <v>87.36</v>
      </c>
      <c r="R277" s="187">
        <v>40.07</v>
      </c>
      <c r="S277" s="187">
        <v>137.54</v>
      </c>
      <c r="T277" s="187">
        <v>774</v>
      </c>
      <c r="U277" s="187">
        <v>142.21</v>
      </c>
      <c r="V277" s="187">
        <v>382</v>
      </c>
      <c r="W277" s="187">
        <v>0</v>
      </c>
      <c r="X277" s="187">
        <v>0</v>
      </c>
      <c r="Y277" s="187">
        <v>1</v>
      </c>
      <c r="Z277" s="187">
        <v>0</v>
      </c>
      <c r="AA277" s="187">
        <v>3</v>
      </c>
      <c r="AB277" s="187">
        <v>19</v>
      </c>
      <c r="AC277" s="187">
        <v>6</v>
      </c>
      <c r="AD277" s="187">
        <v>2164</v>
      </c>
      <c r="AE277" s="187">
        <v>32</v>
      </c>
      <c r="AF277" s="187">
        <v>30</v>
      </c>
      <c r="AG277" s="187">
        <v>62</v>
      </c>
      <c r="AH277" s="187"/>
      <c r="AI277" s="187"/>
      <c r="AJ277" s="187"/>
      <c r="AK277" s="187"/>
      <c r="AL277" s="187"/>
      <c r="AM277" s="187"/>
      <c r="AN277" s="187"/>
      <c r="AO277" s="187"/>
      <c r="AP277" s="187"/>
      <c r="AQ277" s="187"/>
      <c r="AR277" s="187"/>
      <c r="AS277" s="187"/>
      <c r="AT277" s="187"/>
      <c r="AU277" s="187"/>
      <c r="AV277" s="187"/>
      <c r="AW277" s="187"/>
      <c r="AX277" s="187"/>
      <c r="AY277" s="187"/>
      <c r="AZ277" s="187"/>
      <c r="BA277" s="187"/>
      <c r="BB277" s="187"/>
      <c r="BC277" s="187"/>
      <c r="BD277" s="187"/>
      <c r="BE277" s="187"/>
      <c r="BF277" s="187"/>
      <c r="BG277" s="187"/>
      <c r="BH277" s="187"/>
      <c r="BI277" s="187"/>
      <c r="BJ277" s="187"/>
      <c r="BK277" s="187"/>
      <c r="BL277" s="187"/>
      <c r="BM277" s="187"/>
      <c r="BN277" s="187"/>
      <c r="BO277" s="187"/>
      <c r="BP277" s="187"/>
      <c r="BQ277" s="187"/>
      <c r="BR277" s="187"/>
      <c r="BS277" s="187"/>
      <c r="BT277" s="187"/>
      <c r="BU277" s="187"/>
      <c r="BV277" s="187"/>
      <c r="BW277" s="187"/>
      <c r="BX277" s="187"/>
      <c r="BY277" s="187"/>
      <c r="BZ277" s="187"/>
      <c r="CA277" s="187"/>
      <c r="CB277" s="187"/>
      <c r="CC277" s="187"/>
      <c r="CD277" s="187"/>
      <c r="CE277" s="187"/>
      <c r="CF277" s="187"/>
      <c r="CG277" s="187"/>
      <c r="CH277" s="187"/>
      <c r="CI277" s="187"/>
      <c r="CJ277" s="187"/>
      <c r="CK277" s="187"/>
      <c r="CL277" s="187"/>
      <c r="CM277" s="187"/>
      <c r="CN277" s="187"/>
      <c r="CO277" s="187"/>
      <c r="CP277" s="187"/>
      <c r="CQ277" s="187"/>
      <c r="CR277" s="187"/>
      <c r="CS277" s="187"/>
      <c r="CT277" s="187"/>
      <c r="CU277" s="187"/>
      <c r="CV277" s="187"/>
      <c r="CW277" s="187"/>
      <c r="CX277" s="187"/>
      <c r="CY277" s="187"/>
      <c r="CZ277" s="187"/>
      <c r="DA277" s="187"/>
      <c r="DB277" s="187"/>
      <c r="DC277" s="187"/>
      <c r="DD277" s="187"/>
      <c r="DE277" s="187"/>
      <c r="DF277" s="187"/>
      <c r="DG277" s="187"/>
      <c r="DH277" s="187"/>
      <c r="DI277" s="187"/>
      <c r="DJ277" s="187"/>
      <c r="DK277" s="187"/>
      <c r="DL277" s="187"/>
      <c r="DM277" s="187"/>
      <c r="DN277" s="187"/>
      <c r="DO277" s="187"/>
      <c r="DP277" s="187"/>
      <c r="DQ277" s="187"/>
      <c r="DR277" s="187"/>
      <c r="DS277" s="187"/>
      <c r="DT277" s="187"/>
      <c r="DU277" s="187"/>
      <c r="DV277" s="187"/>
      <c r="DW277" s="187"/>
      <c r="DX277" s="187"/>
      <c r="DY277" s="187"/>
      <c r="DZ277" s="187"/>
      <c r="EA277" s="187"/>
      <c r="EB277" s="187"/>
      <c r="EC277" s="187"/>
      <c r="ED277" s="187"/>
      <c r="EE277" s="187"/>
      <c r="EF277" s="187"/>
      <c r="EG277" s="187"/>
      <c r="EH277" s="187"/>
      <c r="EI277" s="187"/>
      <c r="EJ277" s="187"/>
      <c r="EK277" s="187"/>
      <c r="EL277" s="187"/>
      <c r="EM277" s="187"/>
      <c r="EN277" s="187"/>
      <c r="EO277" s="187"/>
      <c r="EP277" s="187"/>
      <c r="EQ277" s="187"/>
      <c r="ER277" s="187"/>
      <c r="ES277" s="187"/>
      <c r="ET277" s="187"/>
      <c r="EU277" s="187"/>
      <c r="EV277" s="187"/>
      <c r="EW277" s="187"/>
      <c r="EX277" s="187"/>
      <c r="EY277" s="187"/>
      <c r="EZ277" s="187"/>
      <c r="FA277" s="187"/>
      <c r="FB277" s="187"/>
      <c r="FC277" s="187"/>
    </row>
    <row r="278" spans="1:159" ht="15" x14ac:dyDescent="0.25">
      <c r="A278" s="187" t="s">
        <v>610</v>
      </c>
      <c r="B278" s="187" t="s">
        <v>611</v>
      </c>
      <c r="C278" s="187">
        <v>7770</v>
      </c>
      <c r="D278" s="187">
        <v>0</v>
      </c>
      <c r="E278" s="187">
        <v>363</v>
      </c>
      <c r="F278" s="187">
        <v>368</v>
      </c>
      <c r="G278" s="187">
        <v>1123</v>
      </c>
      <c r="H278" s="187">
        <v>9624</v>
      </c>
      <c r="I278" s="187">
        <v>8501</v>
      </c>
      <c r="J278" s="187">
        <v>6</v>
      </c>
      <c r="K278" s="187">
        <v>114.93</v>
      </c>
      <c r="L278" s="187">
        <v>112.93</v>
      </c>
      <c r="M278" s="187">
        <v>4.97</v>
      </c>
      <c r="N278" s="187">
        <v>119.02</v>
      </c>
      <c r="O278" s="187">
        <v>6249</v>
      </c>
      <c r="P278" s="187">
        <v>101.49</v>
      </c>
      <c r="Q278" s="187">
        <v>95.38</v>
      </c>
      <c r="R278" s="187">
        <v>42.86</v>
      </c>
      <c r="S278" s="187">
        <v>143.72999999999999</v>
      </c>
      <c r="T278" s="187">
        <v>557</v>
      </c>
      <c r="U278" s="187">
        <v>162.61000000000001</v>
      </c>
      <c r="V278" s="187">
        <v>1284</v>
      </c>
      <c r="W278" s="187">
        <v>273.14</v>
      </c>
      <c r="X278" s="187">
        <v>43</v>
      </c>
      <c r="Y278" s="187">
        <v>0</v>
      </c>
      <c r="Z278" s="187">
        <v>12</v>
      </c>
      <c r="AA278" s="187">
        <v>8</v>
      </c>
      <c r="AB278" s="187">
        <v>25</v>
      </c>
      <c r="AC278" s="187">
        <v>29</v>
      </c>
      <c r="AD278" s="187">
        <v>7612</v>
      </c>
      <c r="AE278" s="187">
        <v>30</v>
      </c>
      <c r="AF278" s="187">
        <v>53</v>
      </c>
      <c r="AG278" s="187">
        <v>83</v>
      </c>
      <c r="AH278" s="187"/>
      <c r="AI278" s="187"/>
      <c r="AJ278" s="187"/>
      <c r="AK278" s="187"/>
      <c r="AL278" s="187"/>
      <c r="AM278" s="187"/>
      <c r="AN278" s="187"/>
      <c r="AO278" s="187"/>
      <c r="AP278" s="187"/>
      <c r="AQ278" s="187"/>
      <c r="AR278" s="187"/>
      <c r="AS278" s="187"/>
      <c r="AT278" s="187"/>
      <c r="AU278" s="187"/>
      <c r="AV278" s="187"/>
      <c r="AW278" s="187"/>
      <c r="AX278" s="187"/>
      <c r="AY278" s="187"/>
      <c r="AZ278" s="187"/>
      <c r="BA278" s="187"/>
      <c r="BB278" s="187"/>
      <c r="BC278" s="187"/>
      <c r="BD278" s="187"/>
      <c r="BE278" s="187"/>
      <c r="BF278" s="187"/>
      <c r="BG278" s="187"/>
      <c r="BH278" s="187"/>
      <c r="BI278" s="187"/>
      <c r="BJ278" s="187"/>
      <c r="BK278" s="187"/>
      <c r="BL278" s="187"/>
      <c r="BM278" s="187"/>
      <c r="BN278" s="187"/>
      <c r="BO278" s="187"/>
      <c r="BP278" s="187"/>
      <c r="BQ278" s="187"/>
      <c r="BR278" s="187"/>
      <c r="BS278" s="187"/>
      <c r="BT278" s="187"/>
      <c r="BU278" s="187"/>
      <c r="BV278" s="187"/>
      <c r="BW278" s="187"/>
      <c r="BX278" s="187"/>
      <c r="BY278" s="187"/>
      <c r="BZ278" s="187"/>
      <c r="CA278" s="187"/>
      <c r="CB278" s="187"/>
      <c r="CC278" s="187"/>
      <c r="CD278" s="187"/>
      <c r="CE278" s="187"/>
      <c r="CF278" s="187"/>
      <c r="CG278" s="187"/>
      <c r="CH278" s="187"/>
      <c r="CI278" s="187"/>
      <c r="CJ278" s="187"/>
      <c r="CK278" s="187"/>
      <c r="CL278" s="187"/>
      <c r="CM278" s="187"/>
      <c r="CN278" s="187"/>
      <c r="CO278" s="187"/>
      <c r="CP278" s="187"/>
      <c r="CQ278" s="187"/>
      <c r="CR278" s="187"/>
      <c r="CS278" s="187"/>
      <c r="CT278" s="187"/>
      <c r="CU278" s="187"/>
      <c r="CV278" s="187"/>
      <c r="CW278" s="187"/>
      <c r="CX278" s="187"/>
      <c r="CY278" s="187"/>
      <c r="CZ278" s="187"/>
      <c r="DA278" s="187"/>
      <c r="DB278" s="187"/>
      <c r="DC278" s="187"/>
      <c r="DD278" s="187"/>
      <c r="DE278" s="187"/>
      <c r="DF278" s="187"/>
      <c r="DG278" s="187"/>
      <c r="DH278" s="187"/>
      <c r="DI278" s="187"/>
      <c r="DJ278" s="187"/>
      <c r="DK278" s="187"/>
      <c r="DL278" s="187"/>
      <c r="DM278" s="187"/>
      <c r="DN278" s="187"/>
      <c r="DO278" s="187"/>
      <c r="DP278" s="187"/>
      <c r="DQ278" s="187"/>
      <c r="DR278" s="187"/>
      <c r="DS278" s="187"/>
      <c r="DT278" s="187"/>
      <c r="DU278" s="187"/>
      <c r="DV278" s="187"/>
      <c r="DW278" s="187"/>
      <c r="DX278" s="187"/>
      <c r="DY278" s="187"/>
      <c r="DZ278" s="187"/>
      <c r="EA278" s="187"/>
      <c r="EB278" s="187"/>
      <c r="EC278" s="187"/>
      <c r="ED278" s="187"/>
      <c r="EE278" s="187"/>
      <c r="EF278" s="187"/>
      <c r="EG278" s="187"/>
      <c r="EH278" s="187"/>
      <c r="EI278" s="187"/>
      <c r="EJ278" s="187"/>
      <c r="EK278" s="187"/>
      <c r="EL278" s="187"/>
      <c r="EM278" s="187"/>
      <c r="EN278" s="187"/>
      <c r="EO278" s="187"/>
      <c r="EP278" s="187"/>
      <c r="EQ278" s="187"/>
      <c r="ER278" s="187"/>
      <c r="ES278" s="187"/>
      <c r="ET278" s="187"/>
      <c r="EU278" s="187"/>
      <c r="EV278" s="187"/>
      <c r="EW278" s="187"/>
      <c r="EX278" s="187"/>
      <c r="EY278" s="187"/>
      <c r="EZ278" s="187"/>
      <c r="FA278" s="187"/>
      <c r="FB278" s="187"/>
      <c r="FC278" s="187"/>
    </row>
    <row r="279" spans="1:159" ht="15" x14ac:dyDescent="0.25">
      <c r="A279" s="187" t="s">
        <v>612</v>
      </c>
      <c r="B279" s="187" t="s">
        <v>613</v>
      </c>
      <c r="C279" s="187">
        <v>5046</v>
      </c>
      <c r="D279" s="187">
        <v>0</v>
      </c>
      <c r="E279" s="187">
        <v>77</v>
      </c>
      <c r="F279" s="187">
        <v>558</v>
      </c>
      <c r="G279" s="187">
        <v>1144</v>
      </c>
      <c r="H279" s="187">
        <v>6825</v>
      </c>
      <c r="I279" s="187">
        <v>5681</v>
      </c>
      <c r="J279" s="187">
        <v>20</v>
      </c>
      <c r="K279" s="187">
        <v>102.27</v>
      </c>
      <c r="L279" s="187">
        <v>98.5</v>
      </c>
      <c r="M279" s="187">
        <v>5.79</v>
      </c>
      <c r="N279" s="187">
        <v>105.45</v>
      </c>
      <c r="O279" s="187">
        <v>3903</v>
      </c>
      <c r="P279" s="187">
        <v>94.53</v>
      </c>
      <c r="Q279" s="187">
        <v>86.41</v>
      </c>
      <c r="R279" s="187">
        <v>44.33</v>
      </c>
      <c r="S279" s="187">
        <v>138.15</v>
      </c>
      <c r="T279" s="187">
        <v>623</v>
      </c>
      <c r="U279" s="187">
        <v>145.22999999999999</v>
      </c>
      <c r="V279" s="187">
        <v>1133</v>
      </c>
      <c r="W279" s="187">
        <v>225.07</v>
      </c>
      <c r="X279" s="187">
        <v>4</v>
      </c>
      <c r="Y279" s="187">
        <v>0</v>
      </c>
      <c r="Z279" s="187">
        <v>4</v>
      </c>
      <c r="AA279" s="187">
        <v>6</v>
      </c>
      <c r="AB279" s="187">
        <v>153</v>
      </c>
      <c r="AC279" s="187">
        <v>17</v>
      </c>
      <c r="AD279" s="187">
        <v>5040</v>
      </c>
      <c r="AE279" s="187">
        <v>31</v>
      </c>
      <c r="AF279" s="187">
        <v>45</v>
      </c>
      <c r="AG279" s="187">
        <v>76</v>
      </c>
      <c r="AH279" s="187"/>
      <c r="AI279" s="187"/>
      <c r="AJ279" s="187"/>
      <c r="AK279" s="187"/>
      <c r="AL279" s="187"/>
      <c r="AM279" s="187"/>
      <c r="AN279" s="187"/>
      <c r="AO279" s="187"/>
      <c r="AP279" s="187"/>
      <c r="AQ279" s="187"/>
      <c r="AR279" s="187"/>
      <c r="AS279" s="187"/>
      <c r="AT279" s="187"/>
      <c r="AU279" s="187"/>
      <c r="AV279" s="187"/>
      <c r="AW279" s="187"/>
      <c r="AX279" s="187"/>
      <c r="AY279" s="187"/>
      <c r="AZ279" s="187"/>
      <c r="BA279" s="187"/>
      <c r="BB279" s="187"/>
      <c r="BC279" s="187"/>
      <c r="BD279" s="187"/>
      <c r="BE279" s="187"/>
      <c r="BF279" s="187"/>
      <c r="BG279" s="187"/>
      <c r="BH279" s="187"/>
      <c r="BI279" s="187"/>
      <c r="BJ279" s="187"/>
      <c r="BK279" s="187"/>
      <c r="BL279" s="187"/>
      <c r="BM279" s="187"/>
      <c r="BN279" s="187"/>
      <c r="BO279" s="187"/>
      <c r="BP279" s="187"/>
      <c r="BQ279" s="187"/>
      <c r="BR279" s="187"/>
      <c r="BS279" s="187"/>
      <c r="BT279" s="187"/>
      <c r="BU279" s="187"/>
      <c r="BV279" s="187"/>
      <c r="BW279" s="187"/>
      <c r="BX279" s="187"/>
      <c r="BY279" s="187"/>
      <c r="BZ279" s="187"/>
      <c r="CA279" s="187"/>
      <c r="CB279" s="187"/>
      <c r="CC279" s="187"/>
      <c r="CD279" s="187"/>
      <c r="CE279" s="187"/>
      <c r="CF279" s="187"/>
      <c r="CG279" s="187"/>
      <c r="CH279" s="187"/>
      <c r="CI279" s="187"/>
      <c r="CJ279" s="187"/>
      <c r="CK279" s="187"/>
      <c r="CL279" s="187"/>
      <c r="CM279" s="187"/>
      <c r="CN279" s="187"/>
      <c r="CO279" s="187"/>
      <c r="CP279" s="187"/>
      <c r="CQ279" s="187"/>
      <c r="CR279" s="187"/>
      <c r="CS279" s="187"/>
      <c r="CT279" s="187"/>
      <c r="CU279" s="187"/>
      <c r="CV279" s="187"/>
      <c r="CW279" s="187"/>
      <c r="CX279" s="187"/>
      <c r="CY279" s="187"/>
      <c r="CZ279" s="187"/>
      <c r="DA279" s="187"/>
      <c r="DB279" s="187"/>
      <c r="DC279" s="187"/>
      <c r="DD279" s="187"/>
      <c r="DE279" s="187"/>
      <c r="DF279" s="187"/>
      <c r="DG279" s="187"/>
      <c r="DH279" s="187"/>
      <c r="DI279" s="187"/>
      <c r="DJ279" s="187"/>
      <c r="DK279" s="187"/>
      <c r="DL279" s="187"/>
      <c r="DM279" s="187"/>
      <c r="DN279" s="187"/>
      <c r="DO279" s="187"/>
      <c r="DP279" s="187"/>
      <c r="DQ279" s="187"/>
      <c r="DR279" s="187"/>
      <c r="DS279" s="187"/>
      <c r="DT279" s="187"/>
      <c r="DU279" s="187"/>
      <c r="DV279" s="187"/>
      <c r="DW279" s="187"/>
      <c r="DX279" s="187"/>
      <c r="DY279" s="187"/>
      <c r="DZ279" s="187"/>
      <c r="EA279" s="187"/>
      <c r="EB279" s="187"/>
      <c r="EC279" s="187"/>
      <c r="ED279" s="187"/>
      <c r="EE279" s="187"/>
      <c r="EF279" s="187"/>
      <c r="EG279" s="187"/>
      <c r="EH279" s="187"/>
      <c r="EI279" s="187"/>
      <c r="EJ279" s="187"/>
      <c r="EK279" s="187"/>
      <c r="EL279" s="187"/>
      <c r="EM279" s="187"/>
      <c r="EN279" s="187"/>
      <c r="EO279" s="187"/>
      <c r="EP279" s="187"/>
      <c r="EQ279" s="187"/>
      <c r="ER279" s="187"/>
      <c r="ES279" s="187"/>
      <c r="ET279" s="187"/>
      <c r="EU279" s="187"/>
      <c r="EV279" s="187"/>
      <c r="EW279" s="187"/>
      <c r="EX279" s="187"/>
      <c r="EY279" s="187"/>
      <c r="EZ279" s="187"/>
      <c r="FA279" s="187"/>
      <c r="FB279" s="187"/>
      <c r="FC279" s="187"/>
    </row>
    <row r="280" spans="1:159" ht="15" x14ac:dyDescent="0.25">
      <c r="A280" s="187" t="s">
        <v>614</v>
      </c>
      <c r="B280" s="187" t="s">
        <v>615</v>
      </c>
      <c r="C280" s="187">
        <v>3960</v>
      </c>
      <c r="D280" s="187">
        <v>0</v>
      </c>
      <c r="E280" s="187">
        <v>126</v>
      </c>
      <c r="F280" s="187">
        <v>691</v>
      </c>
      <c r="G280" s="187">
        <v>375</v>
      </c>
      <c r="H280" s="187">
        <v>5152</v>
      </c>
      <c r="I280" s="187">
        <v>4777</v>
      </c>
      <c r="J280" s="187">
        <v>21</v>
      </c>
      <c r="K280" s="187">
        <v>98.71</v>
      </c>
      <c r="L280" s="187">
        <v>95.62</v>
      </c>
      <c r="M280" s="187">
        <v>8.7799999999999994</v>
      </c>
      <c r="N280" s="187">
        <v>105.05</v>
      </c>
      <c r="O280" s="187">
        <v>3555</v>
      </c>
      <c r="P280" s="187">
        <v>101.35</v>
      </c>
      <c r="Q280" s="187">
        <v>83.73</v>
      </c>
      <c r="R280" s="187">
        <v>62.03</v>
      </c>
      <c r="S280" s="187">
        <v>160.21</v>
      </c>
      <c r="T280" s="187">
        <v>765</v>
      </c>
      <c r="U280" s="187">
        <v>132.05000000000001</v>
      </c>
      <c r="V280" s="187">
        <v>369</v>
      </c>
      <c r="W280" s="187">
        <v>0</v>
      </c>
      <c r="X280" s="187">
        <v>0</v>
      </c>
      <c r="Y280" s="187">
        <v>24</v>
      </c>
      <c r="Z280" s="187">
        <v>1</v>
      </c>
      <c r="AA280" s="187">
        <v>13</v>
      </c>
      <c r="AB280" s="187">
        <v>146</v>
      </c>
      <c r="AC280" s="187">
        <v>0</v>
      </c>
      <c r="AD280" s="187">
        <v>3959</v>
      </c>
      <c r="AE280" s="187">
        <v>32</v>
      </c>
      <c r="AF280" s="187">
        <v>43</v>
      </c>
      <c r="AG280" s="187">
        <v>75</v>
      </c>
      <c r="AH280" s="187"/>
      <c r="AI280" s="187"/>
      <c r="AJ280" s="187"/>
      <c r="AK280" s="187"/>
      <c r="AL280" s="187"/>
      <c r="AM280" s="187"/>
      <c r="AN280" s="187"/>
      <c r="AO280" s="187"/>
      <c r="AP280" s="187"/>
      <c r="AQ280" s="187"/>
      <c r="AR280" s="187"/>
      <c r="AS280" s="187"/>
      <c r="AT280" s="187"/>
      <c r="AU280" s="187"/>
      <c r="AV280" s="187"/>
      <c r="AW280" s="187"/>
      <c r="AX280" s="187"/>
      <c r="AY280" s="187"/>
      <c r="AZ280" s="187"/>
      <c r="BA280" s="187"/>
      <c r="BB280" s="187"/>
      <c r="BC280" s="187"/>
      <c r="BD280" s="187"/>
      <c r="BE280" s="187"/>
      <c r="BF280" s="187"/>
      <c r="BG280" s="187"/>
      <c r="BH280" s="187"/>
      <c r="BI280" s="187"/>
      <c r="BJ280" s="187"/>
      <c r="BK280" s="187"/>
      <c r="BL280" s="187"/>
      <c r="BM280" s="187"/>
      <c r="BN280" s="187"/>
      <c r="BO280" s="187"/>
      <c r="BP280" s="187"/>
      <c r="BQ280" s="187"/>
      <c r="BR280" s="187"/>
      <c r="BS280" s="187"/>
      <c r="BT280" s="187"/>
      <c r="BU280" s="187"/>
      <c r="BV280" s="187"/>
      <c r="BW280" s="187"/>
      <c r="BX280" s="187"/>
      <c r="BY280" s="187"/>
      <c r="BZ280" s="187"/>
      <c r="CA280" s="187"/>
      <c r="CB280" s="187"/>
      <c r="CC280" s="187"/>
      <c r="CD280" s="187"/>
      <c r="CE280" s="187"/>
      <c r="CF280" s="187"/>
      <c r="CG280" s="187"/>
      <c r="CH280" s="187"/>
      <c r="CI280" s="187"/>
      <c r="CJ280" s="187"/>
      <c r="CK280" s="187"/>
      <c r="CL280" s="187"/>
      <c r="CM280" s="187"/>
      <c r="CN280" s="187"/>
      <c r="CO280" s="187"/>
      <c r="CP280" s="187"/>
      <c r="CQ280" s="187"/>
      <c r="CR280" s="187"/>
      <c r="CS280" s="187"/>
      <c r="CT280" s="187"/>
      <c r="CU280" s="187"/>
      <c r="CV280" s="187"/>
      <c r="CW280" s="187"/>
      <c r="CX280" s="187"/>
      <c r="CY280" s="187"/>
      <c r="CZ280" s="187"/>
      <c r="DA280" s="187"/>
      <c r="DB280" s="187"/>
      <c r="DC280" s="187"/>
      <c r="DD280" s="187"/>
      <c r="DE280" s="187"/>
      <c r="DF280" s="187"/>
      <c r="DG280" s="187"/>
      <c r="DH280" s="187"/>
      <c r="DI280" s="187"/>
      <c r="DJ280" s="187"/>
      <c r="DK280" s="187"/>
      <c r="DL280" s="187"/>
      <c r="DM280" s="187"/>
      <c r="DN280" s="187"/>
      <c r="DO280" s="187"/>
      <c r="DP280" s="187"/>
      <c r="DQ280" s="187"/>
      <c r="DR280" s="187"/>
      <c r="DS280" s="187"/>
      <c r="DT280" s="187"/>
      <c r="DU280" s="187"/>
      <c r="DV280" s="187"/>
      <c r="DW280" s="187"/>
      <c r="DX280" s="187"/>
      <c r="DY280" s="187"/>
      <c r="DZ280" s="187"/>
      <c r="EA280" s="187"/>
      <c r="EB280" s="187"/>
      <c r="EC280" s="187"/>
      <c r="ED280" s="187"/>
      <c r="EE280" s="187"/>
      <c r="EF280" s="187"/>
      <c r="EG280" s="187"/>
      <c r="EH280" s="187"/>
      <c r="EI280" s="187"/>
      <c r="EJ280" s="187"/>
      <c r="EK280" s="187"/>
      <c r="EL280" s="187"/>
      <c r="EM280" s="187"/>
      <c r="EN280" s="187"/>
      <c r="EO280" s="187"/>
      <c r="EP280" s="187"/>
      <c r="EQ280" s="187"/>
      <c r="ER280" s="187"/>
      <c r="ES280" s="187"/>
      <c r="ET280" s="187"/>
      <c r="EU280" s="187"/>
      <c r="EV280" s="187"/>
      <c r="EW280" s="187"/>
      <c r="EX280" s="187"/>
      <c r="EY280" s="187"/>
      <c r="EZ280" s="187"/>
      <c r="FA280" s="187"/>
      <c r="FB280" s="187"/>
      <c r="FC280" s="187"/>
    </row>
    <row r="281" spans="1:159" ht="15" x14ac:dyDescent="0.25">
      <c r="A281" s="187" t="s">
        <v>616</v>
      </c>
      <c r="B281" s="187" t="s">
        <v>617</v>
      </c>
      <c r="C281" s="187">
        <v>4521</v>
      </c>
      <c r="D281" s="187">
        <v>21</v>
      </c>
      <c r="E281" s="187">
        <v>61</v>
      </c>
      <c r="F281" s="187">
        <v>859</v>
      </c>
      <c r="G281" s="187">
        <v>292</v>
      </c>
      <c r="H281" s="187">
        <v>5754</v>
      </c>
      <c r="I281" s="187">
        <v>5462</v>
      </c>
      <c r="J281" s="187">
        <v>14</v>
      </c>
      <c r="K281" s="187">
        <v>121.48</v>
      </c>
      <c r="L281" s="187">
        <v>127.98</v>
      </c>
      <c r="M281" s="187">
        <v>7.54</v>
      </c>
      <c r="N281" s="187">
        <v>124.8</v>
      </c>
      <c r="O281" s="187">
        <v>4211</v>
      </c>
      <c r="P281" s="187">
        <v>108.66</v>
      </c>
      <c r="Q281" s="187">
        <v>103.4</v>
      </c>
      <c r="R281" s="187">
        <v>22.72</v>
      </c>
      <c r="S281" s="187">
        <v>129.35</v>
      </c>
      <c r="T281" s="187">
        <v>872</v>
      </c>
      <c r="U281" s="187">
        <v>179.5</v>
      </c>
      <c r="V281" s="187">
        <v>225</v>
      </c>
      <c r="W281" s="187">
        <v>194.15</v>
      </c>
      <c r="X281" s="187">
        <v>4</v>
      </c>
      <c r="Y281" s="187">
        <v>0</v>
      </c>
      <c r="Z281" s="187">
        <v>12</v>
      </c>
      <c r="AA281" s="187">
        <v>4</v>
      </c>
      <c r="AB281" s="187">
        <v>60</v>
      </c>
      <c r="AC281" s="187">
        <v>6</v>
      </c>
      <c r="AD281" s="187">
        <v>4521</v>
      </c>
      <c r="AE281" s="187">
        <v>24</v>
      </c>
      <c r="AF281" s="187">
        <v>45</v>
      </c>
      <c r="AG281" s="187">
        <v>69</v>
      </c>
      <c r="AH281" s="187"/>
      <c r="AI281" s="187"/>
      <c r="AJ281" s="187"/>
      <c r="AK281" s="187"/>
      <c r="AL281" s="187"/>
      <c r="AM281" s="187"/>
      <c r="AN281" s="187"/>
      <c r="AO281" s="187"/>
      <c r="AP281" s="187"/>
      <c r="AQ281" s="187"/>
      <c r="AR281" s="187"/>
      <c r="AS281" s="187"/>
      <c r="AT281" s="187"/>
      <c r="AU281" s="187"/>
      <c r="AV281" s="187"/>
      <c r="AW281" s="187"/>
      <c r="AX281" s="187"/>
      <c r="AY281" s="187"/>
      <c r="AZ281" s="187"/>
      <c r="BA281" s="187"/>
      <c r="BB281" s="187"/>
      <c r="BC281" s="187"/>
      <c r="BD281" s="187"/>
      <c r="BE281" s="187"/>
      <c r="BF281" s="187"/>
      <c r="BG281" s="187"/>
      <c r="BH281" s="187"/>
      <c r="BI281" s="187"/>
      <c r="BJ281" s="187"/>
      <c r="BK281" s="187"/>
      <c r="BL281" s="187"/>
      <c r="BM281" s="187"/>
      <c r="BN281" s="187"/>
      <c r="BO281" s="187"/>
      <c r="BP281" s="187"/>
      <c r="BQ281" s="187"/>
      <c r="BR281" s="187"/>
      <c r="BS281" s="187"/>
      <c r="BT281" s="187"/>
      <c r="BU281" s="187"/>
      <c r="BV281" s="187"/>
      <c r="BW281" s="187"/>
      <c r="BX281" s="187"/>
      <c r="BY281" s="187"/>
      <c r="BZ281" s="187"/>
      <c r="CA281" s="187"/>
      <c r="CB281" s="187"/>
      <c r="CC281" s="187"/>
      <c r="CD281" s="187"/>
      <c r="CE281" s="187"/>
      <c r="CF281" s="187"/>
      <c r="CG281" s="187"/>
      <c r="CH281" s="187"/>
      <c r="CI281" s="187"/>
      <c r="CJ281" s="187"/>
      <c r="CK281" s="187"/>
      <c r="CL281" s="187"/>
      <c r="CM281" s="187"/>
      <c r="CN281" s="187"/>
      <c r="CO281" s="187"/>
      <c r="CP281" s="187"/>
      <c r="CQ281" s="187"/>
      <c r="CR281" s="187"/>
      <c r="CS281" s="187"/>
      <c r="CT281" s="187"/>
      <c r="CU281" s="187"/>
      <c r="CV281" s="187"/>
      <c r="CW281" s="187"/>
      <c r="CX281" s="187"/>
      <c r="CY281" s="187"/>
      <c r="CZ281" s="187"/>
      <c r="DA281" s="187"/>
      <c r="DB281" s="187"/>
      <c r="DC281" s="187"/>
      <c r="DD281" s="187"/>
      <c r="DE281" s="187"/>
      <c r="DF281" s="187"/>
      <c r="DG281" s="187"/>
      <c r="DH281" s="187"/>
      <c r="DI281" s="187"/>
      <c r="DJ281" s="187"/>
      <c r="DK281" s="187"/>
      <c r="DL281" s="187"/>
      <c r="DM281" s="187"/>
      <c r="DN281" s="187"/>
      <c r="DO281" s="187"/>
      <c r="DP281" s="187"/>
      <c r="DQ281" s="187"/>
      <c r="DR281" s="187"/>
      <c r="DS281" s="187"/>
      <c r="DT281" s="187"/>
      <c r="DU281" s="187"/>
      <c r="DV281" s="187"/>
      <c r="DW281" s="187"/>
      <c r="DX281" s="187"/>
      <c r="DY281" s="187"/>
      <c r="DZ281" s="187"/>
      <c r="EA281" s="187"/>
      <c r="EB281" s="187"/>
      <c r="EC281" s="187"/>
      <c r="ED281" s="187"/>
      <c r="EE281" s="187"/>
      <c r="EF281" s="187"/>
      <c r="EG281" s="187"/>
      <c r="EH281" s="187"/>
      <c r="EI281" s="187"/>
      <c r="EJ281" s="187"/>
      <c r="EK281" s="187"/>
      <c r="EL281" s="187"/>
      <c r="EM281" s="187"/>
      <c r="EN281" s="187"/>
      <c r="EO281" s="187"/>
      <c r="EP281" s="187"/>
      <c r="EQ281" s="187"/>
      <c r="ER281" s="187"/>
      <c r="ES281" s="187"/>
      <c r="ET281" s="187"/>
      <c r="EU281" s="187"/>
      <c r="EV281" s="187"/>
      <c r="EW281" s="187"/>
      <c r="EX281" s="187"/>
      <c r="EY281" s="187"/>
      <c r="EZ281" s="187"/>
      <c r="FA281" s="187"/>
      <c r="FB281" s="187"/>
      <c r="FC281" s="187"/>
    </row>
    <row r="282" spans="1:159" ht="15" x14ac:dyDescent="0.25">
      <c r="A282" s="187" t="s">
        <v>618</v>
      </c>
      <c r="B282" s="187" t="s">
        <v>619</v>
      </c>
      <c r="C282" s="187">
        <v>1949</v>
      </c>
      <c r="D282" s="187">
        <v>0</v>
      </c>
      <c r="E282" s="187">
        <v>126</v>
      </c>
      <c r="F282" s="187">
        <v>93</v>
      </c>
      <c r="G282" s="187">
        <v>449</v>
      </c>
      <c r="H282" s="187">
        <v>2617</v>
      </c>
      <c r="I282" s="187">
        <v>2168</v>
      </c>
      <c r="J282" s="187">
        <v>21</v>
      </c>
      <c r="K282" s="187">
        <v>109.95</v>
      </c>
      <c r="L282" s="187">
        <v>110.47</v>
      </c>
      <c r="M282" s="187">
        <v>8.68</v>
      </c>
      <c r="N282" s="187">
        <v>115.66</v>
      </c>
      <c r="O282" s="187">
        <v>1190</v>
      </c>
      <c r="P282" s="187">
        <v>118.96</v>
      </c>
      <c r="Q282" s="187">
        <v>112.3</v>
      </c>
      <c r="R282" s="187">
        <v>107.67</v>
      </c>
      <c r="S282" s="187">
        <v>217.8</v>
      </c>
      <c r="T282" s="187">
        <v>183</v>
      </c>
      <c r="U282" s="187">
        <v>171.66</v>
      </c>
      <c r="V282" s="187">
        <v>610</v>
      </c>
      <c r="W282" s="187">
        <v>177.46</v>
      </c>
      <c r="X282" s="187">
        <v>4</v>
      </c>
      <c r="Y282" s="187">
        <v>0</v>
      </c>
      <c r="Z282" s="187">
        <v>0</v>
      </c>
      <c r="AA282" s="187">
        <v>0</v>
      </c>
      <c r="AB282" s="187">
        <v>0</v>
      </c>
      <c r="AC282" s="187">
        <v>8</v>
      </c>
      <c r="AD282" s="187">
        <v>1931</v>
      </c>
      <c r="AE282" s="187">
        <v>29</v>
      </c>
      <c r="AF282" s="187">
        <v>0</v>
      </c>
      <c r="AG282" s="187">
        <v>29</v>
      </c>
      <c r="AH282" s="187"/>
      <c r="AI282" s="187"/>
      <c r="AJ282" s="187"/>
      <c r="AK282" s="187"/>
      <c r="AL282" s="187"/>
      <c r="AM282" s="187"/>
      <c r="AN282" s="187"/>
      <c r="AO282" s="187"/>
      <c r="AP282" s="187"/>
      <c r="AQ282" s="187"/>
      <c r="AR282" s="187"/>
      <c r="AS282" s="187"/>
      <c r="AT282" s="187"/>
      <c r="AU282" s="187"/>
      <c r="AV282" s="187"/>
      <c r="AW282" s="187"/>
      <c r="AX282" s="187"/>
      <c r="AY282" s="187"/>
      <c r="AZ282" s="187"/>
      <c r="BA282" s="187"/>
      <c r="BB282" s="187"/>
      <c r="BC282" s="187"/>
      <c r="BD282" s="187"/>
      <c r="BE282" s="187"/>
      <c r="BF282" s="187"/>
      <c r="BG282" s="187"/>
      <c r="BH282" s="187"/>
      <c r="BI282" s="187"/>
      <c r="BJ282" s="187"/>
      <c r="BK282" s="187"/>
      <c r="BL282" s="187"/>
      <c r="BM282" s="187"/>
      <c r="BN282" s="187"/>
      <c r="BO282" s="187"/>
      <c r="BP282" s="187"/>
      <c r="BQ282" s="187"/>
      <c r="BR282" s="187"/>
      <c r="BS282" s="187"/>
      <c r="BT282" s="187"/>
      <c r="BU282" s="187"/>
      <c r="BV282" s="187"/>
      <c r="BW282" s="187"/>
      <c r="BX282" s="187"/>
      <c r="BY282" s="187"/>
      <c r="BZ282" s="187"/>
      <c r="CA282" s="187"/>
      <c r="CB282" s="187"/>
      <c r="CC282" s="187"/>
      <c r="CD282" s="187"/>
      <c r="CE282" s="187"/>
      <c r="CF282" s="187"/>
      <c r="CG282" s="187"/>
      <c r="CH282" s="187"/>
      <c r="CI282" s="187"/>
      <c r="CJ282" s="187"/>
      <c r="CK282" s="187"/>
      <c r="CL282" s="187"/>
      <c r="CM282" s="187"/>
      <c r="CN282" s="187"/>
      <c r="CO282" s="187"/>
      <c r="CP282" s="187"/>
      <c r="CQ282" s="187"/>
      <c r="CR282" s="187"/>
      <c r="CS282" s="187"/>
      <c r="CT282" s="187"/>
      <c r="CU282" s="187"/>
      <c r="CV282" s="187"/>
      <c r="CW282" s="187"/>
      <c r="CX282" s="187"/>
      <c r="CY282" s="187"/>
      <c r="CZ282" s="187"/>
      <c r="DA282" s="187"/>
      <c r="DB282" s="187"/>
      <c r="DC282" s="187"/>
      <c r="DD282" s="187"/>
      <c r="DE282" s="187"/>
      <c r="DF282" s="187"/>
      <c r="DG282" s="187"/>
      <c r="DH282" s="187"/>
      <c r="DI282" s="187"/>
      <c r="DJ282" s="187"/>
      <c r="DK282" s="187"/>
      <c r="DL282" s="187"/>
      <c r="DM282" s="187"/>
      <c r="DN282" s="187"/>
      <c r="DO282" s="187"/>
      <c r="DP282" s="187"/>
      <c r="DQ282" s="187"/>
      <c r="DR282" s="187"/>
      <c r="DS282" s="187"/>
      <c r="DT282" s="187"/>
      <c r="DU282" s="187"/>
      <c r="DV282" s="187"/>
      <c r="DW282" s="187"/>
      <c r="DX282" s="187"/>
      <c r="DY282" s="187"/>
      <c r="DZ282" s="187"/>
      <c r="EA282" s="187"/>
      <c r="EB282" s="187"/>
      <c r="EC282" s="187"/>
      <c r="ED282" s="187"/>
      <c r="EE282" s="187"/>
      <c r="EF282" s="187"/>
      <c r="EG282" s="187"/>
      <c r="EH282" s="187"/>
      <c r="EI282" s="187"/>
      <c r="EJ282" s="187"/>
      <c r="EK282" s="187"/>
      <c r="EL282" s="187"/>
      <c r="EM282" s="187"/>
      <c r="EN282" s="187"/>
      <c r="EO282" s="187"/>
      <c r="EP282" s="187"/>
      <c r="EQ282" s="187"/>
      <c r="ER282" s="187"/>
      <c r="ES282" s="187"/>
      <c r="ET282" s="187"/>
      <c r="EU282" s="187"/>
      <c r="EV282" s="187"/>
      <c r="EW282" s="187"/>
      <c r="EX282" s="187"/>
      <c r="EY282" s="187"/>
      <c r="EZ282" s="187"/>
      <c r="FA282" s="187"/>
      <c r="FB282" s="187"/>
      <c r="FC282" s="187"/>
    </row>
    <row r="283" spans="1:159" ht="15" x14ac:dyDescent="0.25">
      <c r="A283" s="187" t="s">
        <v>620</v>
      </c>
      <c r="B283" s="187" t="s">
        <v>621</v>
      </c>
      <c r="C283" s="187">
        <v>7808</v>
      </c>
      <c r="D283" s="187">
        <v>1</v>
      </c>
      <c r="E283" s="187">
        <v>151</v>
      </c>
      <c r="F283" s="187">
        <v>643</v>
      </c>
      <c r="G283" s="187">
        <v>1049</v>
      </c>
      <c r="H283" s="187">
        <v>9652</v>
      </c>
      <c r="I283" s="187">
        <v>8603</v>
      </c>
      <c r="J283" s="187">
        <v>7</v>
      </c>
      <c r="K283" s="187">
        <v>121.38</v>
      </c>
      <c r="L283" s="187">
        <v>121.38</v>
      </c>
      <c r="M283" s="187">
        <v>6.05</v>
      </c>
      <c r="N283" s="187">
        <v>122.72</v>
      </c>
      <c r="O283" s="187">
        <v>6518</v>
      </c>
      <c r="P283" s="187">
        <v>104.7</v>
      </c>
      <c r="Q283" s="187">
        <v>96.17</v>
      </c>
      <c r="R283" s="187">
        <v>45.42</v>
      </c>
      <c r="S283" s="187">
        <v>146.88999999999999</v>
      </c>
      <c r="T283" s="187">
        <v>563</v>
      </c>
      <c r="U283" s="187">
        <v>159.81</v>
      </c>
      <c r="V283" s="187">
        <v>1232</v>
      </c>
      <c r="W283" s="187">
        <v>0</v>
      </c>
      <c r="X283" s="187">
        <v>0</v>
      </c>
      <c r="Y283" s="187">
        <v>0</v>
      </c>
      <c r="Z283" s="187">
        <v>5</v>
      </c>
      <c r="AA283" s="187">
        <v>2</v>
      </c>
      <c r="AB283" s="187">
        <v>22</v>
      </c>
      <c r="AC283" s="187">
        <v>18</v>
      </c>
      <c r="AD283" s="187">
        <v>7807</v>
      </c>
      <c r="AE283" s="187">
        <v>195</v>
      </c>
      <c r="AF283" s="187">
        <v>42</v>
      </c>
      <c r="AG283" s="187">
        <v>237</v>
      </c>
      <c r="AH283" s="187"/>
      <c r="AI283" s="187"/>
      <c r="AJ283" s="187"/>
      <c r="AK283" s="187"/>
      <c r="AL283" s="187"/>
      <c r="AM283" s="187"/>
      <c r="AN283" s="187"/>
      <c r="AO283" s="187"/>
      <c r="AP283" s="187"/>
      <c r="AQ283" s="187"/>
      <c r="AR283" s="187"/>
      <c r="AS283" s="187"/>
      <c r="AT283" s="187"/>
      <c r="AU283" s="187"/>
      <c r="AV283" s="187"/>
      <c r="AW283" s="187"/>
      <c r="AX283" s="187"/>
      <c r="AY283" s="187"/>
      <c r="AZ283" s="187"/>
      <c r="BA283" s="187"/>
      <c r="BB283" s="187"/>
      <c r="BC283" s="187"/>
      <c r="BD283" s="187"/>
      <c r="BE283" s="187"/>
      <c r="BF283" s="187"/>
      <c r="BG283" s="187"/>
      <c r="BH283" s="187"/>
      <c r="BI283" s="187"/>
      <c r="BJ283" s="187"/>
      <c r="BK283" s="187"/>
      <c r="BL283" s="187"/>
      <c r="BM283" s="187"/>
      <c r="BN283" s="187"/>
      <c r="BO283" s="187"/>
      <c r="BP283" s="187"/>
      <c r="BQ283" s="187"/>
      <c r="BR283" s="187"/>
      <c r="BS283" s="187"/>
      <c r="BT283" s="187"/>
      <c r="BU283" s="187"/>
      <c r="BV283" s="187"/>
      <c r="BW283" s="187"/>
      <c r="BX283" s="187"/>
      <c r="BY283" s="187"/>
      <c r="BZ283" s="187"/>
      <c r="CA283" s="187"/>
      <c r="CB283" s="187"/>
      <c r="CC283" s="187"/>
      <c r="CD283" s="187"/>
      <c r="CE283" s="187"/>
      <c r="CF283" s="187"/>
      <c r="CG283" s="187"/>
      <c r="CH283" s="187"/>
      <c r="CI283" s="187"/>
      <c r="CJ283" s="187"/>
      <c r="CK283" s="187"/>
      <c r="CL283" s="187"/>
      <c r="CM283" s="187"/>
      <c r="CN283" s="187"/>
      <c r="CO283" s="187"/>
      <c r="CP283" s="187"/>
      <c r="CQ283" s="187"/>
      <c r="CR283" s="187"/>
      <c r="CS283" s="187"/>
      <c r="CT283" s="187"/>
      <c r="CU283" s="187"/>
      <c r="CV283" s="187"/>
      <c r="CW283" s="187"/>
      <c r="CX283" s="187"/>
      <c r="CY283" s="187"/>
      <c r="CZ283" s="187"/>
      <c r="DA283" s="187"/>
      <c r="DB283" s="187"/>
      <c r="DC283" s="187"/>
      <c r="DD283" s="187"/>
      <c r="DE283" s="187"/>
      <c r="DF283" s="187"/>
      <c r="DG283" s="187"/>
      <c r="DH283" s="187"/>
      <c r="DI283" s="187"/>
      <c r="DJ283" s="187"/>
      <c r="DK283" s="187"/>
      <c r="DL283" s="187"/>
      <c r="DM283" s="187"/>
      <c r="DN283" s="187"/>
      <c r="DO283" s="187"/>
      <c r="DP283" s="187"/>
      <c r="DQ283" s="187"/>
      <c r="DR283" s="187"/>
      <c r="DS283" s="187"/>
      <c r="DT283" s="187"/>
      <c r="DU283" s="187"/>
      <c r="DV283" s="187"/>
      <c r="DW283" s="187"/>
      <c r="DX283" s="187"/>
      <c r="DY283" s="187"/>
      <c r="DZ283" s="187"/>
      <c r="EA283" s="187"/>
      <c r="EB283" s="187"/>
      <c r="EC283" s="187"/>
      <c r="ED283" s="187"/>
      <c r="EE283" s="187"/>
      <c r="EF283" s="187"/>
      <c r="EG283" s="187"/>
      <c r="EH283" s="187"/>
      <c r="EI283" s="187"/>
      <c r="EJ283" s="187"/>
      <c r="EK283" s="187"/>
      <c r="EL283" s="187"/>
      <c r="EM283" s="187"/>
      <c r="EN283" s="187"/>
      <c r="EO283" s="187"/>
      <c r="EP283" s="187"/>
      <c r="EQ283" s="187"/>
      <c r="ER283" s="187"/>
      <c r="ES283" s="187"/>
      <c r="ET283" s="187"/>
      <c r="EU283" s="187"/>
      <c r="EV283" s="187"/>
      <c r="EW283" s="187"/>
      <c r="EX283" s="187"/>
      <c r="EY283" s="187"/>
      <c r="EZ283" s="187"/>
      <c r="FA283" s="187"/>
      <c r="FB283" s="187"/>
      <c r="FC283" s="187"/>
    </row>
    <row r="284" spans="1:159" ht="15" x14ac:dyDescent="0.25">
      <c r="A284" s="187" t="s">
        <v>622</v>
      </c>
      <c r="B284" s="187" t="s">
        <v>623</v>
      </c>
      <c r="C284" s="187">
        <v>4265</v>
      </c>
      <c r="D284" s="187">
        <v>11</v>
      </c>
      <c r="E284" s="187">
        <v>345</v>
      </c>
      <c r="F284" s="187">
        <v>880</v>
      </c>
      <c r="G284" s="187">
        <v>554</v>
      </c>
      <c r="H284" s="187">
        <v>6055</v>
      </c>
      <c r="I284" s="187">
        <v>5501</v>
      </c>
      <c r="J284" s="187">
        <v>7</v>
      </c>
      <c r="K284" s="187">
        <v>93.73</v>
      </c>
      <c r="L284" s="187">
        <v>91.95</v>
      </c>
      <c r="M284" s="187">
        <v>7.17</v>
      </c>
      <c r="N284" s="187">
        <v>99.85</v>
      </c>
      <c r="O284" s="187">
        <v>3691</v>
      </c>
      <c r="P284" s="187">
        <v>101.91</v>
      </c>
      <c r="Q284" s="187">
        <v>83.92</v>
      </c>
      <c r="R284" s="187">
        <v>42.88</v>
      </c>
      <c r="S284" s="187">
        <v>144.19</v>
      </c>
      <c r="T284" s="187">
        <v>1068</v>
      </c>
      <c r="U284" s="187">
        <v>129.12</v>
      </c>
      <c r="V284" s="187">
        <v>482</v>
      </c>
      <c r="W284" s="187">
        <v>108.59</v>
      </c>
      <c r="X284" s="187">
        <v>17</v>
      </c>
      <c r="Y284" s="187">
        <v>5</v>
      </c>
      <c r="Z284" s="187">
        <v>9</v>
      </c>
      <c r="AA284" s="187">
        <v>1</v>
      </c>
      <c r="AB284" s="187">
        <v>13</v>
      </c>
      <c r="AC284" s="187">
        <v>11</v>
      </c>
      <c r="AD284" s="187">
        <v>4184</v>
      </c>
      <c r="AE284" s="187">
        <v>10</v>
      </c>
      <c r="AF284" s="187">
        <v>30</v>
      </c>
      <c r="AG284" s="187">
        <v>40</v>
      </c>
      <c r="AH284" s="187"/>
      <c r="AI284" s="187"/>
      <c r="AJ284" s="187"/>
      <c r="AK284" s="187"/>
      <c r="AL284" s="187"/>
      <c r="AM284" s="187"/>
      <c r="AN284" s="187"/>
      <c r="AO284" s="187"/>
      <c r="AP284" s="187"/>
      <c r="AQ284" s="187"/>
      <c r="AR284" s="187"/>
      <c r="AS284" s="187"/>
      <c r="AT284" s="187"/>
      <c r="AU284" s="187"/>
      <c r="AV284" s="187"/>
      <c r="AW284" s="187"/>
      <c r="AX284" s="187"/>
      <c r="AY284" s="187"/>
      <c r="AZ284" s="187"/>
      <c r="BA284" s="187"/>
      <c r="BB284" s="187"/>
      <c r="BC284" s="187"/>
      <c r="BD284" s="187"/>
      <c r="BE284" s="187"/>
      <c r="BF284" s="187"/>
      <c r="BG284" s="187"/>
      <c r="BH284" s="187"/>
      <c r="BI284" s="187"/>
      <c r="BJ284" s="187"/>
      <c r="BK284" s="187"/>
      <c r="BL284" s="187"/>
      <c r="BM284" s="187"/>
      <c r="BN284" s="187"/>
      <c r="BO284" s="187"/>
      <c r="BP284" s="187"/>
      <c r="BQ284" s="187"/>
      <c r="BR284" s="187"/>
      <c r="BS284" s="187"/>
      <c r="BT284" s="187"/>
      <c r="BU284" s="187"/>
      <c r="BV284" s="187"/>
      <c r="BW284" s="187"/>
      <c r="BX284" s="187"/>
      <c r="BY284" s="187"/>
      <c r="BZ284" s="187"/>
      <c r="CA284" s="187"/>
      <c r="CB284" s="187"/>
      <c r="CC284" s="187"/>
      <c r="CD284" s="187"/>
      <c r="CE284" s="187"/>
      <c r="CF284" s="187"/>
      <c r="CG284" s="187"/>
      <c r="CH284" s="187"/>
      <c r="CI284" s="187"/>
      <c r="CJ284" s="187"/>
      <c r="CK284" s="187"/>
      <c r="CL284" s="187"/>
      <c r="CM284" s="187"/>
      <c r="CN284" s="187"/>
      <c r="CO284" s="187"/>
      <c r="CP284" s="187"/>
      <c r="CQ284" s="187"/>
      <c r="CR284" s="187"/>
      <c r="CS284" s="187"/>
      <c r="CT284" s="187"/>
      <c r="CU284" s="187"/>
      <c r="CV284" s="187"/>
      <c r="CW284" s="187"/>
      <c r="CX284" s="187"/>
      <c r="CY284" s="187"/>
      <c r="CZ284" s="187"/>
      <c r="DA284" s="187"/>
      <c r="DB284" s="187"/>
      <c r="DC284" s="187"/>
      <c r="DD284" s="187"/>
      <c r="DE284" s="187"/>
      <c r="DF284" s="187"/>
      <c r="DG284" s="187"/>
      <c r="DH284" s="187"/>
      <c r="DI284" s="187"/>
      <c r="DJ284" s="187"/>
      <c r="DK284" s="187"/>
      <c r="DL284" s="187"/>
      <c r="DM284" s="187"/>
      <c r="DN284" s="187"/>
      <c r="DO284" s="187"/>
      <c r="DP284" s="187"/>
      <c r="DQ284" s="187"/>
      <c r="DR284" s="187"/>
      <c r="DS284" s="187"/>
      <c r="DT284" s="187"/>
      <c r="DU284" s="187"/>
      <c r="DV284" s="187"/>
      <c r="DW284" s="187"/>
      <c r="DX284" s="187"/>
      <c r="DY284" s="187"/>
      <c r="DZ284" s="187"/>
      <c r="EA284" s="187"/>
      <c r="EB284" s="187"/>
      <c r="EC284" s="187"/>
      <c r="ED284" s="187"/>
      <c r="EE284" s="187"/>
      <c r="EF284" s="187"/>
      <c r="EG284" s="187"/>
      <c r="EH284" s="187"/>
      <c r="EI284" s="187"/>
      <c r="EJ284" s="187"/>
      <c r="EK284" s="187"/>
      <c r="EL284" s="187"/>
      <c r="EM284" s="187"/>
      <c r="EN284" s="187"/>
      <c r="EO284" s="187"/>
      <c r="EP284" s="187"/>
      <c r="EQ284" s="187"/>
      <c r="ER284" s="187"/>
      <c r="ES284" s="187"/>
      <c r="ET284" s="187"/>
      <c r="EU284" s="187"/>
      <c r="EV284" s="187"/>
      <c r="EW284" s="187"/>
      <c r="EX284" s="187"/>
      <c r="EY284" s="187"/>
      <c r="EZ284" s="187"/>
      <c r="FA284" s="187"/>
      <c r="FB284" s="187"/>
      <c r="FC284" s="187"/>
    </row>
    <row r="285" spans="1:159" ht="15" x14ac:dyDescent="0.25">
      <c r="A285" s="187" t="s">
        <v>624</v>
      </c>
      <c r="B285" s="187" t="s">
        <v>625</v>
      </c>
      <c r="C285" s="187">
        <v>2461</v>
      </c>
      <c r="D285" s="187">
        <v>0</v>
      </c>
      <c r="E285" s="187">
        <v>44</v>
      </c>
      <c r="F285" s="187">
        <v>351</v>
      </c>
      <c r="G285" s="187">
        <v>209</v>
      </c>
      <c r="H285" s="187">
        <v>3065</v>
      </c>
      <c r="I285" s="187">
        <v>2856</v>
      </c>
      <c r="J285" s="187">
        <v>0</v>
      </c>
      <c r="K285" s="187">
        <v>88.9</v>
      </c>
      <c r="L285" s="187">
        <v>85.95</v>
      </c>
      <c r="M285" s="187">
        <v>4.3499999999999996</v>
      </c>
      <c r="N285" s="187">
        <v>91.67</v>
      </c>
      <c r="O285" s="187">
        <v>2315</v>
      </c>
      <c r="P285" s="187">
        <v>77.72</v>
      </c>
      <c r="Q285" s="187">
        <v>72.709999999999994</v>
      </c>
      <c r="R285" s="187">
        <v>33.72</v>
      </c>
      <c r="S285" s="187">
        <v>107.83</v>
      </c>
      <c r="T285" s="187">
        <v>309</v>
      </c>
      <c r="U285" s="187">
        <v>115.25</v>
      </c>
      <c r="V285" s="187">
        <v>146</v>
      </c>
      <c r="W285" s="187">
        <v>222.27</v>
      </c>
      <c r="X285" s="187">
        <v>41</v>
      </c>
      <c r="Y285" s="187">
        <v>0</v>
      </c>
      <c r="Z285" s="187">
        <v>4</v>
      </c>
      <c r="AA285" s="187">
        <v>0</v>
      </c>
      <c r="AB285" s="187">
        <v>10</v>
      </c>
      <c r="AC285" s="187">
        <v>6</v>
      </c>
      <c r="AD285" s="187">
        <v>2453</v>
      </c>
      <c r="AE285" s="187">
        <v>6</v>
      </c>
      <c r="AF285" s="187">
        <v>7</v>
      </c>
      <c r="AG285" s="187">
        <v>13</v>
      </c>
      <c r="AH285" s="187"/>
      <c r="AI285" s="187"/>
      <c r="AJ285" s="187"/>
      <c r="AK285" s="187"/>
      <c r="AL285" s="187"/>
      <c r="AM285" s="187"/>
      <c r="AN285" s="187"/>
      <c r="AO285" s="187"/>
      <c r="AP285" s="187"/>
      <c r="AQ285" s="187"/>
      <c r="AR285" s="187"/>
      <c r="AS285" s="187"/>
      <c r="AT285" s="187"/>
      <c r="AU285" s="187"/>
      <c r="AV285" s="187"/>
      <c r="AW285" s="187"/>
      <c r="AX285" s="187"/>
      <c r="AY285" s="187"/>
      <c r="AZ285" s="187"/>
      <c r="BA285" s="187"/>
      <c r="BB285" s="187"/>
      <c r="BC285" s="187"/>
      <c r="BD285" s="187"/>
      <c r="BE285" s="187"/>
      <c r="BF285" s="187"/>
      <c r="BG285" s="187"/>
      <c r="BH285" s="187"/>
      <c r="BI285" s="187"/>
      <c r="BJ285" s="187"/>
      <c r="BK285" s="187"/>
      <c r="BL285" s="187"/>
      <c r="BM285" s="187"/>
      <c r="BN285" s="187"/>
      <c r="BO285" s="187"/>
      <c r="BP285" s="187"/>
      <c r="BQ285" s="187"/>
      <c r="BR285" s="187"/>
      <c r="BS285" s="187"/>
      <c r="BT285" s="187"/>
      <c r="BU285" s="187"/>
      <c r="BV285" s="187"/>
      <c r="BW285" s="187"/>
      <c r="BX285" s="187"/>
      <c r="BY285" s="187"/>
      <c r="BZ285" s="187"/>
      <c r="CA285" s="187"/>
      <c r="CB285" s="187"/>
      <c r="CC285" s="187"/>
      <c r="CD285" s="187"/>
      <c r="CE285" s="187"/>
      <c r="CF285" s="187"/>
      <c r="CG285" s="187"/>
      <c r="CH285" s="187"/>
      <c r="CI285" s="187"/>
      <c r="CJ285" s="187"/>
      <c r="CK285" s="187"/>
      <c r="CL285" s="187"/>
      <c r="CM285" s="187"/>
      <c r="CN285" s="187"/>
      <c r="CO285" s="187"/>
      <c r="CP285" s="187"/>
      <c r="CQ285" s="187"/>
      <c r="CR285" s="187"/>
      <c r="CS285" s="187"/>
      <c r="CT285" s="187"/>
      <c r="CU285" s="187"/>
      <c r="CV285" s="187"/>
      <c r="CW285" s="187"/>
      <c r="CX285" s="187"/>
      <c r="CY285" s="187"/>
      <c r="CZ285" s="187"/>
      <c r="DA285" s="187"/>
      <c r="DB285" s="187"/>
      <c r="DC285" s="187"/>
      <c r="DD285" s="187"/>
      <c r="DE285" s="187"/>
      <c r="DF285" s="187"/>
      <c r="DG285" s="187"/>
      <c r="DH285" s="187"/>
      <c r="DI285" s="187"/>
      <c r="DJ285" s="187"/>
      <c r="DK285" s="187"/>
      <c r="DL285" s="187"/>
      <c r="DM285" s="187"/>
      <c r="DN285" s="187"/>
      <c r="DO285" s="187"/>
      <c r="DP285" s="187"/>
      <c r="DQ285" s="187"/>
      <c r="DR285" s="187"/>
      <c r="DS285" s="187"/>
      <c r="DT285" s="187"/>
      <c r="DU285" s="187"/>
      <c r="DV285" s="187"/>
      <c r="DW285" s="187"/>
      <c r="DX285" s="187"/>
      <c r="DY285" s="187"/>
      <c r="DZ285" s="187"/>
      <c r="EA285" s="187"/>
      <c r="EB285" s="187"/>
      <c r="EC285" s="187"/>
      <c r="ED285" s="187"/>
      <c r="EE285" s="187"/>
      <c r="EF285" s="187"/>
      <c r="EG285" s="187"/>
      <c r="EH285" s="187"/>
      <c r="EI285" s="187"/>
      <c r="EJ285" s="187"/>
      <c r="EK285" s="187"/>
      <c r="EL285" s="187"/>
      <c r="EM285" s="187"/>
      <c r="EN285" s="187"/>
      <c r="EO285" s="187"/>
      <c r="EP285" s="187"/>
      <c r="EQ285" s="187"/>
      <c r="ER285" s="187"/>
      <c r="ES285" s="187"/>
      <c r="ET285" s="187"/>
      <c r="EU285" s="187"/>
      <c r="EV285" s="187"/>
      <c r="EW285" s="187"/>
      <c r="EX285" s="187"/>
      <c r="EY285" s="187"/>
      <c r="EZ285" s="187"/>
      <c r="FA285" s="187"/>
      <c r="FB285" s="187"/>
      <c r="FC285" s="187"/>
    </row>
    <row r="286" spans="1:159" ht="15" x14ac:dyDescent="0.25">
      <c r="A286" s="187" t="s">
        <v>626</v>
      </c>
      <c r="B286" s="187" t="s">
        <v>627</v>
      </c>
      <c r="C286" s="187">
        <v>30599</v>
      </c>
      <c r="D286" s="187">
        <v>115</v>
      </c>
      <c r="E286" s="187">
        <v>1474</v>
      </c>
      <c r="F286" s="187">
        <v>920</v>
      </c>
      <c r="G286" s="187">
        <v>3735</v>
      </c>
      <c r="H286" s="187">
        <v>36843</v>
      </c>
      <c r="I286" s="187">
        <v>33108</v>
      </c>
      <c r="J286" s="187">
        <v>350</v>
      </c>
      <c r="K286" s="187">
        <v>134.37</v>
      </c>
      <c r="L286" s="187">
        <v>138.38</v>
      </c>
      <c r="M286" s="187">
        <v>18.37</v>
      </c>
      <c r="N286" s="187">
        <v>151.25</v>
      </c>
      <c r="O286" s="187">
        <v>25230</v>
      </c>
      <c r="P286" s="187">
        <v>121.85</v>
      </c>
      <c r="Q286" s="187">
        <v>117.75</v>
      </c>
      <c r="R286" s="187">
        <v>85.39</v>
      </c>
      <c r="S286" s="187">
        <v>206.34</v>
      </c>
      <c r="T286" s="187">
        <v>1890</v>
      </c>
      <c r="U286" s="187">
        <v>229.4</v>
      </c>
      <c r="V286" s="187">
        <v>3396</v>
      </c>
      <c r="W286" s="187">
        <v>246.14</v>
      </c>
      <c r="X286" s="187">
        <v>214</v>
      </c>
      <c r="Y286" s="187">
        <v>27</v>
      </c>
      <c r="Z286" s="187">
        <v>22</v>
      </c>
      <c r="AA286" s="187">
        <v>45</v>
      </c>
      <c r="AB286" s="187">
        <v>250</v>
      </c>
      <c r="AC286" s="187">
        <v>132</v>
      </c>
      <c r="AD286" s="187">
        <v>29437</v>
      </c>
      <c r="AE286" s="187">
        <v>194</v>
      </c>
      <c r="AF286" s="187">
        <v>476</v>
      </c>
      <c r="AG286" s="187">
        <v>670</v>
      </c>
      <c r="AH286" s="187"/>
      <c r="AI286" s="187"/>
      <c r="AJ286" s="187"/>
      <c r="AK286" s="187"/>
      <c r="AL286" s="187"/>
      <c r="AM286" s="187"/>
      <c r="AN286" s="187"/>
      <c r="AO286" s="187"/>
      <c r="AP286" s="187"/>
      <c r="AQ286" s="187"/>
      <c r="AR286" s="187"/>
      <c r="AS286" s="187"/>
      <c r="AT286" s="187"/>
      <c r="AU286" s="187"/>
      <c r="AV286" s="187"/>
      <c r="AW286" s="187"/>
      <c r="AX286" s="187"/>
      <c r="AY286" s="187"/>
      <c r="AZ286" s="187"/>
      <c r="BA286" s="187"/>
      <c r="BB286" s="187"/>
      <c r="BC286" s="187"/>
      <c r="BD286" s="187"/>
      <c r="BE286" s="187"/>
      <c r="BF286" s="187"/>
      <c r="BG286" s="187"/>
      <c r="BH286" s="187"/>
      <c r="BI286" s="187"/>
      <c r="BJ286" s="187"/>
      <c r="BK286" s="187"/>
      <c r="BL286" s="187"/>
      <c r="BM286" s="187"/>
      <c r="BN286" s="187"/>
      <c r="BO286" s="187"/>
      <c r="BP286" s="187"/>
      <c r="BQ286" s="187"/>
      <c r="BR286" s="187"/>
      <c r="BS286" s="187"/>
      <c r="BT286" s="187"/>
      <c r="BU286" s="187"/>
      <c r="BV286" s="187"/>
      <c r="BW286" s="187"/>
      <c r="BX286" s="187"/>
      <c r="BY286" s="187"/>
      <c r="BZ286" s="187"/>
      <c r="CA286" s="187"/>
      <c r="CB286" s="187"/>
      <c r="CC286" s="187"/>
      <c r="CD286" s="187"/>
      <c r="CE286" s="187"/>
      <c r="CF286" s="187"/>
      <c r="CG286" s="187"/>
      <c r="CH286" s="187"/>
      <c r="CI286" s="187"/>
      <c r="CJ286" s="187"/>
      <c r="CK286" s="187"/>
      <c r="CL286" s="187"/>
      <c r="CM286" s="187"/>
      <c r="CN286" s="187"/>
      <c r="CO286" s="187"/>
      <c r="CP286" s="187"/>
      <c r="CQ286" s="187"/>
      <c r="CR286" s="187"/>
      <c r="CS286" s="187"/>
      <c r="CT286" s="187"/>
      <c r="CU286" s="187"/>
      <c r="CV286" s="187"/>
      <c r="CW286" s="187"/>
      <c r="CX286" s="187"/>
      <c r="CY286" s="187"/>
      <c r="CZ286" s="187"/>
      <c r="DA286" s="187"/>
      <c r="DB286" s="187"/>
      <c r="DC286" s="187"/>
      <c r="DD286" s="187"/>
      <c r="DE286" s="187"/>
      <c r="DF286" s="187"/>
      <c r="DG286" s="187"/>
      <c r="DH286" s="187"/>
      <c r="DI286" s="187"/>
      <c r="DJ286" s="187"/>
      <c r="DK286" s="187"/>
      <c r="DL286" s="187"/>
      <c r="DM286" s="187"/>
      <c r="DN286" s="187"/>
      <c r="DO286" s="187"/>
      <c r="DP286" s="187"/>
      <c r="DQ286" s="187"/>
      <c r="DR286" s="187"/>
      <c r="DS286" s="187"/>
      <c r="DT286" s="187"/>
      <c r="DU286" s="187"/>
      <c r="DV286" s="187"/>
      <c r="DW286" s="187"/>
      <c r="DX286" s="187"/>
      <c r="DY286" s="187"/>
      <c r="DZ286" s="187"/>
      <c r="EA286" s="187"/>
      <c r="EB286" s="187"/>
      <c r="EC286" s="187"/>
      <c r="ED286" s="187"/>
      <c r="EE286" s="187"/>
      <c r="EF286" s="187"/>
      <c r="EG286" s="187"/>
      <c r="EH286" s="187"/>
      <c r="EI286" s="187"/>
      <c r="EJ286" s="187"/>
      <c r="EK286" s="187"/>
      <c r="EL286" s="187"/>
      <c r="EM286" s="187"/>
      <c r="EN286" s="187"/>
      <c r="EO286" s="187"/>
      <c r="EP286" s="187"/>
      <c r="EQ286" s="187"/>
      <c r="ER286" s="187"/>
      <c r="ES286" s="187"/>
      <c r="ET286" s="187"/>
      <c r="EU286" s="187"/>
      <c r="EV286" s="187"/>
      <c r="EW286" s="187"/>
      <c r="EX286" s="187"/>
      <c r="EY286" s="187"/>
      <c r="EZ286" s="187"/>
      <c r="FA286" s="187"/>
      <c r="FB286" s="187"/>
      <c r="FC286" s="187"/>
    </row>
    <row r="287" spans="1:159" ht="15" x14ac:dyDescent="0.25">
      <c r="A287" s="187" t="s">
        <v>628</v>
      </c>
      <c r="B287" s="187" t="s">
        <v>629</v>
      </c>
      <c r="C287" s="187">
        <v>11831</v>
      </c>
      <c r="D287" s="187">
        <v>0</v>
      </c>
      <c r="E287" s="187">
        <v>388</v>
      </c>
      <c r="F287" s="187">
        <v>3369</v>
      </c>
      <c r="G287" s="187">
        <v>788</v>
      </c>
      <c r="H287" s="187">
        <v>16376</v>
      </c>
      <c r="I287" s="187">
        <v>15588</v>
      </c>
      <c r="J287" s="187">
        <v>28</v>
      </c>
      <c r="K287" s="187">
        <v>94</v>
      </c>
      <c r="L287" s="187">
        <v>93.87</v>
      </c>
      <c r="M287" s="187">
        <v>6.06</v>
      </c>
      <c r="N287" s="187">
        <v>98.49</v>
      </c>
      <c r="O287" s="187">
        <v>9839</v>
      </c>
      <c r="P287" s="187">
        <v>96.69</v>
      </c>
      <c r="Q287" s="187">
        <v>91.85</v>
      </c>
      <c r="R287" s="187">
        <v>30</v>
      </c>
      <c r="S287" s="187">
        <v>126.45</v>
      </c>
      <c r="T287" s="187">
        <v>3569</v>
      </c>
      <c r="U287" s="187">
        <v>130.25</v>
      </c>
      <c r="V287" s="187">
        <v>1904</v>
      </c>
      <c r="W287" s="187">
        <v>189.02</v>
      </c>
      <c r="X287" s="187">
        <v>117</v>
      </c>
      <c r="Y287" s="187">
        <v>1</v>
      </c>
      <c r="Z287" s="187">
        <v>35</v>
      </c>
      <c r="AA287" s="187">
        <v>3</v>
      </c>
      <c r="AB287" s="187">
        <v>130</v>
      </c>
      <c r="AC287" s="187">
        <v>13</v>
      </c>
      <c r="AD287" s="187">
        <v>11831</v>
      </c>
      <c r="AE287" s="187">
        <v>65</v>
      </c>
      <c r="AF287" s="187">
        <v>205</v>
      </c>
      <c r="AG287" s="187">
        <v>270</v>
      </c>
      <c r="AH287" s="187"/>
      <c r="AI287" s="187"/>
      <c r="AJ287" s="187"/>
      <c r="AK287" s="187"/>
      <c r="AL287" s="187"/>
      <c r="AM287" s="187"/>
      <c r="AN287" s="187"/>
      <c r="AO287" s="187"/>
      <c r="AP287" s="187"/>
      <c r="AQ287" s="187"/>
      <c r="AR287" s="187"/>
      <c r="AS287" s="187"/>
      <c r="AT287" s="187"/>
      <c r="AU287" s="187"/>
      <c r="AV287" s="187"/>
      <c r="AW287" s="187"/>
      <c r="AX287" s="187"/>
      <c r="AY287" s="187"/>
      <c r="AZ287" s="187"/>
      <c r="BA287" s="187"/>
      <c r="BB287" s="187"/>
      <c r="BC287" s="187"/>
      <c r="BD287" s="187"/>
      <c r="BE287" s="187"/>
      <c r="BF287" s="187"/>
      <c r="BG287" s="187"/>
      <c r="BH287" s="187"/>
      <c r="BI287" s="187"/>
      <c r="BJ287" s="187"/>
      <c r="BK287" s="187"/>
      <c r="BL287" s="187"/>
      <c r="BM287" s="187"/>
      <c r="BN287" s="187"/>
      <c r="BO287" s="187"/>
      <c r="BP287" s="187"/>
      <c r="BQ287" s="187"/>
      <c r="BR287" s="187"/>
      <c r="BS287" s="187"/>
      <c r="BT287" s="187"/>
      <c r="BU287" s="187"/>
      <c r="BV287" s="187"/>
      <c r="BW287" s="187"/>
      <c r="BX287" s="187"/>
      <c r="BY287" s="187"/>
      <c r="BZ287" s="187"/>
      <c r="CA287" s="187"/>
      <c r="CB287" s="187"/>
      <c r="CC287" s="187"/>
      <c r="CD287" s="187"/>
      <c r="CE287" s="187"/>
      <c r="CF287" s="187"/>
      <c r="CG287" s="187"/>
      <c r="CH287" s="187"/>
      <c r="CI287" s="187"/>
      <c r="CJ287" s="187"/>
      <c r="CK287" s="187"/>
      <c r="CL287" s="187"/>
      <c r="CM287" s="187"/>
      <c r="CN287" s="187"/>
      <c r="CO287" s="187"/>
      <c r="CP287" s="187"/>
      <c r="CQ287" s="187"/>
      <c r="CR287" s="187"/>
      <c r="CS287" s="187"/>
      <c r="CT287" s="187"/>
      <c r="CU287" s="187"/>
      <c r="CV287" s="187"/>
      <c r="CW287" s="187"/>
      <c r="CX287" s="187"/>
      <c r="CY287" s="187"/>
      <c r="CZ287" s="187"/>
      <c r="DA287" s="187"/>
      <c r="DB287" s="187"/>
      <c r="DC287" s="187"/>
      <c r="DD287" s="187"/>
      <c r="DE287" s="187"/>
      <c r="DF287" s="187"/>
      <c r="DG287" s="187"/>
      <c r="DH287" s="187"/>
      <c r="DI287" s="187"/>
      <c r="DJ287" s="187"/>
      <c r="DK287" s="187"/>
      <c r="DL287" s="187"/>
      <c r="DM287" s="187"/>
      <c r="DN287" s="187"/>
      <c r="DO287" s="187"/>
      <c r="DP287" s="187"/>
      <c r="DQ287" s="187"/>
      <c r="DR287" s="187"/>
      <c r="DS287" s="187"/>
      <c r="DT287" s="187"/>
      <c r="DU287" s="187"/>
      <c r="DV287" s="187"/>
      <c r="DW287" s="187"/>
      <c r="DX287" s="187"/>
      <c r="DY287" s="187"/>
      <c r="DZ287" s="187"/>
      <c r="EA287" s="187"/>
      <c r="EB287" s="187"/>
      <c r="EC287" s="187"/>
      <c r="ED287" s="187"/>
      <c r="EE287" s="187"/>
      <c r="EF287" s="187"/>
      <c r="EG287" s="187"/>
      <c r="EH287" s="187"/>
      <c r="EI287" s="187"/>
      <c r="EJ287" s="187"/>
      <c r="EK287" s="187"/>
      <c r="EL287" s="187"/>
      <c r="EM287" s="187"/>
      <c r="EN287" s="187"/>
      <c r="EO287" s="187"/>
      <c r="EP287" s="187"/>
      <c r="EQ287" s="187"/>
      <c r="ER287" s="187"/>
      <c r="ES287" s="187"/>
      <c r="ET287" s="187"/>
      <c r="EU287" s="187"/>
      <c r="EV287" s="187"/>
      <c r="EW287" s="187"/>
      <c r="EX287" s="187"/>
      <c r="EY287" s="187"/>
      <c r="EZ287" s="187"/>
      <c r="FA287" s="187"/>
      <c r="FB287" s="187"/>
      <c r="FC287" s="187"/>
    </row>
    <row r="288" spans="1:159" ht="15" x14ac:dyDescent="0.25">
      <c r="A288" s="187" t="s">
        <v>630</v>
      </c>
      <c r="B288" s="187" t="s">
        <v>631</v>
      </c>
      <c r="C288" s="187">
        <v>6493</v>
      </c>
      <c r="D288" s="187">
        <v>0</v>
      </c>
      <c r="E288" s="187">
        <v>239</v>
      </c>
      <c r="F288" s="187">
        <v>788</v>
      </c>
      <c r="G288" s="187">
        <v>647</v>
      </c>
      <c r="H288" s="187">
        <v>8167</v>
      </c>
      <c r="I288" s="187">
        <v>7520</v>
      </c>
      <c r="J288" s="187">
        <v>68</v>
      </c>
      <c r="K288" s="187">
        <v>118.12</v>
      </c>
      <c r="L288" s="187">
        <v>112.92</v>
      </c>
      <c r="M288" s="187">
        <v>5.84</v>
      </c>
      <c r="N288" s="187">
        <v>122.94</v>
      </c>
      <c r="O288" s="187">
        <v>5474</v>
      </c>
      <c r="P288" s="187">
        <v>109.04</v>
      </c>
      <c r="Q288" s="187">
        <v>91.44</v>
      </c>
      <c r="R288" s="187">
        <v>38.799999999999997</v>
      </c>
      <c r="S288" s="187">
        <v>145.84</v>
      </c>
      <c r="T288" s="187">
        <v>680</v>
      </c>
      <c r="U288" s="187">
        <v>173.04</v>
      </c>
      <c r="V288" s="187">
        <v>799</v>
      </c>
      <c r="W288" s="187">
        <v>141.05000000000001</v>
      </c>
      <c r="X288" s="187">
        <v>132</v>
      </c>
      <c r="Y288" s="187">
        <v>0</v>
      </c>
      <c r="Z288" s="187">
        <v>2</v>
      </c>
      <c r="AA288" s="187">
        <v>18</v>
      </c>
      <c r="AB288" s="187">
        <v>52</v>
      </c>
      <c r="AC288" s="187">
        <v>11</v>
      </c>
      <c r="AD288" s="187">
        <v>6330</v>
      </c>
      <c r="AE288" s="187">
        <v>93</v>
      </c>
      <c r="AF288" s="187">
        <v>77</v>
      </c>
      <c r="AG288" s="187">
        <v>170</v>
      </c>
      <c r="AH288" s="187"/>
      <c r="AI288" s="187"/>
      <c r="AJ288" s="187"/>
      <c r="AK288" s="187"/>
      <c r="AL288" s="187"/>
      <c r="AM288" s="187"/>
      <c r="AN288" s="187"/>
      <c r="AO288" s="187"/>
      <c r="AP288" s="187"/>
      <c r="AQ288" s="187"/>
      <c r="AR288" s="187"/>
      <c r="AS288" s="187"/>
      <c r="AT288" s="187"/>
      <c r="AU288" s="187"/>
      <c r="AV288" s="187"/>
      <c r="AW288" s="187"/>
      <c r="AX288" s="187"/>
      <c r="AY288" s="187"/>
      <c r="AZ288" s="187"/>
      <c r="BA288" s="187"/>
      <c r="BB288" s="187"/>
      <c r="BC288" s="187"/>
      <c r="BD288" s="187"/>
      <c r="BE288" s="187"/>
      <c r="BF288" s="187"/>
      <c r="BG288" s="187"/>
      <c r="BH288" s="187"/>
      <c r="BI288" s="187"/>
      <c r="BJ288" s="187"/>
      <c r="BK288" s="187"/>
      <c r="BL288" s="187"/>
      <c r="BM288" s="187"/>
      <c r="BN288" s="187"/>
      <c r="BO288" s="187"/>
      <c r="BP288" s="187"/>
      <c r="BQ288" s="187"/>
      <c r="BR288" s="187"/>
      <c r="BS288" s="187"/>
      <c r="BT288" s="187"/>
      <c r="BU288" s="187"/>
      <c r="BV288" s="187"/>
      <c r="BW288" s="187"/>
      <c r="BX288" s="187"/>
      <c r="BY288" s="187"/>
      <c r="BZ288" s="187"/>
      <c r="CA288" s="187"/>
      <c r="CB288" s="187"/>
      <c r="CC288" s="187"/>
      <c r="CD288" s="187"/>
      <c r="CE288" s="187"/>
      <c r="CF288" s="187"/>
      <c r="CG288" s="187"/>
      <c r="CH288" s="187"/>
      <c r="CI288" s="187"/>
      <c r="CJ288" s="187"/>
      <c r="CK288" s="187"/>
      <c r="CL288" s="187"/>
      <c r="CM288" s="187"/>
      <c r="CN288" s="187"/>
      <c r="CO288" s="187"/>
      <c r="CP288" s="187"/>
      <c r="CQ288" s="187"/>
      <c r="CR288" s="187"/>
      <c r="CS288" s="187"/>
      <c r="CT288" s="187"/>
      <c r="CU288" s="187"/>
      <c r="CV288" s="187"/>
      <c r="CW288" s="187"/>
      <c r="CX288" s="187"/>
      <c r="CY288" s="187"/>
      <c r="CZ288" s="187"/>
      <c r="DA288" s="187"/>
      <c r="DB288" s="187"/>
      <c r="DC288" s="187"/>
      <c r="DD288" s="187"/>
      <c r="DE288" s="187"/>
      <c r="DF288" s="187"/>
      <c r="DG288" s="187"/>
      <c r="DH288" s="187"/>
      <c r="DI288" s="187"/>
      <c r="DJ288" s="187"/>
      <c r="DK288" s="187"/>
      <c r="DL288" s="187"/>
      <c r="DM288" s="187"/>
      <c r="DN288" s="187"/>
      <c r="DO288" s="187"/>
      <c r="DP288" s="187"/>
      <c r="DQ288" s="187"/>
      <c r="DR288" s="187"/>
      <c r="DS288" s="187"/>
      <c r="DT288" s="187"/>
      <c r="DU288" s="187"/>
      <c r="DV288" s="187"/>
      <c r="DW288" s="187"/>
      <c r="DX288" s="187"/>
      <c r="DY288" s="187"/>
      <c r="DZ288" s="187"/>
      <c r="EA288" s="187"/>
      <c r="EB288" s="187"/>
      <c r="EC288" s="187"/>
      <c r="ED288" s="187"/>
      <c r="EE288" s="187"/>
      <c r="EF288" s="187"/>
      <c r="EG288" s="187"/>
      <c r="EH288" s="187"/>
      <c r="EI288" s="187"/>
      <c r="EJ288" s="187"/>
      <c r="EK288" s="187"/>
      <c r="EL288" s="187"/>
      <c r="EM288" s="187"/>
      <c r="EN288" s="187"/>
      <c r="EO288" s="187"/>
      <c r="EP288" s="187"/>
      <c r="EQ288" s="187"/>
      <c r="ER288" s="187"/>
      <c r="ES288" s="187"/>
      <c r="ET288" s="187"/>
      <c r="EU288" s="187"/>
      <c r="EV288" s="187"/>
      <c r="EW288" s="187"/>
      <c r="EX288" s="187"/>
      <c r="EY288" s="187"/>
      <c r="EZ288" s="187"/>
      <c r="FA288" s="187"/>
      <c r="FB288" s="187"/>
      <c r="FC288" s="187"/>
    </row>
    <row r="289" spans="1:159" ht="15" x14ac:dyDescent="0.25">
      <c r="A289" s="187" t="s">
        <v>632</v>
      </c>
      <c r="B289" s="187" t="s">
        <v>633</v>
      </c>
      <c r="C289" s="187">
        <v>1970</v>
      </c>
      <c r="D289" s="187">
        <v>0</v>
      </c>
      <c r="E289" s="187">
        <v>89</v>
      </c>
      <c r="F289" s="187">
        <v>260</v>
      </c>
      <c r="G289" s="187">
        <v>617</v>
      </c>
      <c r="H289" s="187">
        <v>2936</v>
      </c>
      <c r="I289" s="187">
        <v>2319</v>
      </c>
      <c r="J289" s="187">
        <v>9</v>
      </c>
      <c r="K289" s="187">
        <v>115.58</v>
      </c>
      <c r="L289" s="187">
        <v>114.22</v>
      </c>
      <c r="M289" s="187">
        <v>7.62</v>
      </c>
      <c r="N289" s="187">
        <v>120.97</v>
      </c>
      <c r="O289" s="187">
        <v>995</v>
      </c>
      <c r="P289" s="187">
        <v>112.84</v>
      </c>
      <c r="Q289" s="187">
        <v>98.97</v>
      </c>
      <c r="R289" s="187">
        <v>68.34</v>
      </c>
      <c r="S289" s="187">
        <v>180.18</v>
      </c>
      <c r="T289" s="187">
        <v>272</v>
      </c>
      <c r="U289" s="187">
        <v>174.47</v>
      </c>
      <c r="V289" s="187">
        <v>955</v>
      </c>
      <c r="W289" s="187">
        <v>187.37</v>
      </c>
      <c r="X289" s="187">
        <v>73</v>
      </c>
      <c r="Y289" s="187">
        <v>0</v>
      </c>
      <c r="Z289" s="187">
        <v>1</v>
      </c>
      <c r="AA289" s="187">
        <v>3</v>
      </c>
      <c r="AB289" s="187">
        <v>34</v>
      </c>
      <c r="AC289" s="187">
        <v>9</v>
      </c>
      <c r="AD289" s="187">
        <v>1969</v>
      </c>
      <c r="AE289" s="187">
        <v>24</v>
      </c>
      <c r="AF289" s="187">
        <v>11</v>
      </c>
      <c r="AG289" s="187">
        <v>35</v>
      </c>
      <c r="AH289" s="187"/>
      <c r="AI289" s="187"/>
      <c r="AJ289" s="187"/>
      <c r="AK289" s="187"/>
      <c r="AL289" s="187"/>
      <c r="AM289" s="187"/>
      <c r="AN289" s="187"/>
      <c r="AO289" s="187"/>
      <c r="AP289" s="187"/>
      <c r="AQ289" s="187"/>
      <c r="AR289" s="187"/>
      <c r="AS289" s="187"/>
      <c r="AT289" s="187"/>
      <c r="AU289" s="187"/>
      <c r="AV289" s="187"/>
      <c r="AW289" s="187"/>
      <c r="AX289" s="187"/>
      <c r="AY289" s="187"/>
      <c r="AZ289" s="187"/>
      <c r="BA289" s="187"/>
      <c r="BB289" s="187"/>
      <c r="BC289" s="187"/>
      <c r="BD289" s="187"/>
      <c r="BE289" s="187"/>
      <c r="BF289" s="187"/>
      <c r="BG289" s="187"/>
      <c r="BH289" s="187"/>
      <c r="BI289" s="187"/>
      <c r="BJ289" s="187"/>
      <c r="BK289" s="187"/>
      <c r="BL289" s="187"/>
      <c r="BM289" s="187"/>
      <c r="BN289" s="187"/>
      <c r="BO289" s="187"/>
      <c r="BP289" s="187"/>
      <c r="BQ289" s="187"/>
      <c r="BR289" s="187"/>
      <c r="BS289" s="187"/>
      <c r="BT289" s="187"/>
      <c r="BU289" s="187"/>
      <c r="BV289" s="187"/>
      <c r="BW289" s="187"/>
      <c r="BX289" s="187"/>
      <c r="BY289" s="187"/>
      <c r="BZ289" s="187"/>
      <c r="CA289" s="187"/>
      <c r="CB289" s="187"/>
      <c r="CC289" s="187"/>
      <c r="CD289" s="187"/>
      <c r="CE289" s="187"/>
      <c r="CF289" s="187"/>
      <c r="CG289" s="187"/>
      <c r="CH289" s="187"/>
      <c r="CI289" s="187"/>
      <c r="CJ289" s="187"/>
      <c r="CK289" s="187"/>
      <c r="CL289" s="187"/>
      <c r="CM289" s="187"/>
      <c r="CN289" s="187"/>
      <c r="CO289" s="187"/>
      <c r="CP289" s="187"/>
      <c r="CQ289" s="187"/>
      <c r="CR289" s="187"/>
      <c r="CS289" s="187"/>
      <c r="CT289" s="187"/>
      <c r="CU289" s="187"/>
      <c r="CV289" s="187"/>
      <c r="CW289" s="187"/>
      <c r="CX289" s="187"/>
      <c r="CY289" s="187"/>
      <c r="CZ289" s="187"/>
      <c r="DA289" s="187"/>
      <c r="DB289" s="187"/>
      <c r="DC289" s="187"/>
      <c r="DD289" s="187"/>
      <c r="DE289" s="187"/>
      <c r="DF289" s="187"/>
      <c r="DG289" s="187"/>
      <c r="DH289" s="187"/>
      <c r="DI289" s="187"/>
      <c r="DJ289" s="187"/>
      <c r="DK289" s="187"/>
      <c r="DL289" s="187"/>
      <c r="DM289" s="187"/>
      <c r="DN289" s="187"/>
      <c r="DO289" s="187"/>
      <c r="DP289" s="187"/>
      <c r="DQ289" s="187"/>
      <c r="DR289" s="187"/>
      <c r="DS289" s="187"/>
      <c r="DT289" s="187"/>
      <c r="DU289" s="187"/>
      <c r="DV289" s="187"/>
      <c r="DW289" s="187"/>
      <c r="DX289" s="187"/>
      <c r="DY289" s="187"/>
      <c r="DZ289" s="187"/>
      <c r="EA289" s="187"/>
      <c r="EB289" s="187"/>
      <c r="EC289" s="187"/>
      <c r="ED289" s="187"/>
      <c r="EE289" s="187"/>
      <c r="EF289" s="187"/>
      <c r="EG289" s="187"/>
      <c r="EH289" s="187"/>
      <c r="EI289" s="187"/>
      <c r="EJ289" s="187"/>
      <c r="EK289" s="187"/>
      <c r="EL289" s="187"/>
      <c r="EM289" s="187"/>
      <c r="EN289" s="187"/>
      <c r="EO289" s="187"/>
      <c r="EP289" s="187"/>
      <c r="EQ289" s="187"/>
      <c r="ER289" s="187"/>
      <c r="ES289" s="187"/>
      <c r="ET289" s="187"/>
      <c r="EU289" s="187"/>
      <c r="EV289" s="187"/>
      <c r="EW289" s="187"/>
      <c r="EX289" s="187"/>
      <c r="EY289" s="187"/>
      <c r="EZ289" s="187"/>
      <c r="FA289" s="187"/>
      <c r="FB289" s="187"/>
      <c r="FC289" s="187"/>
    </row>
    <row r="290" spans="1:159" ht="15" x14ac:dyDescent="0.25">
      <c r="A290" s="187" t="s">
        <v>634</v>
      </c>
      <c r="B290" s="187" t="s">
        <v>635</v>
      </c>
      <c r="C290" s="187">
        <v>8010</v>
      </c>
      <c r="D290" s="187">
        <v>0</v>
      </c>
      <c r="E290" s="187">
        <v>257</v>
      </c>
      <c r="F290" s="187">
        <v>406</v>
      </c>
      <c r="G290" s="187">
        <v>1142</v>
      </c>
      <c r="H290" s="187">
        <v>9815</v>
      </c>
      <c r="I290" s="187">
        <v>8673</v>
      </c>
      <c r="J290" s="187">
        <v>6</v>
      </c>
      <c r="K290" s="187">
        <v>114.47</v>
      </c>
      <c r="L290" s="187">
        <v>111.26</v>
      </c>
      <c r="M290" s="187">
        <v>6.85</v>
      </c>
      <c r="N290" s="187">
        <v>115.83</v>
      </c>
      <c r="O290" s="187">
        <v>5521</v>
      </c>
      <c r="P290" s="187">
        <v>110.18</v>
      </c>
      <c r="Q290" s="187">
        <v>97.58</v>
      </c>
      <c r="R290" s="187">
        <v>36.549999999999997</v>
      </c>
      <c r="S290" s="187">
        <v>142.84</v>
      </c>
      <c r="T290" s="187">
        <v>574</v>
      </c>
      <c r="U290" s="187">
        <v>184.75</v>
      </c>
      <c r="V290" s="187">
        <v>2483</v>
      </c>
      <c r="W290" s="187">
        <v>190.51</v>
      </c>
      <c r="X290" s="187">
        <v>27</v>
      </c>
      <c r="Y290" s="187">
        <v>51</v>
      </c>
      <c r="Z290" s="187">
        <v>3</v>
      </c>
      <c r="AA290" s="187">
        <v>46</v>
      </c>
      <c r="AB290" s="187">
        <v>88</v>
      </c>
      <c r="AC290" s="187">
        <v>24</v>
      </c>
      <c r="AD290" s="187">
        <v>7910</v>
      </c>
      <c r="AE290" s="187">
        <v>37</v>
      </c>
      <c r="AF290" s="187">
        <v>102</v>
      </c>
      <c r="AG290" s="187">
        <v>139</v>
      </c>
      <c r="AH290" s="187"/>
      <c r="AI290" s="187"/>
      <c r="AJ290" s="187"/>
      <c r="AK290" s="187"/>
      <c r="AL290" s="187"/>
      <c r="AM290" s="187"/>
      <c r="AN290" s="187"/>
      <c r="AO290" s="187"/>
      <c r="AP290" s="187"/>
      <c r="AQ290" s="187"/>
      <c r="AR290" s="187"/>
      <c r="AS290" s="187"/>
      <c r="AT290" s="187"/>
      <c r="AU290" s="187"/>
      <c r="AV290" s="187"/>
      <c r="AW290" s="187"/>
      <c r="AX290" s="187"/>
      <c r="AY290" s="187"/>
      <c r="AZ290" s="187"/>
      <c r="BA290" s="187"/>
      <c r="BB290" s="187"/>
      <c r="BC290" s="187"/>
      <c r="BD290" s="187"/>
      <c r="BE290" s="187"/>
      <c r="BF290" s="187"/>
      <c r="BG290" s="187"/>
      <c r="BH290" s="187"/>
      <c r="BI290" s="187"/>
      <c r="BJ290" s="187"/>
      <c r="BK290" s="187"/>
      <c r="BL290" s="187"/>
      <c r="BM290" s="187"/>
      <c r="BN290" s="187"/>
      <c r="BO290" s="187"/>
      <c r="BP290" s="187"/>
      <c r="BQ290" s="187"/>
      <c r="BR290" s="187"/>
      <c r="BS290" s="187"/>
      <c r="BT290" s="187"/>
      <c r="BU290" s="187"/>
      <c r="BV290" s="187"/>
      <c r="BW290" s="187"/>
      <c r="BX290" s="187"/>
      <c r="BY290" s="187"/>
      <c r="BZ290" s="187"/>
      <c r="CA290" s="187"/>
      <c r="CB290" s="187"/>
      <c r="CC290" s="187"/>
      <c r="CD290" s="187"/>
      <c r="CE290" s="187"/>
      <c r="CF290" s="187"/>
      <c r="CG290" s="187"/>
      <c r="CH290" s="187"/>
      <c r="CI290" s="187"/>
      <c r="CJ290" s="187"/>
      <c r="CK290" s="187"/>
      <c r="CL290" s="187"/>
      <c r="CM290" s="187"/>
      <c r="CN290" s="187"/>
      <c r="CO290" s="187"/>
      <c r="CP290" s="187"/>
      <c r="CQ290" s="187"/>
      <c r="CR290" s="187"/>
      <c r="CS290" s="187"/>
      <c r="CT290" s="187"/>
      <c r="CU290" s="187"/>
      <c r="CV290" s="187"/>
      <c r="CW290" s="187"/>
      <c r="CX290" s="187"/>
      <c r="CY290" s="187"/>
      <c r="CZ290" s="187"/>
      <c r="DA290" s="187"/>
      <c r="DB290" s="187"/>
      <c r="DC290" s="187"/>
      <c r="DD290" s="187"/>
      <c r="DE290" s="187"/>
      <c r="DF290" s="187"/>
      <c r="DG290" s="187"/>
      <c r="DH290" s="187"/>
      <c r="DI290" s="187"/>
      <c r="DJ290" s="187"/>
      <c r="DK290" s="187"/>
      <c r="DL290" s="187"/>
      <c r="DM290" s="187"/>
      <c r="DN290" s="187"/>
      <c r="DO290" s="187"/>
      <c r="DP290" s="187"/>
      <c r="DQ290" s="187"/>
      <c r="DR290" s="187"/>
      <c r="DS290" s="187"/>
      <c r="DT290" s="187"/>
      <c r="DU290" s="187"/>
      <c r="DV290" s="187"/>
      <c r="DW290" s="187"/>
      <c r="DX290" s="187"/>
      <c r="DY290" s="187"/>
      <c r="DZ290" s="187"/>
      <c r="EA290" s="187"/>
      <c r="EB290" s="187"/>
      <c r="EC290" s="187"/>
      <c r="ED290" s="187"/>
      <c r="EE290" s="187"/>
      <c r="EF290" s="187"/>
      <c r="EG290" s="187"/>
      <c r="EH290" s="187"/>
      <c r="EI290" s="187"/>
      <c r="EJ290" s="187"/>
      <c r="EK290" s="187"/>
      <c r="EL290" s="187"/>
      <c r="EM290" s="187"/>
      <c r="EN290" s="187"/>
      <c r="EO290" s="187"/>
      <c r="EP290" s="187"/>
      <c r="EQ290" s="187"/>
      <c r="ER290" s="187"/>
      <c r="ES290" s="187"/>
      <c r="ET290" s="187"/>
      <c r="EU290" s="187"/>
      <c r="EV290" s="187"/>
      <c r="EW290" s="187"/>
      <c r="EX290" s="187"/>
      <c r="EY290" s="187"/>
      <c r="EZ290" s="187"/>
      <c r="FA290" s="187"/>
      <c r="FB290" s="187"/>
      <c r="FC290" s="187"/>
    </row>
    <row r="291" spans="1:159" ht="15" x14ac:dyDescent="0.25">
      <c r="A291" s="187" t="s">
        <v>636</v>
      </c>
      <c r="B291" s="187" t="s">
        <v>637</v>
      </c>
      <c r="C291" s="187">
        <v>32481</v>
      </c>
      <c r="D291" s="187">
        <v>0</v>
      </c>
      <c r="E291" s="187">
        <v>2004</v>
      </c>
      <c r="F291" s="187">
        <v>651</v>
      </c>
      <c r="G291" s="187">
        <v>1330</v>
      </c>
      <c r="H291" s="187">
        <v>36466</v>
      </c>
      <c r="I291" s="187">
        <v>35136</v>
      </c>
      <c r="J291" s="187">
        <v>2</v>
      </c>
      <c r="K291" s="187">
        <v>88.27</v>
      </c>
      <c r="L291" s="187">
        <v>84.73</v>
      </c>
      <c r="M291" s="187">
        <v>4.6100000000000003</v>
      </c>
      <c r="N291" s="187">
        <v>89.11</v>
      </c>
      <c r="O291" s="187">
        <v>29589</v>
      </c>
      <c r="P291" s="187">
        <v>87.5</v>
      </c>
      <c r="Q291" s="187">
        <v>80.02</v>
      </c>
      <c r="R291" s="187">
        <v>38.31</v>
      </c>
      <c r="S291" s="187">
        <v>125.52</v>
      </c>
      <c r="T291" s="187">
        <v>2473</v>
      </c>
      <c r="U291" s="187">
        <v>107.02</v>
      </c>
      <c r="V291" s="187">
        <v>2550</v>
      </c>
      <c r="W291" s="187">
        <v>215.29</v>
      </c>
      <c r="X291" s="187">
        <v>77</v>
      </c>
      <c r="Y291" s="187">
        <v>4</v>
      </c>
      <c r="Z291" s="187">
        <v>172</v>
      </c>
      <c r="AA291" s="187">
        <v>9</v>
      </c>
      <c r="AB291" s="187">
        <v>154</v>
      </c>
      <c r="AC291" s="187">
        <v>34</v>
      </c>
      <c r="AD291" s="187">
        <v>32446</v>
      </c>
      <c r="AE291" s="187">
        <v>190</v>
      </c>
      <c r="AF291" s="187">
        <v>192</v>
      </c>
      <c r="AG291" s="187">
        <v>382</v>
      </c>
      <c r="AH291" s="187"/>
      <c r="AI291" s="187"/>
      <c r="AJ291" s="187"/>
      <c r="AK291" s="187"/>
      <c r="AL291" s="187"/>
      <c r="AM291" s="187"/>
      <c r="AN291" s="187"/>
      <c r="AO291" s="187"/>
      <c r="AP291" s="187"/>
      <c r="AQ291" s="187"/>
      <c r="AR291" s="187"/>
      <c r="AS291" s="187"/>
      <c r="AT291" s="187"/>
      <c r="AU291" s="187"/>
      <c r="AV291" s="187"/>
      <c r="AW291" s="187"/>
      <c r="AX291" s="187"/>
      <c r="AY291" s="187"/>
      <c r="AZ291" s="187"/>
      <c r="BA291" s="187"/>
      <c r="BB291" s="187"/>
      <c r="BC291" s="187"/>
      <c r="BD291" s="187"/>
      <c r="BE291" s="187"/>
      <c r="BF291" s="187"/>
      <c r="BG291" s="187"/>
      <c r="BH291" s="187"/>
      <c r="BI291" s="187"/>
      <c r="BJ291" s="187"/>
      <c r="BK291" s="187"/>
      <c r="BL291" s="187"/>
      <c r="BM291" s="187"/>
      <c r="BN291" s="187"/>
      <c r="BO291" s="187"/>
      <c r="BP291" s="187"/>
      <c r="BQ291" s="187"/>
      <c r="BR291" s="187"/>
      <c r="BS291" s="187"/>
      <c r="BT291" s="187"/>
      <c r="BU291" s="187"/>
      <c r="BV291" s="187"/>
      <c r="BW291" s="187"/>
      <c r="BX291" s="187"/>
      <c r="BY291" s="187"/>
      <c r="BZ291" s="187"/>
      <c r="CA291" s="187"/>
      <c r="CB291" s="187"/>
      <c r="CC291" s="187"/>
      <c r="CD291" s="187"/>
      <c r="CE291" s="187"/>
      <c r="CF291" s="187"/>
      <c r="CG291" s="187"/>
      <c r="CH291" s="187"/>
      <c r="CI291" s="187"/>
      <c r="CJ291" s="187"/>
      <c r="CK291" s="187"/>
      <c r="CL291" s="187"/>
      <c r="CM291" s="187"/>
      <c r="CN291" s="187"/>
      <c r="CO291" s="187"/>
      <c r="CP291" s="187"/>
      <c r="CQ291" s="187"/>
      <c r="CR291" s="187"/>
      <c r="CS291" s="187"/>
      <c r="CT291" s="187"/>
      <c r="CU291" s="187"/>
      <c r="CV291" s="187"/>
      <c r="CW291" s="187"/>
      <c r="CX291" s="187"/>
      <c r="CY291" s="187"/>
      <c r="CZ291" s="187"/>
      <c r="DA291" s="187"/>
      <c r="DB291" s="187"/>
      <c r="DC291" s="187"/>
      <c r="DD291" s="187"/>
      <c r="DE291" s="187"/>
      <c r="DF291" s="187"/>
      <c r="DG291" s="187"/>
      <c r="DH291" s="187"/>
      <c r="DI291" s="187"/>
      <c r="DJ291" s="187"/>
      <c r="DK291" s="187"/>
      <c r="DL291" s="187"/>
      <c r="DM291" s="187"/>
      <c r="DN291" s="187"/>
      <c r="DO291" s="187"/>
      <c r="DP291" s="187"/>
      <c r="DQ291" s="187"/>
      <c r="DR291" s="187"/>
      <c r="DS291" s="187"/>
      <c r="DT291" s="187"/>
      <c r="DU291" s="187"/>
      <c r="DV291" s="187"/>
      <c r="DW291" s="187"/>
      <c r="DX291" s="187"/>
      <c r="DY291" s="187"/>
      <c r="DZ291" s="187"/>
      <c r="EA291" s="187"/>
      <c r="EB291" s="187"/>
      <c r="EC291" s="187"/>
      <c r="ED291" s="187"/>
      <c r="EE291" s="187"/>
      <c r="EF291" s="187"/>
      <c r="EG291" s="187"/>
      <c r="EH291" s="187"/>
      <c r="EI291" s="187"/>
      <c r="EJ291" s="187"/>
      <c r="EK291" s="187"/>
      <c r="EL291" s="187"/>
      <c r="EM291" s="187"/>
      <c r="EN291" s="187"/>
      <c r="EO291" s="187"/>
      <c r="EP291" s="187"/>
      <c r="EQ291" s="187"/>
      <c r="ER291" s="187"/>
      <c r="ES291" s="187"/>
      <c r="ET291" s="187"/>
      <c r="EU291" s="187"/>
      <c r="EV291" s="187"/>
      <c r="EW291" s="187"/>
      <c r="EX291" s="187"/>
      <c r="EY291" s="187"/>
      <c r="EZ291" s="187"/>
      <c r="FA291" s="187"/>
      <c r="FB291" s="187"/>
      <c r="FC291" s="187"/>
    </row>
    <row r="292" spans="1:159" ht="15" x14ac:dyDescent="0.25">
      <c r="A292" s="187" t="s">
        <v>638</v>
      </c>
      <c r="B292" s="187" t="s">
        <v>639</v>
      </c>
      <c r="C292" s="187">
        <v>26556</v>
      </c>
      <c r="D292" s="187">
        <v>7</v>
      </c>
      <c r="E292" s="187">
        <v>480</v>
      </c>
      <c r="F292" s="187">
        <v>793</v>
      </c>
      <c r="G292" s="187">
        <v>532</v>
      </c>
      <c r="H292" s="187">
        <v>28368</v>
      </c>
      <c r="I292" s="187">
        <v>27836</v>
      </c>
      <c r="J292" s="187">
        <v>567</v>
      </c>
      <c r="K292" s="187">
        <v>90.87</v>
      </c>
      <c r="L292" s="187">
        <v>90.88</v>
      </c>
      <c r="M292" s="187">
        <v>10.85</v>
      </c>
      <c r="N292" s="187">
        <v>96.41</v>
      </c>
      <c r="O292" s="187">
        <v>23862</v>
      </c>
      <c r="P292" s="187">
        <v>106.15</v>
      </c>
      <c r="Q292" s="187">
        <v>94.42</v>
      </c>
      <c r="R292" s="187">
        <v>58.67</v>
      </c>
      <c r="S292" s="187">
        <v>162.83000000000001</v>
      </c>
      <c r="T292" s="187">
        <v>1005</v>
      </c>
      <c r="U292" s="187">
        <v>115.58</v>
      </c>
      <c r="V292" s="187">
        <v>2334</v>
      </c>
      <c r="W292" s="187">
        <v>153.66999999999999</v>
      </c>
      <c r="X292" s="187">
        <v>207</v>
      </c>
      <c r="Y292" s="187">
        <v>0</v>
      </c>
      <c r="Z292" s="187">
        <v>115</v>
      </c>
      <c r="AA292" s="187">
        <v>3</v>
      </c>
      <c r="AB292" s="187">
        <v>34</v>
      </c>
      <c r="AC292" s="187">
        <v>14</v>
      </c>
      <c r="AD292" s="187">
        <v>26499</v>
      </c>
      <c r="AE292" s="187">
        <v>156</v>
      </c>
      <c r="AF292" s="187">
        <v>200</v>
      </c>
      <c r="AG292" s="187">
        <v>356</v>
      </c>
      <c r="AH292" s="187"/>
      <c r="AI292" s="187"/>
      <c r="AJ292" s="187"/>
      <c r="AK292" s="187"/>
      <c r="AL292" s="187"/>
      <c r="AM292" s="187"/>
      <c r="AN292" s="187"/>
      <c r="AO292" s="187"/>
      <c r="AP292" s="187"/>
      <c r="AQ292" s="187"/>
      <c r="AR292" s="187"/>
      <c r="AS292" s="187"/>
      <c r="AT292" s="187"/>
      <c r="AU292" s="187"/>
      <c r="AV292" s="187"/>
      <c r="AW292" s="187"/>
      <c r="AX292" s="187"/>
      <c r="AY292" s="187"/>
      <c r="AZ292" s="187"/>
      <c r="BA292" s="187"/>
      <c r="BB292" s="187"/>
      <c r="BC292" s="187"/>
      <c r="BD292" s="187"/>
      <c r="BE292" s="187"/>
      <c r="BF292" s="187"/>
      <c r="BG292" s="187"/>
      <c r="BH292" s="187"/>
      <c r="BI292" s="187"/>
      <c r="BJ292" s="187"/>
      <c r="BK292" s="187"/>
      <c r="BL292" s="187"/>
      <c r="BM292" s="187"/>
      <c r="BN292" s="187"/>
      <c r="BO292" s="187"/>
      <c r="BP292" s="187"/>
      <c r="BQ292" s="187"/>
      <c r="BR292" s="187"/>
      <c r="BS292" s="187"/>
      <c r="BT292" s="187"/>
      <c r="BU292" s="187"/>
      <c r="BV292" s="187"/>
      <c r="BW292" s="187"/>
      <c r="BX292" s="187"/>
      <c r="BY292" s="187"/>
      <c r="BZ292" s="187"/>
      <c r="CA292" s="187"/>
      <c r="CB292" s="187"/>
      <c r="CC292" s="187"/>
      <c r="CD292" s="187"/>
      <c r="CE292" s="187"/>
      <c r="CF292" s="187"/>
      <c r="CG292" s="187"/>
      <c r="CH292" s="187"/>
      <c r="CI292" s="187"/>
      <c r="CJ292" s="187"/>
      <c r="CK292" s="187"/>
      <c r="CL292" s="187"/>
      <c r="CM292" s="187"/>
      <c r="CN292" s="187"/>
      <c r="CO292" s="187"/>
      <c r="CP292" s="187"/>
      <c r="CQ292" s="187"/>
      <c r="CR292" s="187"/>
      <c r="CS292" s="187"/>
      <c r="CT292" s="187"/>
      <c r="CU292" s="187"/>
      <c r="CV292" s="187"/>
      <c r="CW292" s="187"/>
      <c r="CX292" s="187"/>
      <c r="CY292" s="187"/>
      <c r="CZ292" s="187"/>
      <c r="DA292" s="187"/>
      <c r="DB292" s="187"/>
      <c r="DC292" s="187"/>
      <c r="DD292" s="187"/>
      <c r="DE292" s="187"/>
      <c r="DF292" s="187"/>
      <c r="DG292" s="187"/>
      <c r="DH292" s="187"/>
      <c r="DI292" s="187"/>
      <c r="DJ292" s="187"/>
      <c r="DK292" s="187"/>
      <c r="DL292" s="187"/>
      <c r="DM292" s="187"/>
      <c r="DN292" s="187"/>
      <c r="DO292" s="187"/>
      <c r="DP292" s="187"/>
      <c r="DQ292" s="187"/>
      <c r="DR292" s="187"/>
      <c r="DS292" s="187"/>
      <c r="DT292" s="187"/>
      <c r="DU292" s="187"/>
      <c r="DV292" s="187"/>
      <c r="DW292" s="187"/>
      <c r="DX292" s="187"/>
      <c r="DY292" s="187"/>
      <c r="DZ292" s="187"/>
      <c r="EA292" s="187"/>
      <c r="EB292" s="187"/>
      <c r="EC292" s="187"/>
      <c r="ED292" s="187"/>
      <c r="EE292" s="187"/>
      <c r="EF292" s="187"/>
      <c r="EG292" s="187"/>
      <c r="EH292" s="187"/>
      <c r="EI292" s="187"/>
      <c r="EJ292" s="187"/>
      <c r="EK292" s="187"/>
      <c r="EL292" s="187"/>
      <c r="EM292" s="187"/>
      <c r="EN292" s="187"/>
      <c r="EO292" s="187"/>
      <c r="EP292" s="187"/>
      <c r="EQ292" s="187"/>
      <c r="ER292" s="187"/>
      <c r="ES292" s="187"/>
      <c r="ET292" s="187"/>
      <c r="EU292" s="187"/>
      <c r="EV292" s="187"/>
      <c r="EW292" s="187"/>
      <c r="EX292" s="187"/>
      <c r="EY292" s="187"/>
      <c r="EZ292" s="187"/>
      <c r="FA292" s="187"/>
      <c r="FB292" s="187"/>
      <c r="FC292" s="187"/>
    </row>
    <row r="293" spans="1:159" ht="15" x14ac:dyDescent="0.25">
      <c r="A293" s="187" t="s">
        <v>640</v>
      </c>
      <c r="B293" s="187" t="s">
        <v>641</v>
      </c>
      <c r="C293" s="187">
        <v>11054</v>
      </c>
      <c r="D293" s="187">
        <v>13</v>
      </c>
      <c r="E293" s="187">
        <v>1018</v>
      </c>
      <c r="F293" s="187">
        <v>883</v>
      </c>
      <c r="G293" s="187">
        <v>1922</v>
      </c>
      <c r="H293" s="187">
        <v>14890</v>
      </c>
      <c r="I293" s="187">
        <v>12968</v>
      </c>
      <c r="J293" s="187">
        <v>22</v>
      </c>
      <c r="K293" s="187">
        <v>125.12</v>
      </c>
      <c r="L293" s="187">
        <v>123.12</v>
      </c>
      <c r="M293" s="187">
        <v>12.4</v>
      </c>
      <c r="N293" s="187">
        <v>132.11000000000001</v>
      </c>
      <c r="O293" s="187">
        <v>8723</v>
      </c>
      <c r="P293" s="187">
        <v>108.67</v>
      </c>
      <c r="Q293" s="187">
        <v>101.43</v>
      </c>
      <c r="R293" s="187">
        <v>45.11</v>
      </c>
      <c r="S293" s="187">
        <v>153.07</v>
      </c>
      <c r="T293" s="187">
        <v>1274</v>
      </c>
      <c r="U293" s="187">
        <v>201.11</v>
      </c>
      <c r="V293" s="187">
        <v>1810</v>
      </c>
      <c r="W293" s="187">
        <v>233.11</v>
      </c>
      <c r="X293" s="187">
        <v>93</v>
      </c>
      <c r="Y293" s="187">
        <v>0</v>
      </c>
      <c r="Z293" s="187">
        <v>5</v>
      </c>
      <c r="AA293" s="187">
        <v>15</v>
      </c>
      <c r="AB293" s="187">
        <v>144</v>
      </c>
      <c r="AC293" s="187">
        <v>68</v>
      </c>
      <c r="AD293" s="187">
        <v>10801</v>
      </c>
      <c r="AE293" s="187">
        <v>162</v>
      </c>
      <c r="AF293" s="187">
        <v>70</v>
      </c>
      <c r="AG293" s="187">
        <v>232</v>
      </c>
      <c r="AH293" s="187"/>
      <c r="AI293" s="187"/>
      <c r="AJ293" s="187"/>
      <c r="AK293" s="187"/>
      <c r="AL293" s="187"/>
      <c r="AM293" s="187"/>
      <c r="AN293" s="187"/>
      <c r="AO293" s="187"/>
      <c r="AP293" s="187"/>
      <c r="AQ293" s="187"/>
      <c r="AR293" s="187"/>
      <c r="AS293" s="187"/>
      <c r="AT293" s="187"/>
      <c r="AU293" s="187"/>
      <c r="AV293" s="187"/>
      <c r="AW293" s="187"/>
      <c r="AX293" s="187"/>
      <c r="AY293" s="187"/>
      <c r="AZ293" s="187"/>
      <c r="BA293" s="187"/>
      <c r="BB293" s="187"/>
      <c r="BC293" s="187"/>
      <c r="BD293" s="187"/>
      <c r="BE293" s="187"/>
      <c r="BF293" s="187"/>
      <c r="BG293" s="187"/>
      <c r="BH293" s="187"/>
      <c r="BI293" s="187"/>
      <c r="BJ293" s="187"/>
      <c r="BK293" s="187"/>
      <c r="BL293" s="187"/>
      <c r="BM293" s="187"/>
      <c r="BN293" s="187"/>
      <c r="BO293" s="187"/>
      <c r="BP293" s="187"/>
      <c r="BQ293" s="187"/>
      <c r="BR293" s="187"/>
      <c r="BS293" s="187"/>
      <c r="BT293" s="187"/>
      <c r="BU293" s="187"/>
      <c r="BV293" s="187"/>
      <c r="BW293" s="187"/>
      <c r="BX293" s="187"/>
      <c r="BY293" s="187"/>
      <c r="BZ293" s="187"/>
      <c r="CA293" s="187"/>
      <c r="CB293" s="187"/>
      <c r="CC293" s="187"/>
      <c r="CD293" s="187"/>
      <c r="CE293" s="187"/>
      <c r="CF293" s="187"/>
      <c r="CG293" s="187"/>
      <c r="CH293" s="187"/>
      <c r="CI293" s="187"/>
      <c r="CJ293" s="187"/>
      <c r="CK293" s="187"/>
      <c r="CL293" s="187"/>
      <c r="CM293" s="187"/>
      <c r="CN293" s="187"/>
      <c r="CO293" s="187"/>
      <c r="CP293" s="187"/>
      <c r="CQ293" s="187"/>
      <c r="CR293" s="187"/>
      <c r="CS293" s="187"/>
      <c r="CT293" s="187"/>
      <c r="CU293" s="187"/>
      <c r="CV293" s="187"/>
      <c r="CW293" s="187"/>
      <c r="CX293" s="187"/>
      <c r="CY293" s="187"/>
      <c r="CZ293" s="187"/>
      <c r="DA293" s="187"/>
      <c r="DB293" s="187"/>
      <c r="DC293" s="187"/>
      <c r="DD293" s="187"/>
      <c r="DE293" s="187"/>
      <c r="DF293" s="187"/>
      <c r="DG293" s="187"/>
      <c r="DH293" s="187"/>
      <c r="DI293" s="187"/>
      <c r="DJ293" s="187"/>
      <c r="DK293" s="187"/>
      <c r="DL293" s="187"/>
      <c r="DM293" s="187"/>
      <c r="DN293" s="187"/>
      <c r="DO293" s="187"/>
      <c r="DP293" s="187"/>
      <c r="DQ293" s="187"/>
      <c r="DR293" s="187"/>
      <c r="DS293" s="187"/>
      <c r="DT293" s="187"/>
      <c r="DU293" s="187"/>
      <c r="DV293" s="187"/>
      <c r="DW293" s="187"/>
      <c r="DX293" s="187"/>
      <c r="DY293" s="187"/>
      <c r="DZ293" s="187"/>
      <c r="EA293" s="187"/>
      <c r="EB293" s="187"/>
      <c r="EC293" s="187"/>
      <c r="ED293" s="187"/>
      <c r="EE293" s="187"/>
      <c r="EF293" s="187"/>
      <c r="EG293" s="187"/>
      <c r="EH293" s="187"/>
      <c r="EI293" s="187"/>
      <c r="EJ293" s="187"/>
      <c r="EK293" s="187"/>
      <c r="EL293" s="187"/>
      <c r="EM293" s="187"/>
      <c r="EN293" s="187"/>
      <c r="EO293" s="187"/>
      <c r="EP293" s="187"/>
      <c r="EQ293" s="187"/>
      <c r="ER293" s="187"/>
      <c r="ES293" s="187"/>
      <c r="ET293" s="187"/>
      <c r="EU293" s="187"/>
      <c r="EV293" s="187"/>
      <c r="EW293" s="187"/>
      <c r="EX293" s="187"/>
      <c r="EY293" s="187"/>
      <c r="EZ293" s="187"/>
      <c r="FA293" s="187"/>
      <c r="FB293" s="187"/>
      <c r="FC293" s="187"/>
    </row>
    <row r="294" spans="1:159" ht="15" x14ac:dyDescent="0.25">
      <c r="A294" s="187" t="s">
        <v>642</v>
      </c>
      <c r="B294" s="187" t="s">
        <v>643</v>
      </c>
      <c r="C294" s="187">
        <v>9495</v>
      </c>
      <c r="D294" s="187">
        <v>6</v>
      </c>
      <c r="E294" s="187">
        <v>1037</v>
      </c>
      <c r="F294" s="187">
        <v>1055</v>
      </c>
      <c r="G294" s="187">
        <v>2635</v>
      </c>
      <c r="H294" s="187">
        <v>14228</v>
      </c>
      <c r="I294" s="187">
        <v>11593</v>
      </c>
      <c r="J294" s="187">
        <v>195</v>
      </c>
      <c r="K294" s="187">
        <v>138.08000000000001</v>
      </c>
      <c r="L294" s="187">
        <v>147.51</v>
      </c>
      <c r="M294" s="187">
        <v>10.14</v>
      </c>
      <c r="N294" s="187">
        <v>145.52000000000001</v>
      </c>
      <c r="O294" s="187">
        <v>6811</v>
      </c>
      <c r="P294" s="187">
        <v>128.43</v>
      </c>
      <c r="Q294" s="187">
        <v>123.85</v>
      </c>
      <c r="R294" s="187">
        <v>48.02</v>
      </c>
      <c r="S294" s="187">
        <v>170.67</v>
      </c>
      <c r="T294" s="187">
        <v>1909</v>
      </c>
      <c r="U294" s="187">
        <v>214.84</v>
      </c>
      <c r="V294" s="187">
        <v>1371</v>
      </c>
      <c r="W294" s="187">
        <v>248.12</v>
      </c>
      <c r="X294" s="187">
        <v>34</v>
      </c>
      <c r="Y294" s="187">
        <v>71</v>
      </c>
      <c r="Z294" s="187">
        <v>0</v>
      </c>
      <c r="AA294" s="187">
        <v>37</v>
      </c>
      <c r="AB294" s="187">
        <v>99</v>
      </c>
      <c r="AC294" s="187">
        <v>69</v>
      </c>
      <c r="AD294" s="187">
        <v>9044</v>
      </c>
      <c r="AE294" s="187">
        <v>404</v>
      </c>
      <c r="AF294" s="187">
        <v>96</v>
      </c>
      <c r="AG294" s="187">
        <v>500</v>
      </c>
      <c r="AH294" s="187"/>
      <c r="AI294" s="187"/>
      <c r="AJ294" s="187"/>
      <c r="AK294" s="187"/>
      <c r="AL294" s="187"/>
      <c r="AM294" s="187"/>
      <c r="AN294" s="187"/>
      <c r="AO294" s="187"/>
      <c r="AP294" s="187"/>
      <c r="AQ294" s="187"/>
      <c r="AR294" s="187"/>
      <c r="AS294" s="187"/>
      <c r="AT294" s="187"/>
      <c r="AU294" s="187"/>
      <c r="AV294" s="187"/>
      <c r="AW294" s="187"/>
      <c r="AX294" s="187"/>
      <c r="AY294" s="187"/>
      <c r="AZ294" s="187"/>
      <c r="BA294" s="187"/>
      <c r="BB294" s="187"/>
      <c r="BC294" s="187"/>
      <c r="BD294" s="187"/>
      <c r="BE294" s="187"/>
      <c r="BF294" s="187"/>
      <c r="BG294" s="187"/>
      <c r="BH294" s="187"/>
      <c r="BI294" s="187"/>
      <c r="BJ294" s="187"/>
      <c r="BK294" s="187"/>
      <c r="BL294" s="187"/>
      <c r="BM294" s="187"/>
      <c r="BN294" s="187"/>
      <c r="BO294" s="187"/>
      <c r="BP294" s="187"/>
      <c r="BQ294" s="187"/>
      <c r="BR294" s="187"/>
      <c r="BS294" s="187"/>
      <c r="BT294" s="187"/>
      <c r="BU294" s="187"/>
      <c r="BV294" s="187"/>
      <c r="BW294" s="187"/>
      <c r="BX294" s="187"/>
      <c r="BY294" s="187"/>
      <c r="BZ294" s="187"/>
      <c r="CA294" s="187"/>
      <c r="CB294" s="187"/>
      <c r="CC294" s="187"/>
      <c r="CD294" s="187"/>
      <c r="CE294" s="187"/>
      <c r="CF294" s="187"/>
      <c r="CG294" s="187"/>
      <c r="CH294" s="187"/>
      <c r="CI294" s="187"/>
      <c r="CJ294" s="187"/>
      <c r="CK294" s="187"/>
      <c r="CL294" s="187"/>
      <c r="CM294" s="187"/>
      <c r="CN294" s="187"/>
      <c r="CO294" s="187"/>
      <c r="CP294" s="187"/>
      <c r="CQ294" s="187"/>
      <c r="CR294" s="187"/>
      <c r="CS294" s="187"/>
      <c r="CT294" s="187"/>
      <c r="CU294" s="187"/>
      <c r="CV294" s="187"/>
      <c r="CW294" s="187"/>
      <c r="CX294" s="187"/>
      <c r="CY294" s="187"/>
      <c r="CZ294" s="187"/>
      <c r="DA294" s="187"/>
      <c r="DB294" s="187"/>
      <c r="DC294" s="187"/>
      <c r="DD294" s="187"/>
      <c r="DE294" s="187"/>
      <c r="DF294" s="187"/>
      <c r="DG294" s="187"/>
      <c r="DH294" s="187"/>
      <c r="DI294" s="187"/>
      <c r="DJ294" s="187"/>
      <c r="DK294" s="187"/>
      <c r="DL294" s="187"/>
      <c r="DM294" s="187"/>
      <c r="DN294" s="187"/>
      <c r="DO294" s="187"/>
      <c r="DP294" s="187"/>
      <c r="DQ294" s="187"/>
      <c r="DR294" s="187"/>
      <c r="DS294" s="187"/>
      <c r="DT294" s="187"/>
      <c r="DU294" s="187"/>
      <c r="DV294" s="187"/>
      <c r="DW294" s="187"/>
      <c r="DX294" s="187"/>
      <c r="DY294" s="187"/>
      <c r="DZ294" s="187"/>
      <c r="EA294" s="187"/>
      <c r="EB294" s="187"/>
      <c r="EC294" s="187"/>
      <c r="ED294" s="187"/>
      <c r="EE294" s="187"/>
      <c r="EF294" s="187"/>
      <c r="EG294" s="187"/>
      <c r="EH294" s="187"/>
      <c r="EI294" s="187"/>
      <c r="EJ294" s="187"/>
      <c r="EK294" s="187"/>
      <c r="EL294" s="187"/>
      <c r="EM294" s="187"/>
      <c r="EN294" s="187"/>
      <c r="EO294" s="187"/>
      <c r="EP294" s="187"/>
      <c r="EQ294" s="187"/>
      <c r="ER294" s="187"/>
      <c r="ES294" s="187"/>
      <c r="ET294" s="187"/>
      <c r="EU294" s="187"/>
      <c r="EV294" s="187"/>
      <c r="EW294" s="187"/>
      <c r="EX294" s="187"/>
      <c r="EY294" s="187"/>
      <c r="EZ294" s="187"/>
      <c r="FA294" s="187"/>
      <c r="FB294" s="187"/>
      <c r="FC294" s="187"/>
    </row>
    <row r="295" spans="1:159" ht="15" x14ac:dyDescent="0.25">
      <c r="A295" s="187" t="s">
        <v>644</v>
      </c>
      <c r="B295" s="187" t="s">
        <v>645</v>
      </c>
      <c r="C295" s="187">
        <v>12137</v>
      </c>
      <c r="D295" s="187">
        <v>0</v>
      </c>
      <c r="E295" s="187">
        <v>540</v>
      </c>
      <c r="F295" s="187">
        <v>2211</v>
      </c>
      <c r="G295" s="187">
        <v>716</v>
      </c>
      <c r="H295" s="187">
        <v>15604</v>
      </c>
      <c r="I295" s="187">
        <v>14888</v>
      </c>
      <c r="J295" s="187">
        <v>12</v>
      </c>
      <c r="K295" s="187">
        <v>90.27</v>
      </c>
      <c r="L295" s="187">
        <v>90.57</v>
      </c>
      <c r="M295" s="187">
        <v>5.67</v>
      </c>
      <c r="N295" s="187">
        <v>92.09</v>
      </c>
      <c r="O295" s="187">
        <v>10921</v>
      </c>
      <c r="P295" s="187">
        <v>92.53</v>
      </c>
      <c r="Q295" s="187">
        <v>83.08</v>
      </c>
      <c r="R295" s="187">
        <v>34.21</v>
      </c>
      <c r="S295" s="187">
        <v>123.45</v>
      </c>
      <c r="T295" s="187">
        <v>2509</v>
      </c>
      <c r="U295" s="187">
        <v>115.2</v>
      </c>
      <c r="V295" s="187">
        <v>956</v>
      </c>
      <c r="W295" s="187">
        <v>161.30000000000001</v>
      </c>
      <c r="X295" s="187">
        <v>93</v>
      </c>
      <c r="Y295" s="187">
        <v>0</v>
      </c>
      <c r="Z295" s="187">
        <v>68</v>
      </c>
      <c r="AA295" s="187">
        <v>2</v>
      </c>
      <c r="AB295" s="187">
        <v>113</v>
      </c>
      <c r="AC295" s="187">
        <v>31</v>
      </c>
      <c r="AD295" s="187">
        <v>12137</v>
      </c>
      <c r="AE295" s="187">
        <v>179</v>
      </c>
      <c r="AF295" s="187">
        <v>62</v>
      </c>
      <c r="AG295" s="187">
        <v>241</v>
      </c>
      <c r="AH295" s="187"/>
      <c r="AI295" s="187"/>
      <c r="AJ295" s="187"/>
      <c r="AK295" s="187"/>
      <c r="AL295" s="187"/>
      <c r="AM295" s="187"/>
      <c r="AN295" s="187"/>
      <c r="AO295" s="187"/>
      <c r="AP295" s="187"/>
      <c r="AQ295" s="187"/>
      <c r="AR295" s="187"/>
      <c r="AS295" s="187"/>
      <c r="AT295" s="187"/>
      <c r="AU295" s="187"/>
      <c r="AV295" s="187"/>
      <c r="AW295" s="187"/>
      <c r="AX295" s="187"/>
      <c r="AY295" s="187"/>
      <c r="AZ295" s="187"/>
      <c r="BA295" s="187"/>
      <c r="BB295" s="187"/>
      <c r="BC295" s="187"/>
      <c r="BD295" s="187"/>
      <c r="BE295" s="187"/>
      <c r="BF295" s="187"/>
      <c r="BG295" s="187"/>
      <c r="BH295" s="187"/>
      <c r="BI295" s="187"/>
      <c r="BJ295" s="187"/>
      <c r="BK295" s="187"/>
      <c r="BL295" s="187"/>
      <c r="BM295" s="187"/>
      <c r="BN295" s="187"/>
      <c r="BO295" s="187"/>
      <c r="BP295" s="187"/>
      <c r="BQ295" s="187"/>
      <c r="BR295" s="187"/>
      <c r="BS295" s="187"/>
      <c r="BT295" s="187"/>
      <c r="BU295" s="187"/>
      <c r="BV295" s="187"/>
      <c r="BW295" s="187"/>
      <c r="BX295" s="187"/>
      <c r="BY295" s="187"/>
      <c r="BZ295" s="187"/>
      <c r="CA295" s="187"/>
      <c r="CB295" s="187"/>
      <c r="CC295" s="187"/>
      <c r="CD295" s="187"/>
      <c r="CE295" s="187"/>
      <c r="CF295" s="187"/>
      <c r="CG295" s="187"/>
      <c r="CH295" s="187"/>
      <c r="CI295" s="187"/>
      <c r="CJ295" s="187"/>
      <c r="CK295" s="187"/>
      <c r="CL295" s="187"/>
      <c r="CM295" s="187"/>
      <c r="CN295" s="187"/>
      <c r="CO295" s="187"/>
      <c r="CP295" s="187"/>
      <c r="CQ295" s="187"/>
      <c r="CR295" s="187"/>
      <c r="CS295" s="187"/>
      <c r="CT295" s="187"/>
      <c r="CU295" s="187"/>
      <c r="CV295" s="187"/>
      <c r="CW295" s="187"/>
      <c r="CX295" s="187"/>
      <c r="CY295" s="187"/>
      <c r="CZ295" s="187"/>
      <c r="DA295" s="187"/>
      <c r="DB295" s="187"/>
      <c r="DC295" s="187"/>
      <c r="DD295" s="187"/>
      <c r="DE295" s="187"/>
      <c r="DF295" s="187"/>
      <c r="DG295" s="187"/>
      <c r="DH295" s="187"/>
      <c r="DI295" s="187"/>
      <c r="DJ295" s="187"/>
      <c r="DK295" s="187"/>
      <c r="DL295" s="187"/>
      <c r="DM295" s="187"/>
      <c r="DN295" s="187"/>
      <c r="DO295" s="187"/>
      <c r="DP295" s="187"/>
      <c r="DQ295" s="187"/>
      <c r="DR295" s="187"/>
      <c r="DS295" s="187"/>
      <c r="DT295" s="187"/>
      <c r="DU295" s="187"/>
      <c r="DV295" s="187"/>
      <c r="DW295" s="187"/>
      <c r="DX295" s="187"/>
      <c r="DY295" s="187"/>
      <c r="DZ295" s="187"/>
      <c r="EA295" s="187"/>
      <c r="EB295" s="187"/>
      <c r="EC295" s="187"/>
      <c r="ED295" s="187"/>
      <c r="EE295" s="187"/>
      <c r="EF295" s="187"/>
      <c r="EG295" s="187"/>
      <c r="EH295" s="187"/>
      <c r="EI295" s="187"/>
      <c r="EJ295" s="187"/>
      <c r="EK295" s="187"/>
      <c r="EL295" s="187"/>
      <c r="EM295" s="187"/>
      <c r="EN295" s="187"/>
      <c r="EO295" s="187"/>
      <c r="EP295" s="187"/>
      <c r="EQ295" s="187"/>
      <c r="ER295" s="187"/>
      <c r="ES295" s="187"/>
      <c r="ET295" s="187"/>
      <c r="EU295" s="187"/>
      <c r="EV295" s="187"/>
      <c r="EW295" s="187"/>
      <c r="EX295" s="187"/>
      <c r="EY295" s="187"/>
      <c r="EZ295" s="187"/>
      <c r="FA295" s="187"/>
      <c r="FB295" s="187"/>
      <c r="FC295" s="187"/>
    </row>
    <row r="296" spans="1:159" ht="15" x14ac:dyDescent="0.25">
      <c r="A296" s="187" t="s">
        <v>646</v>
      </c>
      <c r="B296" s="187" t="s">
        <v>647</v>
      </c>
      <c r="C296" s="187">
        <v>3662</v>
      </c>
      <c r="D296" s="187">
        <v>0</v>
      </c>
      <c r="E296" s="187">
        <v>170</v>
      </c>
      <c r="F296" s="187">
        <v>598</v>
      </c>
      <c r="G296" s="187">
        <v>1138</v>
      </c>
      <c r="H296" s="187">
        <v>5568</v>
      </c>
      <c r="I296" s="187">
        <v>4430</v>
      </c>
      <c r="J296" s="187">
        <v>70</v>
      </c>
      <c r="K296" s="187">
        <v>114.92</v>
      </c>
      <c r="L296" s="187">
        <v>112.12</v>
      </c>
      <c r="M296" s="187">
        <v>7.17</v>
      </c>
      <c r="N296" s="187">
        <v>120.89</v>
      </c>
      <c r="O296" s="187">
        <v>2719</v>
      </c>
      <c r="P296" s="187">
        <v>111.44</v>
      </c>
      <c r="Q296" s="187">
        <v>96.58</v>
      </c>
      <c r="R296" s="187">
        <v>58.82</v>
      </c>
      <c r="S296" s="187">
        <v>170.08</v>
      </c>
      <c r="T296" s="187">
        <v>658</v>
      </c>
      <c r="U296" s="187">
        <v>160.24</v>
      </c>
      <c r="V296" s="187">
        <v>856</v>
      </c>
      <c r="W296" s="187">
        <v>172.31</v>
      </c>
      <c r="X296" s="187">
        <v>25</v>
      </c>
      <c r="Y296" s="187">
        <v>0</v>
      </c>
      <c r="Z296" s="187">
        <v>4</v>
      </c>
      <c r="AA296" s="187">
        <v>4</v>
      </c>
      <c r="AB296" s="187">
        <v>149</v>
      </c>
      <c r="AC296" s="187">
        <v>26</v>
      </c>
      <c r="AD296" s="187">
        <v>3598</v>
      </c>
      <c r="AE296" s="187">
        <v>12</v>
      </c>
      <c r="AF296" s="187">
        <v>90</v>
      </c>
      <c r="AG296" s="187">
        <v>102</v>
      </c>
      <c r="AH296" s="187"/>
      <c r="AI296" s="187"/>
      <c r="AJ296" s="187"/>
      <c r="AK296" s="187"/>
      <c r="AL296" s="187"/>
      <c r="AM296" s="187"/>
      <c r="AN296" s="187"/>
      <c r="AO296" s="187"/>
      <c r="AP296" s="187"/>
      <c r="AQ296" s="187"/>
      <c r="AR296" s="187"/>
      <c r="AS296" s="187"/>
      <c r="AT296" s="187"/>
      <c r="AU296" s="187"/>
      <c r="AV296" s="187"/>
      <c r="AW296" s="187"/>
      <c r="AX296" s="187"/>
      <c r="AY296" s="187"/>
      <c r="AZ296" s="187"/>
      <c r="BA296" s="187"/>
      <c r="BB296" s="187"/>
      <c r="BC296" s="187"/>
      <c r="BD296" s="187"/>
      <c r="BE296" s="187"/>
      <c r="BF296" s="187"/>
      <c r="BG296" s="187"/>
      <c r="BH296" s="187"/>
      <c r="BI296" s="187"/>
      <c r="BJ296" s="187"/>
      <c r="BK296" s="187"/>
      <c r="BL296" s="187"/>
      <c r="BM296" s="187"/>
      <c r="BN296" s="187"/>
      <c r="BO296" s="187"/>
      <c r="BP296" s="187"/>
      <c r="BQ296" s="187"/>
      <c r="BR296" s="187"/>
      <c r="BS296" s="187"/>
      <c r="BT296" s="187"/>
      <c r="BU296" s="187"/>
      <c r="BV296" s="187"/>
      <c r="BW296" s="187"/>
      <c r="BX296" s="187"/>
      <c r="BY296" s="187"/>
      <c r="BZ296" s="187"/>
      <c r="CA296" s="187"/>
      <c r="CB296" s="187"/>
      <c r="CC296" s="187"/>
      <c r="CD296" s="187"/>
      <c r="CE296" s="187"/>
      <c r="CF296" s="187"/>
      <c r="CG296" s="187"/>
      <c r="CH296" s="187"/>
      <c r="CI296" s="187"/>
      <c r="CJ296" s="187"/>
      <c r="CK296" s="187"/>
      <c r="CL296" s="187"/>
      <c r="CM296" s="187"/>
      <c r="CN296" s="187"/>
      <c r="CO296" s="187"/>
      <c r="CP296" s="187"/>
      <c r="CQ296" s="187"/>
      <c r="CR296" s="187"/>
      <c r="CS296" s="187"/>
      <c r="CT296" s="187"/>
      <c r="CU296" s="187"/>
      <c r="CV296" s="187"/>
      <c r="CW296" s="187"/>
      <c r="CX296" s="187"/>
      <c r="CY296" s="187"/>
      <c r="CZ296" s="187"/>
      <c r="DA296" s="187"/>
      <c r="DB296" s="187"/>
      <c r="DC296" s="187"/>
      <c r="DD296" s="187"/>
      <c r="DE296" s="187"/>
      <c r="DF296" s="187"/>
      <c r="DG296" s="187"/>
      <c r="DH296" s="187"/>
      <c r="DI296" s="187"/>
      <c r="DJ296" s="187"/>
      <c r="DK296" s="187"/>
      <c r="DL296" s="187"/>
      <c r="DM296" s="187"/>
      <c r="DN296" s="187"/>
      <c r="DO296" s="187"/>
      <c r="DP296" s="187"/>
      <c r="DQ296" s="187"/>
      <c r="DR296" s="187"/>
      <c r="DS296" s="187"/>
      <c r="DT296" s="187"/>
      <c r="DU296" s="187"/>
      <c r="DV296" s="187"/>
      <c r="DW296" s="187"/>
      <c r="DX296" s="187"/>
      <c r="DY296" s="187"/>
      <c r="DZ296" s="187"/>
      <c r="EA296" s="187"/>
      <c r="EB296" s="187"/>
      <c r="EC296" s="187"/>
      <c r="ED296" s="187"/>
      <c r="EE296" s="187"/>
      <c r="EF296" s="187"/>
      <c r="EG296" s="187"/>
      <c r="EH296" s="187"/>
      <c r="EI296" s="187"/>
      <c r="EJ296" s="187"/>
      <c r="EK296" s="187"/>
      <c r="EL296" s="187"/>
      <c r="EM296" s="187"/>
      <c r="EN296" s="187"/>
      <c r="EO296" s="187"/>
      <c r="EP296" s="187"/>
      <c r="EQ296" s="187"/>
      <c r="ER296" s="187"/>
      <c r="ES296" s="187"/>
      <c r="ET296" s="187"/>
      <c r="EU296" s="187"/>
      <c r="EV296" s="187"/>
      <c r="EW296" s="187"/>
      <c r="EX296" s="187"/>
      <c r="EY296" s="187"/>
      <c r="EZ296" s="187"/>
      <c r="FA296" s="187"/>
      <c r="FB296" s="187"/>
      <c r="FC296" s="187"/>
    </row>
    <row r="297" spans="1:159" ht="15" x14ac:dyDescent="0.25">
      <c r="A297" s="187" t="s">
        <v>648</v>
      </c>
      <c r="B297" s="187" t="s">
        <v>649</v>
      </c>
      <c r="C297" s="187">
        <v>5850</v>
      </c>
      <c r="D297" s="187">
        <v>156</v>
      </c>
      <c r="E297" s="187">
        <v>419</v>
      </c>
      <c r="F297" s="187">
        <v>589</v>
      </c>
      <c r="G297" s="187">
        <v>446</v>
      </c>
      <c r="H297" s="187">
        <v>7460</v>
      </c>
      <c r="I297" s="187">
        <v>7014</v>
      </c>
      <c r="J297" s="187">
        <v>13</v>
      </c>
      <c r="K297" s="187">
        <v>122.25</v>
      </c>
      <c r="L297" s="187">
        <v>131.6</v>
      </c>
      <c r="M297" s="187">
        <v>10.53</v>
      </c>
      <c r="N297" s="187">
        <v>127.07</v>
      </c>
      <c r="O297" s="187">
        <v>5006</v>
      </c>
      <c r="P297" s="187">
        <v>99.41</v>
      </c>
      <c r="Q297" s="187">
        <v>97.78</v>
      </c>
      <c r="R297" s="187">
        <v>34.89</v>
      </c>
      <c r="S297" s="187">
        <v>133.01</v>
      </c>
      <c r="T297" s="187">
        <v>701</v>
      </c>
      <c r="U297" s="187">
        <v>203.37</v>
      </c>
      <c r="V297" s="187">
        <v>683</v>
      </c>
      <c r="W297" s="187">
        <v>174.37</v>
      </c>
      <c r="X297" s="187">
        <v>2</v>
      </c>
      <c r="Y297" s="187">
        <v>28</v>
      </c>
      <c r="Z297" s="187">
        <v>5</v>
      </c>
      <c r="AA297" s="187">
        <v>0</v>
      </c>
      <c r="AB297" s="187">
        <v>62</v>
      </c>
      <c r="AC297" s="187">
        <v>7</v>
      </c>
      <c r="AD297" s="187">
        <v>5809</v>
      </c>
      <c r="AE297" s="187">
        <v>17</v>
      </c>
      <c r="AF297" s="187">
        <v>37</v>
      </c>
      <c r="AG297" s="187">
        <v>54</v>
      </c>
      <c r="AH297" s="187"/>
      <c r="AI297" s="187"/>
      <c r="AJ297" s="187"/>
      <c r="AK297" s="187"/>
      <c r="AL297" s="187"/>
      <c r="AM297" s="187"/>
      <c r="AN297" s="187"/>
      <c r="AO297" s="187"/>
      <c r="AP297" s="187"/>
      <c r="AQ297" s="187"/>
      <c r="AR297" s="187"/>
      <c r="AS297" s="187"/>
      <c r="AT297" s="187"/>
      <c r="AU297" s="187"/>
      <c r="AV297" s="187"/>
      <c r="AW297" s="187"/>
      <c r="AX297" s="187"/>
      <c r="AY297" s="187"/>
      <c r="AZ297" s="187"/>
      <c r="BA297" s="187"/>
      <c r="BB297" s="187"/>
      <c r="BC297" s="187"/>
      <c r="BD297" s="187"/>
      <c r="BE297" s="187"/>
      <c r="BF297" s="187"/>
      <c r="BG297" s="187"/>
      <c r="BH297" s="187"/>
      <c r="BI297" s="187"/>
      <c r="BJ297" s="187"/>
      <c r="BK297" s="187"/>
      <c r="BL297" s="187"/>
      <c r="BM297" s="187"/>
      <c r="BN297" s="187"/>
      <c r="BO297" s="187"/>
      <c r="BP297" s="187"/>
      <c r="BQ297" s="187"/>
      <c r="BR297" s="187"/>
      <c r="BS297" s="187"/>
      <c r="BT297" s="187"/>
      <c r="BU297" s="187"/>
      <c r="BV297" s="187"/>
      <c r="BW297" s="187"/>
      <c r="BX297" s="187"/>
      <c r="BY297" s="187"/>
      <c r="BZ297" s="187"/>
      <c r="CA297" s="187"/>
      <c r="CB297" s="187"/>
      <c r="CC297" s="187"/>
      <c r="CD297" s="187"/>
      <c r="CE297" s="187"/>
      <c r="CF297" s="187"/>
      <c r="CG297" s="187"/>
      <c r="CH297" s="187"/>
      <c r="CI297" s="187"/>
      <c r="CJ297" s="187"/>
      <c r="CK297" s="187"/>
      <c r="CL297" s="187"/>
      <c r="CM297" s="187"/>
      <c r="CN297" s="187"/>
      <c r="CO297" s="187"/>
      <c r="CP297" s="187"/>
      <c r="CQ297" s="187"/>
      <c r="CR297" s="187"/>
      <c r="CS297" s="187"/>
      <c r="CT297" s="187"/>
      <c r="CU297" s="187"/>
      <c r="CV297" s="187"/>
      <c r="CW297" s="187"/>
      <c r="CX297" s="187"/>
      <c r="CY297" s="187"/>
      <c r="CZ297" s="187"/>
      <c r="DA297" s="187"/>
      <c r="DB297" s="187"/>
      <c r="DC297" s="187"/>
      <c r="DD297" s="187"/>
      <c r="DE297" s="187"/>
      <c r="DF297" s="187"/>
      <c r="DG297" s="187"/>
      <c r="DH297" s="187"/>
      <c r="DI297" s="187"/>
      <c r="DJ297" s="187"/>
      <c r="DK297" s="187"/>
      <c r="DL297" s="187"/>
      <c r="DM297" s="187"/>
      <c r="DN297" s="187"/>
      <c r="DO297" s="187"/>
      <c r="DP297" s="187"/>
      <c r="DQ297" s="187"/>
      <c r="DR297" s="187"/>
      <c r="DS297" s="187"/>
      <c r="DT297" s="187"/>
      <c r="DU297" s="187"/>
      <c r="DV297" s="187"/>
      <c r="DW297" s="187"/>
      <c r="DX297" s="187"/>
      <c r="DY297" s="187"/>
      <c r="DZ297" s="187"/>
      <c r="EA297" s="187"/>
      <c r="EB297" s="187"/>
      <c r="EC297" s="187"/>
      <c r="ED297" s="187"/>
      <c r="EE297" s="187"/>
      <c r="EF297" s="187"/>
      <c r="EG297" s="187"/>
      <c r="EH297" s="187"/>
      <c r="EI297" s="187"/>
      <c r="EJ297" s="187"/>
      <c r="EK297" s="187"/>
      <c r="EL297" s="187"/>
      <c r="EM297" s="187"/>
      <c r="EN297" s="187"/>
      <c r="EO297" s="187"/>
      <c r="EP297" s="187"/>
      <c r="EQ297" s="187"/>
      <c r="ER297" s="187"/>
      <c r="ES297" s="187"/>
      <c r="ET297" s="187"/>
      <c r="EU297" s="187"/>
      <c r="EV297" s="187"/>
      <c r="EW297" s="187"/>
      <c r="EX297" s="187"/>
      <c r="EY297" s="187"/>
      <c r="EZ297" s="187"/>
      <c r="FA297" s="187"/>
      <c r="FB297" s="187"/>
      <c r="FC297" s="187"/>
    </row>
    <row r="298" spans="1:159" ht="15" x14ac:dyDescent="0.25">
      <c r="A298" s="187" t="s">
        <v>650</v>
      </c>
      <c r="B298" s="187" t="s">
        <v>651</v>
      </c>
      <c r="C298" s="187">
        <v>1605</v>
      </c>
      <c r="D298" s="187">
        <v>0</v>
      </c>
      <c r="E298" s="187">
        <v>140</v>
      </c>
      <c r="F298" s="187">
        <v>164</v>
      </c>
      <c r="G298" s="187">
        <v>702</v>
      </c>
      <c r="H298" s="187">
        <v>2611</v>
      </c>
      <c r="I298" s="187">
        <v>1909</v>
      </c>
      <c r="J298" s="187">
        <v>3</v>
      </c>
      <c r="K298" s="187">
        <v>125.67</v>
      </c>
      <c r="L298" s="187">
        <v>121.75</v>
      </c>
      <c r="M298" s="187">
        <v>6.08</v>
      </c>
      <c r="N298" s="187">
        <v>131.19999999999999</v>
      </c>
      <c r="O298" s="187">
        <v>923</v>
      </c>
      <c r="P298" s="187">
        <v>115.11</v>
      </c>
      <c r="Q298" s="187">
        <v>98.22</v>
      </c>
      <c r="R298" s="187">
        <v>39.700000000000003</v>
      </c>
      <c r="S298" s="187">
        <v>154.53</v>
      </c>
      <c r="T298" s="187">
        <v>139</v>
      </c>
      <c r="U298" s="187">
        <v>205.87</v>
      </c>
      <c r="V298" s="187">
        <v>630</v>
      </c>
      <c r="W298" s="187">
        <v>149.03</v>
      </c>
      <c r="X298" s="187">
        <v>12</v>
      </c>
      <c r="Y298" s="187">
        <v>0</v>
      </c>
      <c r="Z298" s="187">
        <v>0</v>
      </c>
      <c r="AA298" s="187">
        <v>0</v>
      </c>
      <c r="AB298" s="187">
        <v>90</v>
      </c>
      <c r="AC298" s="187">
        <v>25</v>
      </c>
      <c r="AD298" s="187">
        <v>1498</v>
      </c>
      <c r="AE298" s="187">
        <v>15</v>
      </c>
      <c r="AF298" s="187">
        <v>2</v>
      </c>
      <c r="AG298" s="187">
        <v>17</v>
      </c>
      <c r="AH298" s="187"/>
      <c r="AI298" s="187"/>
      <c r="AJ298" s="187"/>
      <c r="AK298" s="187"/>
      <c r="AL298" s="187"/>
      <c r="AM298" s="187"/>
      <c r="AN298" s="187"/>
      <c r="AO298" s="187"/>
      <c r="AP298" s="187"/>
      <c r="AQ298" s="187"/>
      <c r="AR298" s="187"/>
      <c r="AS298" s="187"/>
      <c r="AT298" s="187"/>
      <c r="AU298" s="187"/>
      <c r="AV298" s="187"/>
      <c r="AW298" s="187"/>
      <c r="AX298" s="187"/>
      <c r="AY298" s="187"/>
      <c r="AZ298" s="187"/>
      <c r="BA298" s="187"/>
      <c r="BB298" s="187"/>
      <c r="BC298" s="187"/>
      <c r="BD298" s="187"/>
      <c r="BE298" s="187"/>
      <c r="BF298" s="187"/>
      <c r="BG298" s="187"/>
      <c r="BH298" s="187"/>
      <c r="BI298" s="187"/>
      <c r="BJ298" s="187"/>
      <c r="BK298" s="187"/>
      <c r="BL298" s="187"/>
      <c r="BM298" s="187"/>
      <c r="BN298" s="187"/>
      <c r="BO298" s="187"/>
      <c r="BP298" s="187"/>
      <c r="BQ298" s="187"/>
      <c r="BR298" s="187"/>
      <c r="BS298" s="187"/>
      <c r="BT298" s="187"/>
      <c r="BU298" s="187"/>
      <c r="BV298" s="187"/>
      <c r="BW298" s="187"/>
      <c r="BX298" s="187"/>
      <c r="BY298" s="187"/>
      <c r="BZ298" s="187"/>
      <c r="CA298" s="187"/>
      <c r="CB298" s="187"/>
      <c r="CC298" s="187"/>
      <c r="CD298" s="187"/>
      <c r="CE298" s="187"/>
      <c r="CF298" s="187"/>
      <c r="CG298" s="187"/>
      <c r="CH298" s="187"/>
      <c r="CI298" s="187"/>
      <c r="CJ298" s="187"/>
      <c r="CK298" s="187"/>
      <c r="CL298" s="187"/>
      <c r="CM298" s="187"/>
      <c r="CN298" s="187"/>
      <c r="CO298" s="187"/>
      <c r="CP298" s="187"/>
      <c r="CQ298" s="187"/>
      <c r="CR298" s="187"/>
      <c r="CS298" s="187"/>
      <c r="CT298" s="187"/>
      <c r="CU298" s="187"/>
      <c r="CV298" s="187"/>
      <c r="CW298" s="187"/>
      <c r="CX298" s="187"/>
      <c r="CY298" s="187"/>
      <c r="CZ298" s="187"/>
      <c r="DA298" s="187"/>
      <c r="DB298" s="187"/>
      <c r="DC298" s="187"/>
      <c r="DD298" s="187"/>
      <c r="DE298" s="187"/>
      <c r="DF298" s="187"/>
      <c r="DG298" s="187"/>
      <c r="DH298" s="187"/>
      <c r="DI298" s="187"/>
      <c r="DJ298" s="187"/>
      <c r="DK298" s="187"/>
      <c r="DL298" s="187"/>
      <c r="DM298" s="187"/>
      <c r="DN298" s="187"/>
      <c r="DO298" s="187"/>
      <c r="DP298" s="187"/>
      <c r="DQ298" s="187"/>
      <c r="DR298" s="187"/>
      <c r="DS298" s="187"/>
      <c r="DT298" s="187"/>
      <c r="DU298" s="187"/>
      <c r="DV298" s="187"/>
      <c r="DW298" s="187"/>
      <c r="DX298" s="187"/>
      <c r="DY298" s="187"/>
      <c r="DZ298" s="187"/>
      <c r="EA298" s="187"/>
      <c r="EB298" s="187"/>
      <c r="EC298" s="187"/>
      <c r="ED298" s="187"/>
      <c r="EE298" s="187"/>
      <c r="EF298" s="187"/>
      <c r="EG298" s="187"/>
      <c r="EH298" s="187"/>
      <c r="EI298" s="187"/>
      <c r="EJ298" s="187"/>
      <c r="EK298" s="187"/>
      <c r="EL298" s="187"/>
      <c r="EM298" s="187"/>
      <c r="EN298" s="187"/>
      <c r="EO298" s="187"/>
      <c r="EP298" s="187"/>
      <c r="EQ298" s="187"/>
      <c r="ER298" s="187"/>
      <c r="ES298" s="187"/>
      <c r="ET298" s="187"/>
      <c r="EU298" s="187"/>
      <c r="EV298" s="187"/>
      <c r="EW298" s="187"/>
      <c r="EX298" s="187"/>
      <c r="EY298" s="187"/>
      <c r="EZ298" s="187"/>
      <c r="FA298" s="187"/>
      <c r="FB298" s="187"/>
      <c r="FC298" s="187"/>
    </row>
    <row r="299" spans="1:159" ht="15" x14ac:dyDescent="0.25">
      <c r="A299" s="187" t="s">
        <v>652</v>
      </c>
      <c r="B299" s="187" t="s">
        <v>653</v>
      </c>
      <c r="C299" s="187">
        <v>2696</v>
      </c>
      <c r="D299" s="187">
        <v>0</v>
      </c>
      <c r="E299" s="187">
        <v>151</v>
      </c>
      <c r="F299" s="187">
        <v>325</v>
      </c>
      <c r="G299" s="187">
        <v>795</v>
      </c>
      <c r="H299" s="187">
        <v>3967</v>
      </c>
      <c r="I299" s="187">
        <v>3172</v>
      </c>
      <c r="J299" s="187">
        <v>6</v>
      </c>
      <c r="K299" s="187">
        <v>109.47</v>
      </c>
      <c r="L299" s="187">
        <v>105.29</v>
      </c>
      <c r="M299" s="187">
        <v>6.76</v>
      </c>
      <c r="N299" s="187">
        <v>114.69</v>
      </c>
      <c r="O299" s="187">
        <v>1417</v>
      </c>
      <c r="P299" s="187">
        <v>94.37</v>
      </c>
      <c r="Q299" s="187">
        <v>81.39</v>
      </c>
      <c r="R299" s="187">
        <v>43.62</v>
      </c>
      <c r="S299" s="187">
        <v>135.75</v>
      </c>
      <c r="T299" s="187">
        <v>234</v>
      </c>
      <c r="U299" s="187">
        <v>164.57</v>
      </c>
      <c r="V299" s="187">
        <v>1251</v>
      </c>
      <c r="W299" s="187">
        <v>278.61</v>
      </c>
      <c r="X299" s="187">
        <v>103</v>
      </c>
      <c r="Y299" s="187">
        <v>15</v>
      </c>
      <c r="Z299" s="187">
        <v>0</v>
      </c>
      <c r="AA299" s="187">
        <v>0</v>
      </c>
      <c r="AB299" s="187">
        <v>54</v>
      </c>
      <c r="AC299" s="187">
        <v>10</v>
      </c>
      <c r="AD299" s="187">
        <v>2665</v>
      </c>
      <c r="AE299" s="187">
        <v>30</v>
      </c>
      <c r="AF299" s="187">
        <v>9</v>
      </c>
      <c r="AG299" s="187">
        <v>39</v>
      </c>
      <c r="AH299" s="187"/>
      <c r="AI299" s="187"/>
      <c r="AJ299" s="187"/>
      <c r="AK299" s="187"/>
      <c r="AL299" s="187"/>
      <c r="AM299" s="187"/>
      <c r="AN299" s="187"/>
      <c r="AO299" s="187"/>
      <c r="AP299" s="187"/>
      <c r="AQ299" s="187"/>
      <c r="AR299" s="187"/>
      <c r="AS299" s="187"/>
      <c r="AT299" s="187"/>
      <c r="AU299" s="187"/>
      <c r="AV299" s="187"/>
      <c r="AW299" s="187"/>
      <c r="AX299" s="187"/>
      <c r="AY299" s="187"/>
      <c r="AZ299" s="187"/>
      <c r="BA299" s="187"/>
      <c r="BB299" s="187"/>
      <c r="BC299" s="187"/>
      <c r="BD299" s="187"/>
      <c r="BE299" s="187"/>
      <c r="BF299" s="187"/>
      <c r="BG299" s="187"/>
      <c r="BH299" s="187"/>
      <c r="BI299" s="187"/>
      <c r="BJ299" s="187"/>
      <c r="BK299" s="187"/>
      <c r="BL299" s="187"/>
      <c r="BM299" s="187"/>
      <c r="BN299" s="187"/>
      <c r="BO299" s="187"/>
      <c r="BP299" s="187"/>
      <c r="BQ299" s="187"/>
      <c r="BR299" s="187"/>
      <c r="BS299" s="187"/>
      <c r="BT299" s="187"/>
      <c r="BU299" s="187"/>
      <c r="BV299" s="187"/>
      <c r="BW299" s="187"/>
      <c r="BX299" s="187"/>
      <c r="BY299" s="187"/>
      <c r="BZ299" s="187"/>
      <c r="CA299" s="187"/>
      <c r="CB299" s="187"/>
      <c r="CC299" s="187"/>
      <c r="CD299" s="187"/>
      <c r="CE299" s="187"/>
      <c r="CF299" s="187"/>
      <c r="CG299" s="187"/>
      <c r="CH299" s="187"/>
      <c r="CI299" s="187"/>
      <c r="CJ299" s="187"/>
      <c r="CK299" s="187"/>
      <c r="CL299" s="187"/>
      <c r="CM299" s="187"/>
      <c r="CN299" s="187"/>
      <c r="CO299" s="187"/>
      <c r="CP299" s="187"/>
      <c r="CQ299" s="187"/>
      <c r="CR299" s="187"/>
      <c r="CS299" s="187"/>
      <c r="CT299" s="187"/>
      <c r="CU299" s="187"/>
      <c r="CV299" s="187"/>
      <c r="CW299" s="187"/>
      <c r="CX299" s="187"/>
      <c r="CY299" s="187"/>
      <c r="CZ299" s="187"/>
      <c r="DA299" s="187"/>
      <c r="DB299" s="187"/>
      <c r="DC299" s="187"/>
      <c r="DD299" s="187"/>
      <c r="DE299" s="187"/>
      <c r="DF299" s="187"/>
      <c r="DG299" s="187"/>
      <c r="DH299" s="187"/>
      <c r="DI299" s="187"/>
      <c r="DJ299" s="187"/>
      <c r="DK299" s="187"/>
      <c r="DL299" s="187"/>
      <c r="DM299" s="187"/>
      <c r="DN299" s="187"/>
      <c r="DO299" s="187"/>
      <c r="DP299" s="187"/>
      <c r="DQ299" s="187"/>
      <c r="DR299" s="187"/>
      <c r="DS299" s="187"/>
      <c r="DT299" s="187"/>
      <c r="DU299" s="187"/>
      <c r="DV299" s="187"/>
      <c r="DW299" s="187"/>
      <c r="DX299" s="187"/>
      <c r="DY299" s="187"/>
      <c r="DZ299" s="187"/>
      <c r="EA299" s="187"/>
      <c r="EB299" s="187"/>
      <c r="EC299" s="187"/>
      <c r="ED299" s="187"/>
      <c r="EE299" s="187"/>
      <c r="EF299" s="187"/>
      <c r="EG299" s="187"/>
      <c r="EH299" s="187"/>
      <c r="EI299" s="187"/>
      <c r="EJ299" s="187"/>
      <c r="EK299" s="187"/>
      <c r="EL299" s="187"/>
      <c r="EM299" s="187"/>
      <c r="EN299" s="187"/>
      <c r="EO299" s="187"/>
      <c r="EP299" s="187"/>
      <c r="EQ299" s="187"/>
      <c r="ER299" s="187"/>
      <c r="ES299" s="187"/>
      <c r="ET299" s="187"/>
      <c r="EU299" s="187"/>
      <c r="EV299" s="187"/>
      <c r="EW299" s="187"/>
      <c r="EX299" s="187"/>
      <c r="EY299" s="187"/>
      <c r="EZ299" s="187"/>
      <c r="FA299" s="187"/>
      <c r="FB299" s="187"/>
      <c r="FC299" s="187"/>
    </row>
    <row r="300" spans="1:159" ht="15" x14ac:dyDescent="0.25">
      <c r="A300" s="187" t="s">
        <v>654</v>
      </c>
      <c r="B300" s="187" t="s">
        <v>655</v>
      </c>
      <c r="C300" s="187">
        <v>3041</v>
      </c>
      <c r="D300" s="187">
        <v>0</v>
      </c>
      <c r="E300" s="187">
        <v>392</v>
      </c>
      <c r="F300" s="187">
        <v>389</v>
      </c>
      <c r="G300" s="187">
        <v>818</v>
      </c>
      <c r="H300" s="187">
        <v>4640</v>
      </c>
      <c r="I300" s="187">
        <v>3822</v>
      </c>
      <c r="J300" s="187">
        <v>149</v>
      </c>
      <c r="K300" s="187">
        <v>118.23</v>
      </c>
      <c r="L300" s="187">
        <v>115.91</v>
      </c>
      <c r="M300" s="187">
        <v>9.91</v>
      </c>
      <c r="N300" s="187">
        <v>126.65</v>
      </c>
      <c r="O300" s="187">
        <v>2346</v>
      </c>
      <c r="P300" s="187">
        <v>116.63</v>
      </c>
      <c r="Q300" s="187">
        <v>106.73</v>
      </c>
      <c r="R300" s="187">
        <v>46.47</v>
      </c>
      <c r="S300" s="187">
        <v>158.96</v>
      </c>
      <c r="T300" s="187">
        <v>573</v>
      </c>
      <c r="U300" s="187">
        <v>167.82</v>
      </c>
      <c r="V300" s="187">
        <v>627</v>
      </c>
      <c r="W300" s="187">
        <v>0</v>
      </c>
      <c r="X300" s="187">
        <v>0</v>
      </c>
      <c r="Y300" s="187">
        <v>0</v>
      </c>
      <c r="Z300" s="187">
        <v>3</v>
      </c>
      <c r="AA300" s="187">
        <v>0</v>
      </c>
      <c r="AB300" s="187">
        <v>53</v>
      </c>
      <c r="AC300" s="187">
        <v>27</v>
      </c>
      <c r="AD300" s="187">
        <v>2998</v>
      </c>
      <c r="AE300" s="187">
        <v>21</v>
      </c>
      <c r="AF300" s="187">
        <v>15</v>
      </c>
      <c r="AG300" s="187">
        <v>36</v>
      </c>
      <c r="AH300" s="187"/>
      <c r="AI300" s="187"/>
      <c r="AJ300" s="187"/>
      <c r="AK300" s="187"/>
      <c r="AL300" s="187"/>
      <c r="AM300" s="187"/>
      <c r="AN300" s="187"/>
      <c r="AO300" s="187"/>
      <c r="AP300" s="187"/>
      <c r="AQ300" s="187"/>
      <c r="AR300" s="187"/>
      <c r="AS300" s="187"/>
      <c r="AT300" s="187"/>
      <c r="AU300" s="187"/>
      <c r="AV300" s="187"/>
      <c r="AW300" s="187"/>
      <c r="AX300" s="187"/>
      <c r="AY300" s="187"/>
      <c r="AZ300" s="187"/>
      <c r="BA300" s="187"/>
      <c r="BB300" s="187"/>
      <c r="BC300" s="187"/>
      <c r="BD300" s="187"/>
      <c r="BE300" s="187"/>
      <c r="BF300" s="187"/>
      <c r="BG300" s="187"/>
      <c r="BH300" s="187"/>
      <c r="BI300" s="187"/>
      <c r="BJ300" s="187"/>
      <c r="BK300" s="187"/>
      <c r="BL300" s="187"/>
      <c r="BM300" s="187"/>
      <c r="BN300" s="187"/>
      <c r="BO300" s="187"/>
      <c r="BP300" s="187"/>
      <c r="BQ300" s="187"/>
      <c r="BR300" s="187"/>
      <c r="BS300" s="187"/>
      <c r="BT300" s="187"/>
      <c r="BU300" s="187"/>
      <c r="BV300" s="187"/>
      <c r="BW300" s="187"/>
      <c r="BX300" s="187"/>
      <c r="BY300" s="187"/>
      <c r="BZ300" s="187"/>
      <c r="CA300" s="187"/>
      <c r="CB300" s="187"/>
      <c r="CC300" s="187"/>
      <c r="CD300" s="187"/>
      <c r="CE300" s="187"/>
      <c r="CF300" s="187"/>
      <c r="CG300" s="187"/>
      <c r="CH300" s="187"/>
      <c r="CI300" s="187"/>
      <c r="CJ300" s="187"/>
      <c r="CK300" s="187"/>
      <c r="CL300" s="187"/>
      <c r="CM300" s="187"/>
      <c r="CN300" s="187"/>
      <c r="CO300" s="187"/>
      <c r="CP300" s="187"/>
      <c r="CQ300" s="187"/>
      <c r="CR300" s="187"/>
      <c r="CS300" s="187"/>
      <c r="CT300" s="187"/>
      <c r="CU300" s="187"/>
      <c r="CV300" s="187"/>
      <c r="CW300" s="187"/>
      <c r="CX300" s="187"/>
      <c r="CY300" s="187"/>
      <c r="CZ300" s="187"/>
      <c r="DA300" s="187"/>
      <c r="DB300" s="187"/>
      <c r="DC300" s="187"/>
      <c r="DD300" s="187"/>
      <c r="DE300" s="187"/>
      <c r="DF300" s="187"/>
      <c r="DG300" s="187"/>
      <c r="DH300" s="187"/>
      <c r="DI300" s="187"/>
      <c r="DJ300" s="187"/>
      <c r="DK300" s="187"/>
      <c r="DL300" s="187"/>
      <c r="DM300" s="187"/>
      <c r="DN300" s="187"/>
      <c r="DO300" s="187"/>
      <c r="DP300" s="187"/>
      <c r="DQ300" s="187"/>
      <c r="DR300" s="187"/>
      <c r="DS300" s="187"/>
      <c r="DT300" s="187"/>
      <c r="DU300" s="187"/>
      <c r="DV300" s="187"/>
      <c r="DW300" s="187"/>
      <c r="DX300" s="187"/>
      <c r="DY300" s="187"/>
      <c r="DZ300" s="187"/>
      <c r="EA300" s="187"/>
      <c r="EB300" s="187"/>
      <c r="EC300" s="187"/>
      <c r="ED300" s="187"/>
      <c r="EE300" s="187"/>
      <c r="EF300" s="187"/>
      <c r="EG300" s="187"/>
      <c r="EH300" s="187"/>
      <c r="EI300" s="187"/>
      <c r="EJ300" s="187"/>
      <c r="EK300" s="187"/>
      <c r="EL300" s="187"/>
      <c r="EM300" s="187"/>
      <c r="EN300" s="187"/>
      <c r="EO300" s="187"/>
      <c r="EP300" s="187"/>
      <c r="EQ300" s="187"/>
      <c r="ER300" s="187"/>
      <c r="ES300" s="187"/>
      <c r="ET300" s="187"/>
      <c r="EU300" s="187"/>
      <c r="EV300" s="187"/>
      <c r="EW300" s="187"/>
      <c r="EX300" s="187"/>
      <c r="EY300" s="187"/>
      <c r="EZ300" s="187"/>
      <c r="FA300" s="187"/>
      <c r="FB300" s="187"/>
      <c r="FC300" s="187"/>
    </row>
    <row r="301" spans="1:159" ht="15" x14ac:dyDescent="0.25">
      <c r="A301" s="187" t="s">
        <v>656</v>
      </c>
      <c r="B301" s="187" t="s">
        <v>657</v>
      </c>
      <c r="C301" s="187">
        <v>8060</v>
      </c>
      <c r="D301" s="187">
        <v>0</v>
      </c>
      <c r="E301" s="187">
        <v>367</v>
      </c>
      <c r="F301" s="187">
        <v>883</v>
      </c>
      <c r="G301" s="187">
        <v>863</v>
      </c>
      <c r="H301" s="187">
        <v>10173</v>
      </c>
      <c r="I301" s="187">
        <v>9310</v>
      </c>
      <c r="J301" s="187">
        <v>10</v>
      </c>
      <c r="K301" s="187">
        <v>126.16</v>
      </c>
      <c r="L301" s="187">
        <v>124.59</v>
      </c>
      <c r="M301" s="187">
        <v>6.31</v>
      </c>
      <c r="N301" s="187">
        <v>129.43</v>
      </c>
      <c r="O301" s="187">
        <v>7663</v>
      </c>
      <c r="P301" s="187">
        <v>114.68</v>
      </c>
      <c r="Q301" s="187">
        <v>106.9</v>
      </c>
      <c r="R301" s="187">
        <v>39.340000000000003</v>
      </c>
      <c r="S301" s="187">
        <v>151.49</v>
      </c>
      <c r="T301" s="187">
        <v>1105</v>
      </c>
      <c r="U301" s="187">
        <v>162.36000000000001</v>
      </c>
      <c r="V301" s="187">
        <v>387</v>
      </c>
      <c r="W301" s="187">
        <v>163.22</v>
      </c>
      <c r="X301" s="187">
        <v>42</v>
      </c>
      <c r="Y301" s="187">
        <v>133</v>
      </c>
      <c r="Z301" s="187">
        <v>4</v>
      </c>
      <c r="AA301" s="187">
        <v>25</v>
      </c>
      <c r="AB301" s="187">
        <v>57</v>
      </c>
      <c r="AC301" s="187">
        <v>19</v>
      </c>
      <c r="AD301" s="187">
        <v>8044</v>
      </c>
      <c r="AE301" s="187">
        <v>4</v>
      </c>
      <c r="AF301" s="187">
        <v>91</v>
      </c>
      <c r="AG301" s="187">
        <v>95</v>
      </c>
      <c r="AH301" s="187"/>
      <c r="AI301" s="187"/>
      <c r="AJ301" s="187"/>
      <c r="AK301" s="187"/>
      <c r="AL301" s="187"/>
      <c r="AM301" s="187"/>
      <c r="AN301" s="187"/>
      <c r="AO301" s="187"/>
      <c r="AP301" s="187"/>
      <c r="AQ301" s="187"/>
      <c r="AR301" s="187"/>
      <c r="AS301" s="187"/>
      <c r="AT301" s="187"/>
      <c r="AU301" s="187"/>
      <c r="AV301" s="187"/>
      <c r="AW301" s="187"/>
      <c r="AX301" s="187"/>
      <c r="AY301" s="187"/>
      <c r="AZ301" s="187"/>
      <c r="BA301" s="187"/>
      <c r="BB301" s="187"/>
      <c r="BC301" s="187"/>
      <c r="BD301" s="187"/>
      <c r="BE301" s="187"/>
      <c r="BF301" s="187"/>
      <c r="BG301" s="187"/>
      <c r="BH301" s="187"/>
      <c r="BI301" s="187"/>
      <c r="BJ301" s="187"/>
      <c r="BK301" s="187"/>
      <c r="BL301" s="187"/>
      <c r="BM301" s="187"/>
      <c r="BN301" s="187"/>
      <c r="BO301" s="187"/>
      <c r="BP301" s="187"/>
      <c r="BQ301" s="187"/>
      <c r="BR301" s="187"/>
      <c r="BS301" s="187"/>
      <c r="BT301" s="187"/>
      <c r="BU301" s="187"/>
      <c r="BV301" s="187"/>
      <c r="BW301" s="187"/>
      <c r="BX301" s="187"/>
      <c r="BY301" s="187"/>
      <c r="BZ301" s="187"/>
      <c r="CA301" s="187"/>
      <c r="CB301" s="187"/>
      <c r="CC301" s="187"/>
      <c r="CD301" s="187"/>
      <c r="CE301" s="187"/>
      <c r="CF301" s="187"/>
      <c r="CG301" s="187"/>
      <c r="CH301" s="187"/>
      <c r="CI301" s="187"/>
      <c r="CJ301" s="187"/>
      <c r="CK301" s="187"/>
      <c r="CL301" s="187"/>
      <c r="CM301" s="187"/>
      <c r="CN301" s="187"/>
      <c r="CO301" s="187"/>
      <c r="CP301" s="187"/>
      <c r="CQ301" s="187"/>
      <c r="CR301" s="187"/>
      <c r="CS301" s="187"/>
      <c r="CT301" s="187"/>
      <c r="CU301" s="187"/>
      <c r="CV301" s="187"/>
      <c r="CW301" s="187"/>
      <c r="CX301" s="187"/>
      <c r="CY301" s="187"/>
      <c r="CZ301" s="187"/>
      <c r="DA301" s="187"/>
      <c r="DB301" s="187"/>
      <c r="DC301" s="187"/>
      <c r="DD301" s="187"/>
      <c r="DE301" s="187"/>
      <c r="DF301" s="187"/>
      <c r="DG301" s="187"/>
      <c r="DH301" s="187"/>
      <c r="DI301" s="187"/>
      <c r="DJ301" s="187"/>
      <c r="DK301" s="187"/>
      <c r="DL301" s="187"/>
      <c r="DM301" s="187"/>
      <c r="DN301" s="187"/>
      <c r="DO301" s="187"/>
      <c r="DP301" s="187"/>
      <c r="DQ301" s="187"/>
      <c r="DR301" s="187"/>
      <c r="DS301" s="187"/>
      <c r="DT301" s="187"/>
      <c r="DU301" s="187"/>
      <c r="DV301" s="187"/>
      <c r="DW301" s="187"/>
      <c r="DX301" s="187"/>
      <c r="DY301" s="187"/>
      <c r="DZ301" s="187"/>
      <c r="EA301" s="187"/>
      <c r="EB301" s="187"/>
      <c r="EC301" s="187"/>
      <c r="ED301" s="187"/>
      <c r="EE301" s="187"/>
      <c r="EF301" s="187"/>
      <c r="EG301" s="187"/>
      <c r="EH301" s="187"/>
      <c r="EI301" s="187"/>
      <c r="EJ301" s="187"/>
      <c r="EK301" s="187"/>
      <c r="EL301" s="187"/>
      <c r="EM301" s="187"/>
      <c r="EN301" s="187"/>
      <c r="EO301" s="187"/>
      <c r="EP301" s="187"/>
      <c r="EQ301" s="187"/>
      <c r="ER301" s="187"/>
      <c r="ES301" s="187"/>
      <c r="ET301" s="187"/>
      <c r="EU301" s="187"/>
      <c r="EV301" s="187"/>
      <c r="EW301" s="187"/>
      <c r="EX301" s="187"/>
      <c r="EY301" s="187"/>
      <c r="EZ301" s="187"/>
      <c r="FA301" s="187"/>
      <c r="FB301" s="187"/>
      <c r="FC301" s="187"/>
    </row>
    <row r="302" spans="1:159" ht="15" x14ac:dyDescent="0.25">
      <c r="A302" s="187" t="s">
        <v>658</v>
      </c>
      <c r="B302" s="187" t="s">
        <v>659</v>
      </c>
      <c r="C302" s="187">
        <v>2200</v>
      </c>
      <c r="D302" s="187">
        <v>2</v>
      </c>
      <c r="E302" s="187">
        <v>92</v>
      </c>
      <c r="F302" s="187">
        <v>307</v>
      </c>
      <c r="G302" s="187">
        <v>158</v>
      </c>
      <c r="H302" s="187">
        <v>2759</v>
      </c>
      <c r="I302" s="187">
        <v>2601</v>
      </c>
      <c r="J302" s="187">
        <v>0</v>
      </c>
      <c r="K302" s="187">
        <v>91.98</v>
      </c>
      <c r="L302" s="187">
        <v>88.59</v>
      </c>
      <c r="M302" s="187">
        <v>3.29</v>
      </c>
      <c r="N302" s="187">
        <v>94.28</v>
      </c>
      <c r="O302" s="187">
        <v>1960</v>
      </c>
      <c r="P302" s="187">
        <v>86.2</v>
      </c>
      <c r="Q302" s="187">
        <v>78.819999999999993</v>
      </c>
      <c r="R302" s="187">
        <v>25.06</v>
      </c>
      <c r="S302" s="187">
        <v>111.09</v>
      </c>
      <c r="T302" s="187">
        <v>291</v>
      </c>
      <c r="U302" s="187">
        <v>128.33000000000001</v>
      </c>
      <c r="V302" s="187">
        <v>233</v>
      </c>
      <c r="W302" s="187">
        <v>0</v>
      </c>
      <c r="X302" s="187">
        <v>0</v>
      </c>
      <c r="Y302" s="187">
        <v>0</v>
      </c>
      <c r="Z302" s="187">
        <v>3</v>
      </c>
      <c r="AA302" s="187">
        <v>8</v>
      </c>
      <c r="AB302" s="187">
        <v>6</v>
      </c>
      <c r="AC302" s="187">
        <v>6</v>
      </c>
      <c r="AD302" s="187">
        <v>2188</v>
      </c>
      <c r="AE302" s="187">
        <v>12</v>
      </c>
      <c r="AF302" s="187">
        <v>11</v>
      </c>
      <c r="AG302" s="187">
        <v>23</v>
      </c>
      <c r="AH302" s="187"/>
      <c r="AI302" s="187"/>
      <c r="AJ302" s="187"/>
      <c r="AK302" s="187"/>
      <c r="AL302" s="187"/>
      <c r="AM302" s="187"/>
      <c r="AN302" s="187"/>
      <c r="AO302" s="187"/>
      <c r="AP302" s="187"/>
      <c r="AQ302" s="187"/>
      <c r="AR302" s="187"/>
      <c r="AS302" s="187"/>
      <c r="AT302" s="187"/>
      <c r="AU302" s="187"/>
      <c r="AV302" s="187"/>
      <c r="AW302" s="187"/>
      <c r="AX302" s="187"/>
      <c r="AY302" s="187"/>
      <c r="AZ302" s="187"/>
      <c r="BA302" s="187"/>
      <c r="BB302" s="187"/>
      <c r="BC302" s="187"/>
      <c r="BD302" s="187"/>
      <c r="BE302" s="187"/>
      <c r="BF302" s="187"/>
      <c r="BG302" s="187"/>
      <c r="BH302" s="187"/>
      <c r="BI302" s="187"/>
      <c r="BJ302" s="187"/>
      <c r="BK302" s="187"/>
      <c r="BL302" s="187"/>
      <c r="BM302" s="187"/>
      <c r="BN302" s="187"/>
      <c r="BO302" s="187"/>
      <c r="BP302" s="187"/>
      <c r="BQ302" s="187"/>
      <c r="BR302" s="187"/>
      <c r="BS302" s="187"/>
      <c r="BT302" s="187"/>
      <c r="BU302" s="187"/>
      <c r="BV302" s="187"/>
      <c r="BW302" s="187"/>
      <c r="BX302" s="187"/>
      <c r="BY302" s="187"/>
      <c r="BZ302" s="187"/>
      <c r="CA302" s="187"/>
      <c r="CB302" s="187"/>
      <c r="CC302" s="187"/>
      <c r="CD302" s="187"/>
      <c r="CE302" s="187"/>
      <c r="CF302" s="187"/>
      <c r="CG302" s="187"/>
      <c r="CH302" s="187"/>
      <c r="CI302" s="187"/>
      <c r="CJ302" s="187"/>
      <c r="CK302" s="187"/>
      <c r="CL302" s="187"/>
      <c r="CM302" s="187"/>
      <c r="CN302" s="187"/>
      <c r="CO302" s="187"/>
      <c r="CP302" s="187"/>
      <c r="CQ302" s="187"/>
      <c r="CR302" s="187"/>
      <c r="CS302" s="187"/>
      <c r="CT302" s="187"/>
      <c r="CU302" s="187"/>
      <c r="CV302" s="187"/>
      <c r="CW302" s="187"/>
      <c r="CX302" s="187"/>
      <c r="CY302" s="187"/>
      <c r="CZ302" s="187"/>
      <c r="DA302" s="187"/>
      <c r="DB302" s="187"/>
      <c r="DC302" s="187"/>
      <c r="DD302" s="187"/>
      <c r="DE302" s="187"/>
      <c r="DF302" s="187"/>
      <c r="DG302" s="187"/>
      <c r="DH302" s="187"/>
      <c r="DI302" s="187"/>
      <c r="DJ302" s="187"/>
      <c r="DK302" s="187"/>
      <c r="DL302" s="187"/>
      <c r="DM302" s="187"/>
      <c r="DN302" s="187"/>
      <c r="DO302" s="187"/>
      <c r="DP302" s="187"/>
      <c r="DQ302" s="187"/>
      <c r="DR302" s="187"/>
      <c r="DS302" s="187"/>
      <c r="DT302" s="187"/>
      <c r="DU302" s="187"/>
      <c r="DV302" s="187"/>
      <c r="DW302" s="187"/>
      <c r="DX302" s="187"/>
      <c r="DY302" s="187"/>
      <c r="DZ302" s="187"/>
      <c r="EA302" s="187"/>
      <c r="EB302" s="187"/>
      <c r="EC302" s="187"/>
      <c r="ED302" s="187"/>
      <c r="EE302" s="187"/>
      <c r="EF302" s="187"/>
      <c r="EG302" s="187"/>
      <c r="EH302" s="187"/>
      <c r="EI302" s="187"/>
      <c r="EJ302" s="187"/>
      <c r="EK302" s="187"/>
      <c r="EL302" s="187"/>
      <c r="EM302" s="187"/>
      <c r="EN302" s="187"/>
      <c r="EO302" s="187"/>
      <c r="EP302" s="187"/>
      <c r="EQ302" s="187"/>
      <c r="ER302" s="187"/>
      <c r="ES302" s="187"/>
      <c r="ET302" s="187"/>
      <c r="EU302" s="187"/>
      <c r="EV302" s="187"/>
      <c r="EW302" s="187"/>
      <c r="EX302" s="187"/>
      <c r="EY302" s="187"/>
      <c r="EZ302" s="187"/>
      <c r="FA302" s="187"/>
      <c r="FB302" s="187"/>
      <c r="FC302" s="187"/>
    </row>
    <row r="303" spans="1:159" ht="15" x14ac:dyDescent="0.25">
      <c r="A303" s="187" t="s">
        <v>660</v>
      </c>
      <c r="B303" s="187" t="s">
        <v>661</v>
      </c>
      <c r="C303" s="187">
        <v>1059</v>
      </c>
      <c r="D303" s="187">
        <v>0</v>
      </c>
      <c r="E303" s="187">
        <v>219</v>
      </c>
      <c r="F303" s="187">
        <v>371</v>
      </c>
      <c r="G303" s="187">
        <v>538</v>
      </c>
      <c r="H303" s="187">
        <v>2187</v>
      </c>
      <c r="I303" s="187">
        <v>1649</v>
      </c>
      <c r="J303" s="187">
        <v>1</v>
      </c>
      <c r="K303" s="187">
        <v>98.2</v>
      </c>
      <c r="L303" s="187">
        <v>97.02</v>
      </c>
      <c r="M303" s="187">
        <v>5.52</v>
      </c>
      <c r="N303" s="187">
        <v>101.82</v>
      </c>
      <c r="O303" s="187">
        <v>557</v>
      </c>
      <c r="P303" s="187">
        <v>109.04</v>
      </c>
      <c r="Q303" s="187">
        <v>87.75</v>
      </c>
      <c r="R303" s="187">
        <v>45.59</v>
      </c>
      <c r="S303" s="187">
        <v>154.15</v>
      </c>
      <c r="T303" s="187">
        <v>474</v>
      </c>
      <c r="U303" s="187">
        <v>118.04</v>
      </c>
      <c r="V303" s="187">
        <v>430</v>
      </c>
      <c r="W303" s="187">
        <v>424</v>
      </c>
      <c r="X303" s="187">
        <v>24</v>
      </c>
      <c r="Y303" s="187">
        <v>0</v>
      </c>
      <c r="Z303" s="187">
        <v>1</v>
      </c>
      <c r="AA303" s="187">
        <v>0</v>
      </c>
      <c r="AB303" s="187">
        <v>76</v>
      </c>
      <c r="AC303" s="187">
        <v>7</v>
      </c>
      <c r="AD303" s="187">
        <v>1044</v>
      </c>
      <c r="AE303" s="187">
        <v>7</v>
      </c>
      <c r="AF303" s="187">
        <v>2</v>
      </c>
      <c r="AG303" s="187">
        <v>9</v>
      </c>
      <c r="AH303" s="187"/>
      <c r="AI303" s="187"/>
      <c r="AJ303" s="187"/>
      <c r="AK303" s="187"/>
      <c r="AL303" s="187"/>
      <c r="AM303" s="187"/>
      <c r="AN303" s="187"/>
      <c r="AO303" s="187"/>
      <c r="AP303" s="187"/>
      <c r="AQ303" s="187"/>
      <c r="AR303" s="187"/>
      <c r="AS303" s="187"/>
      <c r="AT303" s="187"/>
      <c r="AU303" s="187"/>
      <c r="AV303" s="187"/>
      <c r="AW303" s="187"/>
      <c r="AX303" s="187"/>
      <c r="AY303" s="187"/>
      <c r="AZ303" s="187"/>
      <c r="BA303" s="187"/>
      <c r="BB303" s="187"/>
      <c r="BC303" s="187"/>
      <c r="BD303" s="187"/>
      <c r="BE303" s="187"/>
      <c r="BF303" s="187"/>
      <c r="BG303" s="187"/>
      <c r="BH303" s="187"/>
      <c r="BI303" s="187"/>
      <c r="BJ303" s="187"/>
      <c r="BK303" s="187"/>
      <c r="BL303" s="187"/>
      <c r="BM303" s="187"/>
      <c r="BN303" s="187"/>
      <c r="BO303" s="187"/>
      <c r="BP303" s="187"/>
      <c r="BQ303" s="187"/>
      <c r="BR303" s="187"/>
      <c r="BS303" s="187"/>
      <c r="BT303" s="187"/>
      <c r="BU303" s="187"/>
      <c r="BV303" s="187"/>
      <c r="BW303" s="187"/>
      <c r="BX303" s="187"/>
      <c r="BY303" s="187"/>
      <c r="BZ303" s="187"/>
      <c r="CA303" s="187"/>
      <c r="CB303" s="187"/>
      <c r="CC303" s="187"/>
      <c r="CD303" s="187"/>
      <c r="CE303" s="187"/>
      <c r="CF303" s="187"/>
      <c r="CG303" s="187"/>
      <c r="CH303" s="187"/>
      <c r="CI303" s="187"/>
      <c r="CJ303" s="187"/>
      <c r="CK303" s="187"/>
      <c r="CL303" s="187"/>
      <c r="CM303" s="187"/>
      <c r="CN303" s="187"/>
      <c r="CO303" s="187"/>
      <c r="CP303" s="187"/>
      <c r="CQ303" s="187"/>
      <c r="CR303" s="187"/>
      <c r="CS303" s="187"/>
      <c r="CT303" s="187"/>
      <c r="CU303" s="187"/>
      <c r="CV303" s="187"/>
      <c r="CW303" s="187"/>
      <c r="CX303" s="187"/>
      <c r="CY303" s="187"/>
      <c r="CZ303" s="187"/>
      <c r="DA303" s="187"/>
      <c r="DB303" s="187"/>
      <c r="DC303" s="187"/>
      <c r="DD303" s="187"/>
      <c r="DE303" s="187"/>
      <c r="DF303" s="187"/>
      <c r="DG303" s="187"/>
      <c r="DH303" s="187"/>
      <c r="DI303" s="187"/>
      <c r="DJ303" s="187"/>
      <c r="DK303" s="187"/>
      <c r="DL303" s="187"/>
      <c r="DM303" s="187"/>
      <c r="DN303" s="187"/>
      <c r="DO303" s="187"/>
      <c r="DP303" s="187"/>
      <c r="DQ303" s="187"/>
      <c r="DR303" s="187"/>
      <c r="DS303" s="187"/>
      <c r="DT303" s="187"/>
      <c r="DU303" s="187"/>
      <c r="DV303" s="187"/>
      <c r="DW303" s="187"/>
      <c r="DX303" s="187"/>
      <c r="DY303" s="187"/>
      <c r="DZ303" s="187"/>
      <c r="EA303" s="187"/>
      <c r="EB303" s="187"/>
      <c r="EC303" s="187"/>
      <c r="ED303" s="187"/>
      <c r="EE303" s="187"/>
      <c r="EF303" s="187"/>
      <c r="EG303" s="187"/>
      <c r="EH303" s="187"/>
      <c r="EI303" s="187"/>
      <c r="EJ303" s="187"/>
      <c r="EK303" s="187"/>
      <c r="EL303" s="187"/>
      <c r="EM303" s="187"/>
      <c r="EN303" s="187"/>
      <c r="EO303" s="187"/>
      <c r="EP303" s="187"/>
      <c r="EQ303" s="187"/>
      <c r="ER303" s="187"/>
      <c r="ES303" s="187"/>
      <c r="ET303" s="187"/>
      <c r="EU303" s="187"/>
      <c r="EV303" s="187"/>
      <c r="EW303" s="187"/>
      <c r="EX303" s="187"/>
      <c r="EY303" s="187"/>
      <c r="EZ303" s="187"/>
      <c r="FA303" s="187"/>
      <c r="FB303" s="187"/>
      <c r="FC303" s="187"/>
    </row>
    <row r="304" spans="1:159" ht="15" x14ac:dyDescent="0.25">
      <c r="A304" s="187" t="s">
        <v>662</v>
      </c>
      <c r="B304" s="187" t="s">
        <v>663</v>
      </c>
      <c r="C304" s="187">
        <v>4357</v>
      </c>
      <c r="D304" s="187">
        <v>0</v>
      </c>
      <c r="E304" s="187">
        <v>95</v>
      </c>
      <c r="F304" s="187">
        <v>423</v>
      </c>
      <c r="G304" s="187">
        <v>405</v>
      </c>
      <c r="H304" s="187">
        <v>5280</v>
      </c>
      <c r="I304" s="187">
        <v>4875</v>
      </c>
      <c r="J304" s="187">
        <v>4</v>
      </c>
      <c r="K304" s="187">
        <v>84.73</v>
      </c>
      <c r="L304" s="187">
        <v>84.54</v>
      </c>
      <c r="M304" s="187">
        <v>4.24</v>
      </c>
      <c r="N304" s="187">
        <v>86.19</v>
      </c>
      <c r="O304" s="187">
        <v>3707</v>
      </c>
      <c r="P304" s="187">
        <v>83.6</v>
      </c>
      <c r="Q304" s="187">
        <v>76.59</v>
      </c>
      <c r="R304" s="187">
        <v>33.159999999999997</v>
      </c>
      <c r="S304" s="187">
        <v>116.76</v>
      </c>
      <c r="T304" s="187">
        <v>463</v>
      </c>
      <c r="U304" s="187">
        <v>109.92</v>
      </c>
      <c r="V304" s="187">
        <v>627</v>
      </c>
      <c r="W304" s="187">
        <v>125.01</v>
      </c>
      <c r="X304" s="187">
        <v>36</v>
      </c>
      <c r="Y304" s="187">
        <v>21</v>
      </c>
      <c r="Z304" s="187">
        <v>9</v>
      </c>
      <c r="AA304" s="187">
        <v>1</v>
      </c>
      <c r="AB304" s="187">
        <v>36</v>
      </c>
      <c r="AC304" s="187">
        <v>2</v>
      </c>
      <c r="AD304" s="187">
        <v>4304</v>
      </c>
      <c r="AE304" s="187">
        <v>14</v>
      </c>
      <c r="AF304" s="187">
        <v>11</v>
      </c>
      <c r="AG304" s="187">
        <v>25</v>
      </c>
      <c r="AH304" s="187"/>
      <c r="AI304" s="187"/>
      <c r="AJ304" s="187"/>
      <c r="AK304" s="187"/>
      <c r="AL304" s="187"/>
      <c r="AM304" s="187"/>
      <c r="AN304" s="187"/>
      <c r="AO304" s="187"/>
      <c r="AP304" s="187"/>
      <c r="AQ304" s="187"/>
      <c r="AR304" s="187"/>
      <c r="AS304" s="187"/>
      <c r="AT304" s="187"/>
      <c r="AU304" s="187"/>
      <c r="AV304" s="187"/>
      <c r="AW304" s="187"/>
      <c r="AX304" s="187"/>
      <c r="AY304" s="187"/>
      <c r="AZ304" s="187"/>
      <c r="BA304" s="187"/>
      <c r="BB304" s="187"/>
      <c r="BC304" s="187"/>
      <c r="BD304" s="187"/>
      <c r="BE304" s="187"/>
      <c r="BF304" s="187"/>
      <c r="BG304" s="187"/>
      <c r="BH304" s="187"/>
      <c r="BI304" s="187"/>
      <c r="BJ304" s="187"/>
      <c r="BK304" s="187"/>
      <c r="BL304" s="187"/>
      <c r="BM304" s="187"/>
      <c r="BN304" s="187"/>
      <c r="BO304" s="187"/>
      <c r="BP304" s="187"/>
      <c r="BQ304" s="187"/>
      <c r="BR304" s="187"/>
      <c r="BS304" s="187"/>
      <c r="BT304" s="187"/>
      <c r="BU304" s="187"/>
      <c r="BV304" s="187"/>
      <c r="BW304" s="187"/>
      <c r="BX304" s="187"/>
      <c r="BY304" s="187"/>
      <c r="BZ304" s="187"/>
      <c r="CA304" s="187"/>
      <c r="CB304" s="187"/>
      <c r="CC304" s="187"/>
      <c r="CD304" s="187"/>
      <c r="CE304" s="187"/>
      <c r="CF304" s="187"/>
      <c r="CG304" s="187"/>
      <c r="CH304" s="187"/>
      <c r="CI304" s="187"/>
      <c r="CJ304" s="187"/>
      <c r="CK304" s="187"/>
      <c r="CL304" s="187"/>
      <c r="CM304" s="187"/>
      <c r="CN304" s="187"/>
      <c r="CO304" s="187"/>
      <c r="CP304" s="187"/>
      <c r="CQ304" s="187"/>
      <c r="CR304" s="187"/>
      <c r="CS304" s="187"/>
      <c r="CT304" s="187"/>
      <c r="CU304" s="187"/>
      <c r="CV304" s="187"/>
      <c r="CW304" s="187"/>
      <c r="CX304" s="187"/>
      <c r="CY304" s="187"/>
      <c r="CZ304" s="187"/>
      <c r="DA304" s="187"/>
      <c r="DB304" s="187"/>
      <c r="DC304" s="187"/>
      <c r="DD304" s="187"/>
      <c r="DE304" s="187"/>
      <c r="DF304" s="187"/>
      <c r="DG304" s="187"/>
      <c r="DH304" s="187"/>
      <c r="DI304" s="187"/>
      <c r="DJ304" s="187"/>
      <c r="DK304" s="187"/>
      <c r="DL304" s="187"/>
      <c r="DM304" s="187"/>
      <c r="DN304" s="187"/>
      <c r="DO304" s="187"/>
      <c r="DP304" s="187"/>
      <c r="DQ304" s="187"/>
      <c r="DR304" s="187"/>
      <c r="DS304" s="187"/>
      <c r="DT304" s="187"/>
      <c r="DU304" s="187"/>
      <c r="DV304" s="187"/>
      <c r="DW304" s="187"/>
      <c r="DX304" s="187"/>
      <c r="DY304" s="187"/>
      <c r="DZ304" s="187"/>
      <c r="EA304" s="187"/>
      <c r="EB304" s="187"/>
      <c r="EC304" s="187"/>
      <c r="ED304" s="187"/>
      <c r="EE304" s="187"/>
      <c r="EF304" s="187"/>
      <c r="EG304" s="187"/>
      <c r="EH304" s="187"/>
      <c r="EI304" s="187"/>
      <c r="EJ304" s="187"/>
      <c r="EK304" s="187"/>
      <c r="EL304" s="187"/>
      <c r="EM304" s="187"/>
      <c r="EN304" s="187"/>
      <c r="EO304" s="187"/>
      <c r="EP304" s="187"/>
      <c r="EQ304" s="187"/>
      <c r="ER304" s="187"/>
      <c r="ES304" s="187"/>
      <c r="ET304" s="187"/>
      <c r="EU304" s="187"/>
      <c r="EV304" s="187"/>
      <c r="EW304" s="187"/>
      <c r="EX304" s="187"/>
      <c r="EY304" s="187"/>
      <c r="EZ304" s="187"/>
      <c r="FA304" s="187"/>
      <c r="FB304" s="187"/>
      <c r="FC304" s="187"/>
    </row>
    <row r="305" spans="1:159" ht="15" x14ac:dyDescent="0.25">
      <c r="A305" s="187" t="s">
        <v>800</v>
      </c>
      <c r="B305" s="187" t="s">
        <v>798</v>
      </c>
      <c r="C305" s="187">
        <v>11928</v>
      </c>
      <c r="D305" s="187">
        <v>9</v>
      </c>
      <c r="E305" s="187">
        <v>489</v>
      </c>
      <c r="F305" s="187">
        <v>2258</v>
      </c>
      <c r="G305" s="187">
        <v>2732</v>
      </c>
      <c r="H305" s="187">
        <v>17416</v>
      </c>
      <c r="I305" s="187">
        <v>14684</v>
      </c>
      <c r="J305" s="187">
        <v>44</v>
      </c>
      <c r="K305" s="187">
        <v>104.01</v>
      </c>
      <c r="L305" s="187">
        <v>103.92</v>
      </c>
      <c r="M305" s="187">
        <v>6.61</v>
      </c>
      <c r="N305" s="187">
        <v>108.21</v>
      </c>
      <c r="O305" s="187">
        <v>9126</v>
      </c>
      <c r="P305" s="187">
        <v>103.15</v>
      </c>
      <c r="Q305" s="187">
        <v>95.76</v>
      </c>
      <c r="R305" s="187">
        <v>40.61</v>
      </c>
      <c r="S305" s="187">
        <v>135.1</v>
      </c>
      <c r="T305" s="187">
        <v>2701</v>
      </c>
      <c r="U305" s="187">
        <v>140.03</v>
      </c>
      <c r="V305" s="187">
        <v>2324</v>
      </c>
      <c r="W305" s="187">
        <v>126.34</v>
      </c>
      <c r="X305" s="187">
        <v>1</v>
      </c>
      <c r="Y305" s="187">
        <v>11</v>
      </c>
      <c r="Z305" s="187">
        <v>34</v>
      </c>
      <c r="AA305" s="187">
        <v>5</v>
      </c>
      <c r="AB305" s="187">
        <v>205</v>
      </c>
      <c r="AC305" s="187">
        <v>44</v>
      </c>
      <c r="AD305" s="187">
        <v>11640</v>
      </c>
      <c r="AE305" s="187">
        <v>80</v>
      </c>
      <c r="AF305" s="187">
        <v>74</v>
      </c>
      <c r="AG305" s="187">
        <v>154</v>
      </c>
      <c r="AH305" s="187"/>
      <c r="AI305" s="187"/>
      <c r="AJ305" s="187"/>
      <c r="AK305" s="187"/>
      <c r="AL305" s="187"/>
      <c r="AM305" s="187"/>
      <c r="AN305" s="187"/>
      <c r="AO305" s="187"/>
      <c r="AP305" s="187"/>
      <c r="AQ305" s="187"/>
      <c r="AR305" s="187"/>
      <c r="AS305" s="187"/>
      <c r="AT305" s="187"/>
      <c r="AU305" s="187"/>
      <c r="AV305" s="187"/>
      <c r="AW305" s="187"/>
      <c r="AX305" s="187"/>
      <c r="AY305" s="187"/>
      <c r="AZ305" s="187"/>
      <c r="BA305" s="187"/>
      <c r="BB305" s="187"/>
      <c r="BC305" s="187"/>
      <c r="BD305" s="187"/>
      <c r="BE305" s="187"/>
      <c r="BF305" s="187"/>
      <c r="BG305" s="187"/>
      <c r="BH305" s="187"/>
      <c r="BI305" s="187"/>
      <c r="BJ305" s="187"/>
      <c r="BK305" s="187"/>
      <c r="BL305" s="187"/>
      <c r="BM305" s="187"/>
      <c r="BN305" s="187"/>
      <c r="BO305" s="187"/>
      <c r="BP305" s="187"/>
      <c r="BQ305" s="187"/>
      <c r="BR305" s="187"/>
      <c r="BS305" s="187"/>
      <c r="BT305" s="187"/>
      <c r="BU305" s="187"/>
      <c r="BV305" s="187"/>
      <c r="BW305" s="187"/>
      <c r="BX305" s="187"/>
      <c r="BY305" s="187"/>
      <c r="BZ305" s="187"/>
      <c r="CA305" s="187"/>
      <c r="CB305" s="187"/>
      <c r="CC305" s="187"/>
      <c r="CD305" s="187"/>
      <c r="CE305" s="187"/>
      <c r="CF305" s="187"/>
      <c r="CG305" s="187"/>
      <c r="CH305" s="187"/>
      <c r="CI305" s="187"/>
      <c r="CJ305" s="187"/>
      <c r="CK305" s="187"/>
      <c r="CL305" s="187"/>
      <c r="CM305" s="187"/>
      <c r="CN305" s="187"/>
      <c r="CO305" s="187"/>
      <c r="CP305" s="187"/>
      <c r="CQ305" s="187"/>
      <c r="CR305" s="187"/>
      <c r="CS305" s="187"/>
      <c r="CT305" s="187"/>
      <c r="CU305" s="187"/>
      <c r="CV305" s="187"/>
      <c r="CW305" s="187"/>
      <c r="CX305" s="187"/>
      <c r="CY305" s="187"/>
      <c r="CZ305" s="187"/>
      <c r="DA305" s="187"/>
      <c r="DB305" s="187"/>
      <c r="DC305" s="187"/>
      <c r="DD305" s="187"/>
      <c r="DE305" s="187"/>
      <c r="DF305" s="187"/>
      <c r="DG305" s="187"/>
      <c r="DH305" s="187"/>
      <c r="DI305" s="187"/>
      <c r="DJ305" s="187"/>
      <c r="DK305" s="187"/>
      <c r="DL305" s="187"/>
      <c r="DM305" s="187"/>
      <c r="DN305" s="187"/>
      <c r="DO305" s="187"/>
      <c r="DP305" s="187"/>
      <c r="DQ305" s="187"/>
      <c r="DR305" s="187"/>
      <c r="DS305" s="187"/>
      <c r="DT305" s="187"/>
      <c r="DU305" s="187"/>
      <c r="DV305" s="187"/>
      <c r="DW305" s="187"/>
      <c r="DX305" s="187"/>
      <c r="DY305" s="187"/>
      <c r="DZ305" s="187"/>
      <c r="EA305" s="187"/>
      <c r="EB305" s="187"/>
      <c r="EC305" s="187"/>
      <c r="ED305" s="187"/>
      <c r="EE305" s="187"/>
      <c r="EF305" s="187"/>
      <c r="EG305" s="187"/>
      <c r="EH305" s="187"/>
      <c r="EI305" s="187"/>
      <c r="EJ305" s="187"/>
      <c r="EK305" s="187"/>
      <c r="EL305" s="187"/>
      <c r="EM305" s="187"/>
      <c r="EN305" s="187"/>
      <c r="EO305" s="187"/>
      <c r="EP305" s="187"/>
      <c r="EQ305" s="187"/>
      <c r="ER305" s="187"/>
      <c r="ES305" s="187"/>
      <c r="ET305" s="187"/>
      <c r="EU305" s="187"/>
      <c r="EV305" s="187"/>
      <c r="EW305" s="187"/>
      <c r="EX305" s="187"/>
      <c r="EY305" s="187"/>
      <c r="EZ305" s="187"/>
      <c r="FA305" s="187"/>
      <c r="FB305" s="187"/>
      <c r="FC305" s="187"/>
    </row>
    <row r="306" spans="1:159" ht="15" x14ac:dyDescent="0.25">
      <c r="A306" s="187" t="s">
        <v>664</v>
      </c>
      <c r="B306" s="187" t="s">
        <v>665</v>
      </c>
      <c r="C306" s="187">
        <v>6509</v>
      </c>
      <c r="D306" s="187">
        <v>2</v>
      </c>
      <c r="E306" s="187">
        <v>134</v>
      </c>
      <c r="F306" s="187">
        <v>219</v>
      </c>
      <c r="G306" s="187">
        <v>1105</v>
      </c>
      <c r="H306" s="187">
        <v>7969</v>
      </c>
      <c r="I306" s="187">
        <v>6864</v>
      </c>
      <c r="J306" s="187">
        <v>39</v>
      </c>
      <c r="K306" s="187">
        <v>117.72</v>
      </c>
      <c r="L306" s="187">
        <v>119.24</v>
      </c>
      <c r="M306" s="187">
        <v>4.3499999999999996</v>
      </c>
      <c r="N306" s="187">
        <v>119.75</v>
      </c>
      <c r="O306" s="187">
        <v>5039</v>
      </c>
      <c r="P306" s="187">
        <v>105.89</v>
      </c>
      <c r="Q306" s="187">
        <v>97.63</v>
      </c>
      <c r="R306" s="187">
        <v>71.010000000000005</v>
      </c>
      <c r="S306" s="187">
        <v>173.42</v>
      </c>
      <c r="T306" s="187">
        <v>347</v>
      </c>
      <c r="U306" s="187">
        <v>183.47</v>
      </c>
      <c r="V306" s="187">
        <v>1472</v>
      </c>
      <c r="W306" s="187">
        <v>175.28</v>
      </c>
      <c r="X306" s="187">
        <v>2</v>
      </c>
      <c r="Y306" s="187">
        <v>0</v>
      </c>
      <c r="Z306" s="187">
        <v>4</v>
      </c>
      <c r="AA306" s="187">
        <v>6</v>
      </c>
      <c r="AB306" s="187">
        <v>105</v>
      </c>
      <c r="AC306" s="187">
        <v>13</v>
      </c>
      <c r="AD306" s="187">
        <v>6477</v>
      </c>
      <c r="AE306" s="187">
        <v>47</v>
      </c>
      <c r="AF306" s="187">
        <v>115</v>
      </c>
      <c r="AG306" s="187">
        <v>162</v>
      </c>
      <c r="AH306" s="187"/>
      <c r="AI306" s="187"/>
      <c r="AJ306" s="187"/>
      <c r="AK306" s="187"/>
      <c r="AL306" s="187"/>
      <c r="AM306" s="187"/>
      <c r="AN306" s="187"/>
      <c r="AO306" s="187"/>
      <c r="AP306" s="187"/>
      <c r="AQ306" s="187"/>
      <c r="AR306" s="187"/>
      <c r="AS306" s="187"/>
      <c r="AT306" s="187"/>
      <c r="AU306" s="187"/>
      <c r="AV306" s="187"/>
      <c r="AW306" s="187"/>
      <c r="AX306" s="187"/>
      <c r="AY306" s="187"/>
      <c r="AZ306" s="187"/>
      <c r="BA306" s="187"/>
      <c r="BB306" s="187"/>
      <c r="BC306" s="187"/>
      <c r="BD306" s="187"/>
      <c r="BE306" s="187"/>
      <c r="BF306" s="187"/>
      <c r="BG306" s="187"/>
      <c r="BH306" s="187"/>
      <c r="BI306" s="187"/>
      <c r="BJ306" s="187"/>
      <c r="BK306" s="187"/>
      <c r="BL306" s="187"/>
      <c r="BM306" s="187"/>
      <c r="BN306" s="187"/>
      <c r="BO306" s="187"/>
      <c r="BP306" s="187"/>
      <c r="BQ306" s="187"/>
      <c r="BR306" s="187"/>
      <c r="BS306" s="187"/>
      <c r="BT306" s="187"/>
      <c r="BU306" s="187"/>
      <c r="BV306" s="187"/>
      <c r="BW306" s="187"/>
      <c r="BX306" s="187"/>
      <c r="BY306" s="187"/>
      <c r="BZ306" s="187"/>
      <c r="CA306" s="187"/>
      <c r="CB306" s="187"/>
      <c r="CC306" s="187"/>
      <c r="CD306" s="187"/>
      <c r="CE306" s="187"/>
      <c r="CF306" s="187"/>
      <c r="CG306" s="187"/>
      <c r="CH306" s="187"/>
      <c r="CI306" s="187"/>
      <c r="CJ306" s="187"/>
      <c r="CK306" s="187"/>
      <c r="CL306" s="187"/>
      <c r="CM306" s="187"/>
      <c r="CN306" s="187"/>
      <c r="CO306" s="187"/>
      <c r="CP306" s="187"/>
      <c r="CQ306" s="187"/>
      <c r="CR306" s="187"/>
      <c r="CS306" s="187"/>
      <c r="CT306" s="187"/>
      <c r="CU306" s="187"/>
      <c r="CV306" s="187"/>
      <c r="CW306" s="187"/>
      <c r="CX306" s="187"/>
      <c r="CY306" s="187"/>
      <c r="CZ306" s="187"/>
      <c r="DA306" s="187"/>
      <c r="DB306" s="187"/>
      <c r="DC306" s="187"/>
      <c r="DD306" s="187"/>
      <c r="DE306" s="187"/>
      <c r="DF306" s="187"/>
      <c r="DG306" s="187"/>
      <c r="DH306" s="187"/>
      <c r="DI306" s="187"/>
      <c r="DJ306" s="187"/>
      <c r="DK306" s="187"/>
      <c r="DL306" s="187"/>
      <c r="DM306" s="187"/>
      <c r="DN306" s="187"/>
      <c r="DO306" s="187"/>
      <c r="DP306" s="187"/>
      <c r="DQ306" s="187"/>
      <c r="DR306" s="187"/>
      <c r="DS306" s="187"/>
      <c r="DT306" s="187"/>
      <c r="DU306" s="187"/>
      <c r="DV306" s="187"/>
      <c r="DW306" s="187"/>
      <c r="DX306" s="187"/>
      <c r="DY306" s="187"/>
      <c r="DZ306" s="187"/>
      <c r="EA306" s="187"/>
      <c r="EB306" s="187"/>
      <c r="EC306" s="187"/>
      <c r="ED306" s="187"/>
      <c r="EE306" s="187"/>
      <c r="EF306" s="187"/>
      <c r="EG306" s="187"/>
      <c r="EH306" s="187"/>
      <c r="EI306" s="187"/>
      <c r="EJ306" s="187"/>
      <c r="EK306" s="187"/>
      <c r="EL306" s="187"/>
      <c r="EM306" s="187"/>
      <c r="EN306" s="187"/>
      <c r="EO306" s="187"/>
      <c r="EP306" s="187"/>
      <c r="EQ306" s="187"/>
      <c r="ER306" s="187"/>
      <c r="ES306" s="187"/>
      <c r="ET306" s="187"/>
      <c r="EU306" s="187"/>
      <c r="EV306" s="187"/>
      <c r="EW306" s="187"/>
      <c r="EX306" s="187"/>
      <c r="EY306" s="187"/>
      <c r="EZ306" s="187"/>
      <c r="FA306" s="187"/>
      <c r="FB306" s="187"/>
      <c r="FC306" s="187"/>
    </row>
    <row r="307" spans="1:159" ht="15" x14ac:dyDescent="0.25">
      <c r="A307" s="187" t="s">
        <v>666</v>
      </c>
      <c r="B307" s="187" t="s">
        <v>667</v>
      </c>
      <c r="C307" s="187">
        <v>11606</v>
      </c>
      <c r="D307" s="187">
        <v>0</v>
      </c>
      <c r="E307" s="187">
        <v>408</v>
      </c>
      <c r="F307" s="187">
        <v>770</v>
      </c>
      <c r="G307" s="187">
        <v>977</v>
      </c>
      <c r="H307" s="187">
        <v>13761</v>
      </c>
      <c r="I307" s="187">
        <v>12784</v>
      </c>
      <c r="J307" s="187">
        <v>180</v>
      </c>
      <c r="K307" s="187">
        <v>96.45</v>
      </c>
      <c r="L307" s="187">
        <v>95.33</v>
      </c>
      <c r="M307" s="187">
        <v>7.62</v>
      </c>
      <c r="N307" s="187">
        <v>99.09</v>
      </c>
      <c r="O307" s="187">
        <v>9271</v>
      </c>
      <c r="P307" s="187">
        <v>96.54</v>
      </c>
      <c r="Q307" s="187">
        <v>90.08</v>
      </c>
      <c r="R307" s="187">
        <v>58.17</v>
      </c>
      <c r="S307" s="187">
        <v>153.1</v>
      </c>
      <c r="T307" s="187">
        <v>1158</v>
      </c>
      <c r="U307" s="187">
        <v>141.94999999999999</v>
      </c>
      <c r="V307" s="187">
        <v>2081</v>
      </c>
      <c r="W307" s="187">
        <v>0</v>
      </c>
      <c r="X307" s="187">
        <v>0</v>
      </c>
      <c r="Y307" s="187">
        <v>3</v>
      </c>
      <c r="Z307" s="187">
        <v>16</v>
      </c>
      <c r="AA307" s="187">
        <v>16</v>
      </c>
      <c r="AB307" s="187">
        <v>70</v>
      </c>
      <c r="AC307" s="187">
        <v>19</v>
      </c>
      <c r="AD307" s="187">
        <v>11575</v>
      </c>
      <c r="AE307" s="187">
        <v>39</v>
      </c>
      <c r="AF307" s="187">
        <v>40</v>
      </c>
      <c r="AG307" s="187">
        <v>79</v>
      </c>
      <c r="AH307" s="187"/>
      <c r="AI307" s="187"/>
      <c r="AJ307" s="187"/>
      <c r="AK307" s="187"/>
      <c r="AL307" s="187"/>
      <c r="AM307" s="187"/>
      <c r="AN307" s="187"/>
      <c r="AO307" s="187"/>
      <c r="AP307" s="187"/>
      <c r="AQ307" s="187"/>
      <c r="AR307" s="187"/>
      <c r="AS307" s="187"/>
      <c r="AT307" s="187"/>
      <c r="AU307" s="187"/>
      <c r="AV307" s="187"/>
      <c r="AW307" s="187"/>
      <c r="AX307" s="187"/>
      <c r="AY307" s="187"/>
      <c r="AZ307" s="187"/>
      <c r="BA307" s="187"/>
      <c r="BB307" s="187"/>
      <c r="BC307" s="187"/>
      <c r="BD307" s="187"/>
      <c r="BE307" s="187"/>
      <c r="BF307" s="187"/>
      <c r="BG307" s="187"/>
      <c r="BH307" s="187"/>
      <c r="BI307" s="187"/>
      <c r="BJ307" s="187"/>
      <c r="BK307" s="187"/>
      <c r="BL307" s="187"/>
      <c r="BM307" s="187"/>
      <c r="BN307" s="187"/>
      <c r="BO307" s="187"/>
      <c r="BP307" s="187"/>
      <c r="BQ307" s="187"/>
      <c r="BR307" s="187"/>
      <c r="BS307" s="187"/>
      <c r="BT307" s="187"/>
      <c r="BU307" s="187"/>
      <c r="BV307" s="187"/>
      <c r="BW307" s="187"/>
      <c r="BX307" s="187"/>
      <c r="BY307" s="187"/>
      <c r="BZ307" s="187"/>
      <c r="CA307" s="187"/>
      <c r="CB307" s="187"/>
      <c r="CC307" s="187"/>
      <c r="CD307" s="187"/>
      <c r="CE307" s="187"/>
      <c r="CF307" s="187"/>
      <c r="CG307" s="187"/>
      <c r="CH307" s="187"/>
      <c r="CI307" s="187"/>
      <c r="CJ307" s="187"/>
      <c r="CK307" s="187"/>
      <c r="CL307" s="187"/>
      <c r="CM307" s="187"/>
      <c r="CN307" s="187"/>
      <c r="CO307" s="187"/>
      <c r="CP307" s="187"/>
      <c r="CQ307" s="187"/>
      <c r="CR307" s="187"/>
      <c r="CS307" s="187"/>
      <c r="CT307" s="187"/>
      <c r="CU307" s="187"/>
      <c r="CV307" s="187"/>
      <c r="CW307" s="187"/>
      <c r="CX307" s="187"/>
      <c r="CY307" s="187"/>
      <c r="CZ307" s="187"/>
      <c r="DA307" s="187"/>
      <c r="DB307" s="187"/>
      <c r="DC307" s="187"/>
      <c r="DD307" s="187"/>
      <c r="DE307" s="187"/>
      <c r="DF307" s="187"/>
      <c r="DG307" s="187"/>
      <c r="DH307" s="187"/>
      <c r="DI307" s="187"/>
      <c r="DJ307" s="187"/>
      <c r="DK307" s="187"/>
      <c r="DL307" s="187"/>
      <c r="DM307" s="187"/>
      <c r="DN307" s="187"/>
      <c r="DO307" s="187"/>
      <c r="DP307" s="187"/>
      <c r="DQ307" s="187"/>
      <c r="DR307" s="187"/>
      <c r="DS307" s="187"/>
      <c r="DT307" s="187"/>
      <c r="DU307" s="187"/>
      <c r="DV307" s="187"/>
      <c r="DW307" s="187"/>
      <c r="DX307" s="187"/>
      <c r="DY307" s="187"/>
      <c r="DZ307" s="187"/>
      <c r="EA307" s="187"/>
      <c r="EB307" s="187"/>
      <c r="EC307" s="187"/>
      <c r="ED307" s="187"/>
      <c r="EE307" s="187"/>
      <c r="EF307" s="187"/>
      <c r="EG307" s="187"/>
      <c r="EH307" s="187"/>
      <c r="EI307" s="187"/>
      <c r="EJ307" s="187"/>
      <c r="EK307" s="187"/>
      <c r="EL307" s="187"/>
      <c r="EM307" s="187"/>
      <c r="EN307" s="187"/>
      <c r="EO307" s="187"/>
      <c r="EP307" s="187"/>
      <c r="EQ307" s="187"/>
      <c r="ER307" s="187"/>
      <c r="ES307" s="187"/>
      <c r="ET307" s="187"/>
      <c r="EU307" s="187"/>
      <c r="EV307" s="187"/>
      <c r="EW307" s="187"/>
      <c r="EX307" s="187"/>
      <c r="EY307" s="187"/>
      <c r="EZ307" s="187"/>
      <c r="FA307" s="187"/>
      <c r="FB307" s="187"/>
      <c r="FC307" s="187"/>
    </row>
    <row r="308" spans="1:159" ht="15" x14ac:dyDescent="0.25">
      <c r="A308" s="187" t="s">
        <v>668</v>
      </c>
      <c r="B308" s="187" t="s">
        <v>669</v>
      </c>
      <c r="C308" s="187">
        <v>12566</v>
      </c>
      <c r="D308" s="187">
        <v>886</v>
      </c>
      <c r="E308" s="187">
        <v>1386</v>
      </c>
      <c r="F308" s="187">
        <v>897</v>
      </c>
      <c r="G308" s="187">
        <v>506</v>
      </c>
      <c r="H308" s="187">
        <v>16241</v>
      </c>
      <c r="I308" s="187">
        <v>15735</v>
      </c>
      <c r="J308" s="187">
        <v>63</v>
      </c>
      <c r="K308" s="187">
        <v>141.1</v>
      </c>
      <c r="L308" s="187">
        <v>154.6</v>
      </c>
      <c r="M308" s="187">
        <v>10.78</v>
      </c>
      <c r="N308" s="187">
        <v>150.86000000000001</v>
      </c>
      <c r="O308" s="187">
        <v>9544</v>
      </c>
      <c r="P308" s="187">
        <v>131.4</v>
      </c>
      <c r="Q308" s="187">
        <v>130.05000000000001</v>
      </c>
      <c r="R308" s="187">
        <v>80.510000000000005</v>
      </c>
      <c r="S308" s="187">
        <v>200.67</v>
      </c>
      <c r="T308" s="187">
        <v>2036</v>
      </c>
      <c r="U308" s="187">
        <v>219.77</v>
      </c>
      <c r="V308" s="187">
        <v>822</v>
      </c>
      <c r="W308" s="187">
        <v>184.71</v>
      </c>
      <c r="X308" s="187">
        <v>2</v>
      </c>
      <c r="Y308" s="187">
        <v>51</v>
      </c>
      <c r="Z308" s="187">
        <v>1</v>
      </c>
      <c r="AA308" s="187">
        <v>7</v>
      </c>
      <c r="AB308" s="187">
        <v>0</v>
      </c>
      <c r="AC308" s="187">
        <v>15</v>
      </c>
      <c r="AD308" s="187">
        <v>10794</v>
      </c>
      <c r="AE308" s="187">
        <v>44</v>
      </c>
      <c r="AF308" s="187">
        <v>75</v>
      </c>
      <c r="AG308" s="187">
        <v>119</v>
      </c>
      <c r="AH308" s="187"/>
      <c r="AI308" s="187"/>
      <c r="AJ308" s="187"/>
      <c r="AK308" s="187"/>
      <c r="AL308" s="187"/>
      <c r="AM308" s="187"/>
      <c r="AN308" s="187"/>
      <c r="AO308" s="187"/>
      <c r="AP308" s="187"/>
      <c r="AQ308" s="187"/>
      <c r="AR308" s="187"/>
      <c r="AS308" s="187"/>
      <c r="AT308" s="187"/>
      <c r="AU308" s="187"/>
      <c r="AV308" s="187"/>
      <c r="AW308" s="187"/>
      <c r="AX308" s="187"/>
      <c r="AY308" s="187"/>
      <c r="AZ308" s="187"/>
      <c r="BA308" s="187"/>
      <c r="BB308" s="187"/>
      <c r="BC308" s="187"/>
      <c r="BD308" s="187"/>
      <c r="BE308" s="187"/>
      <c r="BF308" s="187"/>
      <c r="BG308" s="187"/>
      <c r="BH308" s="187"/>
      <c r="BI308" s="187"/>
      <c r="BJ308" s="187"/>
      <c r="BK308" s="187"/>
      <c r="BL308" s="187"/>
      <c r="BM308" s="187"/>
      <c r="BN308" s="187"/>
      <c r="BO308" s="187"/>
      <c r="BP308" s="187"/>
      <c r="BQ308" s="187"/>
      <c r="BR308" s="187"/>
      <c r="BS308" s="187"/>
      <c r="BT308" s="187"/>
      <c r="BU308" s="187"/>
      <c r="BV308" s="187"/>
      <c r="BW308" s="187"/>
      <c r="BX308" s="187"/>
      <c r="BY308" s="187"/>
      <c r="BZ308" s="187"/>
      <c r="CA308" s="187"/>
      <c r="CB308" s="187"/>
      <c r="CC308" s="187"/>
      <c r="CD308" s="187"/>
      <c r="CE308" s="187"/>
      <c r="CF308" s="187"/>
      <c r="CG308" s="187"/>
      <c r="CH308" s="187"/>
      <c r="CI308" s="187"/>
      <c r="CJ308" s="187"/>
      <c r="CK308" s="187"/>
      <c r="CL308" s="187"/>
      <c r="CM308" s="187"/>
      <c r="CN308" s="187"/>
      <c r="CO308" s="187"/>
      <c r="CP308" s="187"/>
      <c r="CQ308" s="187"/>
      <c r="CR308" s="187"/>
      <c r="CS308" s="187"/>
      <c r="CT308" s="187"/>
      <c r="CU308" s="187"/>
      <c r="CV308" s="187"/>
      <c r="CW308" s="187"/>
      <c r="CX308" s="187"/>
      <c r="CY308" s="187"/>
      <c r="CZ308" s="187"/>
      <c r="DA308" s="187"/>
      <c r="DB308" s="187"/>
      <c r="DC308" s="187"/>
      <c r="DD308" s="187"/>
      <c r="DE308" s="187"/>
      <c r="DF308" s="187"/>
      <c r="DG308" s="187"/>
      <c r="DH308" s="187"/>
      <c r="DI308" s="187"/>
      <c r="DJ308" s="187"/>
      <c r="DK308" s="187"/>
      <c r="DL308" s="187"/>
      <c r="DM308" s="187"/>
      <c r="DN308" s="187"/>
      <c r="DO308" s="187"/>
      <c r="DP308" s="187"/>
      <c r="DQ308" s="187"/>
      <c r="DR308" s="187"/>
      <c r="DS308" s="187"/>
      <c r="DT308" s="187"/>
      <c r="DU308" s="187"/>
      <c r="DV308" s="187"/>
      <c r="DW308" s="187"/>
      <c r="DX308" s="187"/>
      <c r="DY308" s="187"/>
      <c r="DZ308" s="187"/>
      <c r="EA308" s="187"/>
      <c r="EB308" s="187"/>
      <c r="EC308" s="187"/>
      <c r="ED308" s="187"/>
      <c r="EE308" s="187"/>
      <c r="EF308" s="187"/>
      <c r="EG308" s="187"/>
      <c r="EH308" s="187"/>
      <c r="EI308" s="187"/>
      <c r="EJ308" s="187"/>
      <c r="EK308" s="187"/>
      <c r="EL308" s="187"/>
      <c r="EM308" s="187"/>
      <c r="EN308" s="187"/>
      <c r="EO308" s="187"/>
      <c r="EP308" s="187"/>
      <c r="EQ308" s="187"/>
      <c r="ER308" s="187"/>
      <c r="ES308" s="187"/>
      <c r="ET308" s="187"/>
      <c r="EU308" s="187"/>
      <c r="EV308" s="187"/>
      <c r="EW308" s="187"/>
      <c r="EX308" s="187"/>
      <c r="EY308" s="187"/>
      <c r="EZ308" s="187"/>
      <c r="FA308" s="187"/>
      <c r="FB308" s="187"/>
      <c r="FC308" s="187"/>
    </row>
    <row r="309" spans="1:159" ht="15" x14ac:dyDescent="0.25">
      <c r="A309" s="187" t="s">
        <v>670</v>
      </c>
      <c r="B309" s="187" t="s">
        <v>671</v>
      </c>
      <c r="C309" s="187">
        <v>2807</v>
      </c>
      <c r="D309" s="187">
        <v>0</v>
      </c>
      <c r="E309" s="187">
        <v>760</v>
      </c>
      <c r="F309" s="187">
        <v>867</v>
      </c>
      <c r="G309" s="187">
        <v>814</v>
      </c>
      <c r="H309" s="187">
        <v>5248</v>
      </c>
      <c r="I309" s="187">
        <v>4434</v>
      </c>
      <c r="J309" s="187">
        <v>4</v>
      </c>
      <c r="K309" s="187">
        <v>84.29</v>
      </c>
      <c r="L309" s="187">
        <v>81.02</v>
      </c>
      <c r="M309" s="187">
        <v>7.8</v>
      </c>
      <c r="N309" s="187">
        <v>88.76</v>
      </c>
      <c r="O309" s="187">
        <v>1719</v>
      </c>
      <c r="P309" s="187">
        <v>104.14</v>
      </c>
      <c r="Q309" s="187">
        <v>73.52</v>
      </c>
      <c r="R309" s="187">
        <v>72.260000000000005</v>
      </c>
      <c r="S309" s="187">
        <v>176.26</v>
      </c>
      <c r="T309" s="187">
        <v>1498</v>
      </c>
      <c r="U309" s="187">
        <v>110.22</v>
      </c>
      <c r="V309" s="187">
        <v>990</v>
      </c>
      <c r="W309" s="187">
        <v>197.2</v>
      </c>
      <c r="X309" s="187">
        <v>39</v>
      </c>
      <c r="Y309" s="187">
        <v>4</v>
      </c>
      <c r="Z309" s="187">
        <v>3</v>
      </c>
      <c r="AA309" s="187">
        <v>16</v>
      </c>
      <c r="AB309" s="187">
        <v>100</v>
      </c>
      <c r="AC309" s="187">
        <v>29</v>
      </c>
      <c r="AD309" s="187">
        <v>2779</v>
      </c>
      <c r="AE309" s="187">
        <v>52</v>
      </c>
      <c r="AF309" s="187">
        <v>15</v>
      </c>
      <c r="AG309" s="187">
        <v>67</v>
      </c>
      <c r="AH309" s="187"/>
      <c r="AI309" s="187"/>
      <c r="AJ309" s="187"/>
      <c r="AK309" s="187"/>
      <c r="AL309" s="187"/>
      <c r="AM309" s="187"/>
      <c r="AN309" s="187"/>
      <c r="AO309" s="187"/>
      <c r="AP309" s="187"/>
      <c r="AQ309" s="187"/>
      <c r="AR309" s="187"/>
      <c r="AS309" s="187"/>
      <c r="AT309" s="187"/>
      <c r="AU309" s="187"/>
      <c r="AV309" s="187"/>
      <c r="AW309" s="187"/>
      <c r="AX309" s="187"/>
      <c r="AY309" s="187"/>
      <c r="AZ309" s="187"/>
      <c r="BA309" s="187"/>
      <c r="BB309" s="187"/>
      <c r="BC309" s="187"/>
      <c r="BD309" s="187"/>
      <c r="BE309" s="187"/>
      <c r="BF309" s="187"/>
      <c r="BG309" s="187"/>
      <c r="BH309" s="187"/>
      <c r="BI309" s="187"/>
      <c r="BJ309" s="187"/>
      <c r="BK309" s="187"/>
      <c r="BL309" s="187"/>
      <c r="BM309" s="187"/>
      <c r="BN309" s="187"/>
      <c r="BO309" s="187"/>
      <c r="BP309" s="187"/>
      <c r="BQ309" s="187"/>
      <c r="BR309" s="187"/>
      <c r="BS309" s="187"/>
      <c r="BT309" s="187"/>
      <c r="BU309" s="187"/>
      <c r="BV309" s="187"/>
      <c r="BW309" s="187"/>
      <c r="BX309" s="187"/>
      <c r="BY309" s="187"/>
      <c r="BZ309" s="187"/>
      <c r="CA309" s="187"/>
      <c r="CB309" s="187"/>
      <c r="CC309" s="187"/>
      <c r="CD309" s="187"/>
      <c r="CE309" s="187"/>
      <c r="CF309" s="187"/>
      <c r="CG309" s="187"/>
      <c r="CH309" s="187"/>
      <c r="CI309" s="187"/>
      <c r="CJ309" s="187"/>
      <c r="CK309" s="187"/>
      <c r="CL309" s="187"/>
      <c r="CM309" s="187"/>
      <c r="CN309" s="187"/>
      <c r="CO309" s="187"/>
      <c r="CP309" s="187"/>
      <c r="CQ309" s="187"/>
      <c r="CR309" s="187"/>
      <c r="CS309" s="187"/>
      <c r="CT309" s="187"/>
      <c r="CU309" s="187"/>
      <c r="CV309" s="187"/>
      <c r="CW309" s="187"/>
      <c r="CX309" s="187"/>
      <c r="CY309" s="187"/>
      <c r="CZ309" s="187"/>
      <c r="DA309" s="187"/>
      <c r="DB309" s="187"/>
      <c r="DC309" s="187"/>
      <c r="DD309" s="187"/>
      <c r="DE309" s="187"/>
      <c r="DF309" s="187"/>
      <c r="DG309" s="187"/>
      <c r="DH309" s="187"/>
      <c r="DI309" s="187"/>
      <c r="DJ309" s="187"/>
      <c r="DK309" s="187"/>
      <c r="DL309" s="187"/>
      <c r="DM309" s="187"/>
      <c r="DN309" s="187"/>
      <c r="DO309" s="187"/>
      <c r="DP309" s="187"/>
      <c r="DQ309" s="187"/>
      <c r="DR309" s="187"/>
      <c r="DS309" s="187"/>
      <c r="DT309" s="187"/>
      <c r="DU309" s="187"/>
      <c r="DV309" s="187"/>
      <c r="DW309" s="187"/>
      <c r="DX309" s="187"/>
      <c r="DY309" s="187"/>
      <c r="DZ309" s="187"/>
      <c r="EA309" s="187"/>
      <c r="EB309" s="187"/>
      <c r="EC309" s="187"/>
      <c r="ED309" s="187"/>
      <c r="EE309" s="187"/>
      <c r="EF309" s="187"/>
      <c r="EG309" s="187"/>
      <c r="EH309" s="187"/>
      <c r="EI309" s="187"/>
      <c r="EJ309" s="187"/>
      <c r="EK309" s="187"/>
      <c r="EL309" s="187"/>
      <c r="EM309" s="187"/>
      <c r="EN309" s="187"/>
      <c r="EO309" s="187"/>
      <c r="EP309" s="187"/>
      <c r="EQ309" s="187"/>
      <c r="ER309" s="187"/>
      <c r="ES309" s="187"/>
      <c r="ET309" s="187"/>
      <c r="EU309" s="187"/>
      <c r="EV309" s="187"/>
      <c r="EW309" s="187"/>
      <c r="EX309" s="187"/>
      <c r="EY309" s="187"/>
      <c r="EZ309" s="187"/>
      <c r="FA309" s="187"/>
      <c r="FB309" s="187"/>
      <c r="FC309" s="187"/>
    </row>
    <row r="310" spans="1:159" ht="15" x14ac:dyDescent="0.25">
      <c r="A310" s="187" t="s">
        <v>672</v>
      </c>
      <c r="B310" s="187" t="s">
        <v>673</v>
      </c>
      <c r="C310" s="187">
        <v>22943</v>
      </c>
      <c r="D310" s="187">
        <v>0</v>
      </c>
      <c r="E310" s="187">
        <v>697</v>
      </c>
      <c r="F310" s="187">
        <v>2960</v>
      </c>
      <c r="G310" s="187">
        <v>2674</v>
      </c>
      <c r="H310" s="187">
        <v>29274</v>
      </c>
      <c r="I310" s="187">
        <v>26600</v>
      </c>
      <c r="J310" s="187">
        <v>668</v>
      </c>
      <c r="K310" s="187">
        <v>106.47</v>
      </c>
      <c r="L310" s="187">
        <v>104.06</v>
      </c>
      <c r="M310" s="187">
        <v>4.6100000000000003</v>
      </c>
      <c r="N310" s="187">
        <v>109.29</v>
      </c>
      <c r="O310" s="187">
        <v>18807</v>
      </c>
      <c r="P310" s="187">
        <v>101.44</v>
      </c>
      <c r="Q310" s="187">
        <v>93.07</v>
      </c>
      <c r="R310" s="187">
        <v>27.64</v>
      </c>
      <c r="S310" s="187">
        <v>128.44</v>
      </c>
      <c r="T310" s="187">
        <v>3214</v>
      </c>
      <c r="U310" s="187">
        <v>143.97</v>
      </c>
      <c r="V310" s="187">
        <v>3720</v>
      </c>
      <c r="W310" s="187">
        <v>180.31</v>
      </c>
      <c r="X310" s="187">
        <v>74</v>
      </c>
      <c r="Y310" s="187">
        <v>0</v>
      </c>
      <c r="Z310" s="187">
        <v>15</v>
      </c>
      <c r="AA310" s="187">
        <v>44</v>
      </c>
      <c r="AB310" s="187">
        <v>242</v>
      </c>
      <c r="AC310" s="187">
        <v>57</v>
      </c>
      <c r="AD310" s="187">
        <v>22538</v>
      </c>
      <c r="AE310" s="187">
        <v>118</v>
      </c>
      <c r="AF310" s="187">
        <v>114</v>
      </c>
      <c r="AG310" s="187">
        <v>232</v>
      </c>
      <c r="AH310" s="187"/>
      <c r="AI310" s="187"/>
      <c r="AJ310" s="187"/>
      <c r="AK310" s="187"/>
      <c r="AL310" s="187"/>
      <c r="AM310" s="187"/>
      <c r="AN310" s="187"/>
      <c r="AO310" s="187"/>
      <c r="AP310" s="187"/>
      <c r="AQ310" s="187"/>
      <c r="AR310" s="187"/>
      <c r="AS310" s="187"/>
      <c r="AT310" s="187"/>
      <c r="AU310" s="187"/>
      <c r="AV310" s="187"/>
      <c r="AW310" s="187"/>
      <c r="AX310" s="187"/>
      <c r="AY310" s="187"/>
      <c r="AZ310" s="187"/>
      <c r="BA310" s="187"/>
      <c r="BB310" s="187"/>
      <c r="BC310" s="187"/>
      <c r="BD310" s="187"/>
      <c r="BE310" s="187"/>
      <c r="BF310" s="187"/>
      <c r="BG310" s="187"/>
      <c r="BH310" s="187"/>
      <c r="BI310" s="187"/>
      <c r="BJ310" s="187"/>
      <c r="BK310" s="187"/>
      <c r="BL310" s="187"/>
      <c r="BM310" s="187"/>
      <c r="BN310" s="187"/>
      <c r="BO310" s="187"/>
      <c r="BP310" s="187"/>
      <c r="BQ310" s="187"/>
      <c r="BR310" s="187"/>
      <c r="BS310" s="187"/>
      <c r="BT310" s="187"/>
      <c r="BU310" s="187"/>
      <c r="BV310" s="187"/>
      <c r="BW310" s="187"/>
      <c r="BX310" s="187"/>
      <c r="BY310" s="187"/>
      <c r="BZ310" s="187"/>
      <c r="CA310" s="187"/>
      <c r="CB310" s="187"/>
      <c r="CC310" s="187"/>
      <c r="CD310" s="187"/>
      <c r="CE310" s="187"/>
      <c r="CF310" s="187"/>
      <c r="CG310" s="187"/>
      <c r="CH310" s="187"/>
      <c r="CI310" s="187"/>
      <c r="CJ310" s="187"/>
      <c r="CK310" s="187"/>
      <c r="CL310" s="187"/>
      <c r="CM310" s="187"/>
      <c r="CN310" s="187"/>
      <c r="CO310" s="187"/>
      <c r="CP310" s="187"/>
      <c r="CQ310" s="187"/>
      <c r="CR310" s="187"/>
      <c r="CS310" s="187"/>
      <c r="CT310" s="187"/>
      <c r="CU310" s="187"/>
      <c r="CV310" s="187"/>
      <c r="CW310" s="187"/>
      <c r="CX310" s="187"/>
      <c r="CY310" s="187"/>
      <c r="CZ310" s="187"/>
      <c r="DA310" s="187"/>
      <c r="DB310" s="187"/>
      <c r="DC310" s="187"/>
      <c r="DD310" s="187"/>
      <c r="DE310" s="187"/>
      <c r="DF310" s="187"/>
      <c r="DG310" s="187"/>
      <c r="DH310" s="187"/>
      <c r="DI310" s="187"/>
      <c r="DJ310" s="187"/>
      <c r="DK310" s="187"/>
      <c r="DL310" s="187"/>
      <c r="DM310" s="187"/>
      <c r="DN310" s="187"/>
      <c r="DO310" s="187"/>
      <c r="DP310" s="187"/>
      <c r="DQ310" s="187"/>
      <c r="DR310" s="187"/>
      <c r="DS310" s="187"/>
      <c r="DT310" s="187"/>
      <c r="DU310" s="187"/>
      <c r="DV310" s="187"/>
      <c r="DW310" s="187"/>
      <c r="DX310" s="187"/>
      <c r="DY310" s="187"/>
      <c r="DZ310" s="187"/>
      <c r="EA310" s="187"/>
      <c r="EB310" s="187"/>
      <c r="EC310" s="187"/>
      <c r="ED310" s="187"/>
      <c r="EE310" s="187"/>
      <c r="EF310" s="187"/>
      <c r="EG310" s="187"/>
      <c r="EH310" s="187"/>
      <c r="EI310" s="187"/>
      <c r="EJ310" s="187"/>
      <c r="EK310" s="187"/>
      <c r="EL310" s="187"/>
      <c r="EM310" s="187"/>
      <c r="EN310" s="187"/>
      <c r="EO310" s="187"/>
      <c r="EP310" s="187"/>
      <c r="EQ310" s="187"/>
      <c r="ER310" s="187"/>
      <c r="ES310" s="187"/>
      <c r="ET310" s="187"/>
      <c r="EU310" s="187"/>
      <c r="EV310" s="187"/>
      <c r="EW310" s="187"/>
      <c r="EX310" s="187"/>
      <c r="EY310" s="187"/>
      <c r="EZ310" s="187"/>
      <c r="FA310" s="187"/>
      <c r="FB310" s="187"/>
      <c r="FC310" s="187"/>
    </row>
    <row r="311" spans="1:159" ht="15" x14ac:dyDescent="0.25">
      <c r="A311" s="187" t="s">
        <v>674</v>
      </c>
      <c r="B311" s="187" t="s">
        <v>675</v>
      </c>
      <c r="C311" s="187">
        <v>2915</v>
      </c>
      <c r="D311" s="187">
        <v>0</v>
      </c>
      <c r="E311" s="187">
        <v>240</v>
      </c>
      <c r="F311" s="187">
        <v>244</v>
      </c>
      <c r="G311" s="187">
        <v>814</v>
      </c>
      <c r="H311" s="187">
        <v>4213</v>
      </c>
      <c r="I311" s="187">
        <v>3399</v>
      </c>
      <c r="J311" s="187">
        <v>9</v>
      </c>
      <c r="K311" s="187">
        <v>121.17</v>
      </c>
      <c r="L311" s="187">
        <v>116.89</v>
      </c>
      <c r="M311" s="187">
        <v>8.49</v>
      </c>
      <c r="N311" s="187">
        <v>128.94999999999999</v>
      </c>
      <c r="O311" s="187">
        <v>1864</v>
      </c>
      <c r="P311" s="187">
        <v>107.98</v>
      </c>
      <c r="Q311" s="187">
        <v>95.35</v>
      </c>
      <c r="R311" s="187">
        <v>46.38</v>
      </c>
      <c r="S311" s="187">
        <v>148.55000000000001</v>
      </c>
      <c r="T311" s="187">
        <v>431</v>
      </c>
      <c r="U311" s="187">
        <v>182.28</v>
      </c>
      <c r="V311" s="187">
        <v>903</v>
      </c>
      <c r="W311" s="187">
        <v>0</v>
      </c>
      <c r="X311" s="187">
        <v>0</v>
      </c>
      <c r="Y311" s="187">
        <v>0</v>
      </c>
      <c r="Z311" s="187">
        <v>0</v>
      </c>
      <c r="AA311" s="187">
        <v>0</v>
      </c>
      <c r="AB311" s="187">
        <v>154</v>
      </c>
      <c r="AC311" s="187">
        <v>21</v>
      </c>
      <c r="AD311" s="187">
        <v>2657</v>
      </c>
      <c r="AE311" s="187">
        <v>17</v>
      </c>
      <c r="AF311" s="187">
        <v>26</v>
      </c>
      <c r="AG311" s="187">
        <v>43</v>
      </c>
      <c r="AH311" s="187"/>
      <c r="AI311" s="187"/>
      <c r="AJ311" s="187"/>
      <c r="AK311" s="187"/>
      <c r="AL311" s="187"/>
      <c r="AM311" s="187"/>
      <c r="AN311" s="187"/>
      <c r="AO311" s="187"/>
      <c r="AP311" s="187"/>
      <c r="AQ311" s="187"/>
      <c r="AR311" s="187"/>
      <c r="AS311" s="187"/>
      <c r="AT311" s="187"/>
      <c r="AU311" s="187"/>
      <c r="AV311" s="187"/>
      <c r="AW311" s="187"/>
      <c r="AX311" s="187"/>
      <c r="AY311" s="187"/>
      <c r="AZ311" s="187"/>
      <c r="BA311" s="187"/>
      <c r="BB311" s="187"/>
      <c r="BC311" s="187"/>
      <c r="BD311" s="187"/>
      <c r="BE311" s="187"/>
      <c r="BF311" s="187"/>
      <c r="BG311" s="187"/>
      <c r="BH311" s="187"/>
      <c r="BI311" s="187"/>
      <c r="BJ311" s="187"/>
      <c r="BK311" s="187"/>
      <c r="BL311" s="187"/>
      <c r="BM311" s="187"/>
      <c r="BN311" s="187"/>
      <c r="BO311" s="187"/>
      <c r="BP311" s="187"/>
      <c r="BQ311" s="187"/>
      <c r="BR311" s="187"/>
      <c r="BS311" s="187"/>
      <c r="BT311" s="187"/>
      <c r="BU311" s="187"/>
      <c r="BV311" s="187"/>
      <c r="BW311" s="187"/>
      <c r="BX311" s="187"/>
      <c r="BY311" s="187"/>
      <c r="BZ311" s="187"/>
      <c r="CA311" s="187"/>
      <c r="CB311" s="187"/>
      <c r="CC311" s="187"/>
      <c r="CD311" s="187"/>
      <c r="CE311" s="187"/>
      <c r="CF311" s="187"/>
      <c r="CG311" s="187"/>
      <c r="CH311" s="187"/>
      <c r="CI311" s="187"/>
      <c r="CJ311" s="187"/>
      <c r="CK311" s="187"/>
      <c r="CL311" s="187"/>
      <c r="CM311" s="187"/>
      <c r="CN311" s="187"/>
      <c r="CO311" s="187"/>
      <c r="CP311" s="187"/>
      <c r="CQ311" s="187"/>
      <c r="CR311" s="187"/>
      <c r="CS311" s="187"/>
      <c r="CT311" s="187"/>
      <c r="CU311" s="187"/>
      <c r="CV311" s="187"/>
      <c r="CW311" s="187"/>
      <c r="CX311" s="187"/>
      <c r="CY311" s="187"/>
      <c r="CZ311" s="187"/>
      <c r="DA311" s="187"/>
      <c r="DB311" s="187"/>
      <c r="DC311" s="187"/>
      <c r="DD311" s="187"/>
      <c r="DE311" s="187"/>
      <c r="DF311" s="187"/>
      <c r="DG311" s="187"/>
      <c r="DH311" s="187"/>
      <c r="DI311" s="187"/>
      <c r="DJ311" s="187"/>
      <c r="DK311" s="187"/>
      <c r="DL311" s="187"/>
      <c r="DM311" s="187"/>
      <c r="DN311" s="187"/>
      <c r="DO311" s="187"/>
      <c r="DP311" s="187"/>
      <c r="DQ311" s="187"/>
      <c r="DR311" s="187"/>
      <c r="DS311" s="187"/>
      <c r="DT311" s="187"/>
      <c r="DU311" s="187"/>
      <c r="DV311" s="187"/>
      <c r="DW311" s="187"/>
      <c r="DX311" s="187"/>
      <c r="DY311" s="187"/>
      <c r="DZ311" s="187"/>
      <c r="EA311" s="187"/>
      <c r="EB311" s="187"/>
      <c r="EC311" s="187"/>
      <c r="ED311" s="187"/>
      <c r="EE311" s="187"/>
      <c r="EF311" s="187"/>
      <c r="EG311" s="187"/>
      <c r="EH311" s="187"/>
      <c r="EI311" s="187"/>
      <c r="EJ311" s="187"/>
      <c r="EK311" s="187"/>
      <c r="EL311" s="187"/>
      <c r="EM311" s="187"/>
      <c r="EN311" s="187"/>
      <c r="EO311" s="187"/>
      <c r="EP311" s="187"/>
      <c r="EQ311" s="187"/>
      <c r="ER311" s="187"/>
      <c r="ES311" s="187"/>
      <c r="ET311" s="187"/>
      <c r="EU311" s="187"/>
      <c r="EV311" s="187"/>
      <c r="EW311" s="187"/>
      <c r="EX311" s="187"/>
      <c r="EY311" s="187"/>
      <c r="EZ311" s="187"/>
      <c r="FA311" s="187"/>
      <c r="FB311" s="187"/>
      <c r="FC311" s="187"/>
    </row>
    <row r="312" spans="1:159" ht="15" x14ac:dyDescent="0.25">
      <c r="A312" s="187" t="s">
        <v>676</v>
      </c>
      <c r="B312" s="187" t="s">
        <v>677</v>
      </c>
      <c r="C312" s="187">
        <v>6810</v>
      </c>
      <c r="D312" s="187">
        <v>16</v>
      </c>
      <c r="E312" s="187">
        <v>179</v>
      </c>
      <c r="F312" s="187">
        <v>868</v>
      </c>
      <c r="G312" s="187">
        <v>405</v>
      </c>
      <c r="H312" s="187">
        <v>8278</v>
      </c>
      <c r="I312" s="187">
        <v>7873</v>
      </c>
      <c r="J312" s="187">
        <v>0</v>
      </c>
      <c r="K312" s="187">
        <v>129.96</v>
      </c>
      <c r="L312" s="187">
        <v>131.57</v>
      </c>
      <c r="M312" s="187">
        <v>7.04</v>
      </c>
      <c r="N312" s="187">
        <v>133.26</v>
      </c>
      <c r="O312" s="187">
        <v>6231</v>
      </c>
      <c r="P312" s="187">
        <v>116.59</v>
      </c>
      <c r="Q312" s="187">
        <v>112.97</v>
      </c>
      <c r="R312" s="187">
        <v>31.83</v>
      </c>
      <c r="S312" s="187">
        <v>148.12</v>
      </c>
      <c r="T312" s="187">
        <v>1034</v>
      </c>
      <c r="U312" s="187">
        <v>196.59</v>
      </c>
      <c r="V312" s="187">
        <v>358</v>
      </c>
      <c r="W312" s="187">
        <v>170.27</v>
      </c>
      <c r="X312" s="187">
        <v>10</v>
      </c>
      <c r="Y312" s="187">
        <v>0</v>
      </c>
      <c r="Z312" s="187">
        <v>2</v>
      </c>
      <c r="AA312" s="187">
        <v>11</v>
      </c>
      <c r="AB312" s="187">
        <v>64</v>
      </c>
      <c r="AC312" s="187">
        <v>13</v>
      </c>
      <c r="AD312" s="187">
        <v>6803</v>
      </c>
      <c r="AE312" s="187">
        <v>15</v>
      </c>
      <c r="AF312" s="187">
        <v>40</v>
      </c>
      <c r="AG312" s="187">
        <v>55</v>
      </c>
      <c r="AH312" s="187"/>
      <c r="AI312" s="187"/>
      <c r="AJ312" s="187"/>
      <c r="AK312" s="187"/>
      <c r="AL312" s="187"/>
      <c r="AM312" s="187"/>
      <c r="AN312" s="187"/>
      <c r="AO312" s="187"/>
      <c r="AP312" s="187"/>
      <c r="AQ312" s="187"/>
      <c r="AR312" s="187"/>
      <c r="AS312" s="187"/>
      <c r="AT312" s="187"/>
      <c r="AU312" s="187"/>
      <c r="AV312" s="187"/>
      <c r="AW312" s="187"/>
      <c r="AX312" s="187"/>
      <c r="AY312" s="187"/>
      <c r="AZ312" s="187"/>
      <c r="BA312" s="187"/>
      <c r="BB312" s="187"/>
      <c r="BC312" s="187"/>
      <c r="BD312" s="187"/>
      <c r="BE312" s="187"/>
      <c r="BF312" s="187"/>
      <c r="BG312" s="187"/>
      <c r="BH312" s="187"/>
      <c r="BI312" s="187"/>
      <c r="BJ312" s="187"/>
      <c r="BK312" s="187"/>
      <c r="BL312" s="187"/>
      <c r="BM312" s="187"/>
      <c r="BN312" s="187"/>
      <c r="BO312" s="187"/>
      <c r="BP312" s="187"/>
      <c r="BQ312" s="187"/>
      <c r="BR312" s="187"/>
      <c r="BS312" s="187"/>
      <c r="BT312" s="187"/>
      <c r="BU312" s="187"/>
      <c r="BV312" s="187"/>
      <c r="BW312" s="187"/>
      <c r="BX312" s="187"/>
      <c r="BY312" s="187"/>
      <c r="BZ312" s="187"/>
      <c r="CA312" s="187"/>
      <c r="CB312" s="187"/>
      <c r="CC312" s="187"/>
      <c r="CD312" s="187"/>
      <c r="CE312" s="187"/>
      <c r="CF312" s="187"/>
      <c r="CG312" s="187"/>
      <c r="CH312" s="187"/>
      <c r="CI312" s="187"/>
      <c r="CJ312" s="187"/>
      <c r="CK312" s="187"/>
      <c r="CL312" s="187"/>
      <c r="CM312" s="187"/>
      <c r="CN312" s="187"/>
      <c r="CO312" s="187"/>
      <c r="CP312" s="187"/>
      <c r="CQ312" s="187"/>
      <c r="CR312" s="187"/>
      <c r="CS312" s="187"/>
      <c r="CT312" s="187"/>
      <c r="CU312" s="187"/>
      <c r="CV312" s="187"/>
      <c r="CW312" s="187"/>
      <c r="CX312" s="187"/>
      <c r="CY312" s="187"/>
      <c r="CZ312" s="187"/>
      <c r="DA312" s="187"/>
      <c r="DB312" s="187"/>
      <c r="DC312" s="187"/>
      <c r="DD312" s="187"/>
      <c r="DE312" s="187"/>
      <c r="DF312" s="187"/>
      <c r="DG312" s="187"/>
      <c r="DH312" s="187"/>
      <c r="DI312" s="187"/>
      <c r="DJ312" s="187"/>
      <c r="DK312" s="187"/>
      <c r="DL312" s="187"/>
      <c r="DM312" s="187"/>
      <c r="DN312" s="187"/>
      <c r="DO312" s="187"/>
      <c r="DP312" s="187"/>
      <c r="DQ312" s="187"/>
      <c r="DR312" s="187"/>
      <c r="DS312" s="187"/>
      <c r="DT312" s="187"/>
      <c r="DU312" s="187"/>
      <c r="DV312" s="187"/>
      <c r="DW312" s="187"/>
      <c r="DX312" s="187"/>
      <c r="DY312" s="187"/>
      <c r="DZ312" s="187"/>
      <c r="EA312" s="187"/>
      <c r="EB312" s="187"/>
      <c r="EC312" s="187"/>
      <c r="ED312" s="187"/>
      <c r="EE312" s="187"/>
      <c r="EF312" s="187"/>
      <c r="EG312" s="187"/>
      <c r="EH312" s="187"/>
      <c r="EI312" s="187"/>
      <c r="EJ312" s="187"/>
      <c r="EK312" s="187"/>
      <c r="EL312" s="187"/>
      <c r="EM312" s="187"/>
      <c r="EN312" s="187"/>
      <c r="EO312" s="187"/>
      <c r="EP312" s="187"/>
      <c r="EQ312" s="187"/>
      <c r="ER312" s="187"/>
      <c r="ES312" s="187"/>
      <c r="ET312" s="187"/>
      <c r="EU312" s="187"/>
      <c r="EV312" s="187"/>
      <c r="EW312" s="187"/>
      <c r="EX312" s="187"/>
      <c r="EY312" s="187"/>
      <c r="EZ312" s="187"/>
      <c r="FA312" s="187"/>
      <c r="FB312" s="187"/>
      <c r="FC312" s="187"/>
    </row>
    <row r="313" spans="1:159" ht="15" x14ac:dyDescent="0.25">
      <c r="A313" s="187" t="s">
        <v>678</v>
      </c>
      <c r="B313" s="187" t="s">
        <v>679</v>
      </c>
      <c r="C313" s="187">
        <v>18256</v>
      </c>
      <c r="D313" s="187">
        <v>0</v>
      </c>
      <c r="E313" s="187">
        <v>1231</v>
      </c>
      <c r="F313" s="187">
        <v>3722</v>
      </c>
      <c r="G313" s="187">
        <v>681</v>
      </c>
      <c r="H313" s="187">
        <v>23890</v>
      </c>
      <c r="I313" s="187">
        <v>23209</v>
      </c>
      <c r="J313" s="187">
        <v>14</v>
      </c>
      <c r="K313" s="187">
        <v>91.39</v>
      </c>
      <c r="L313" s="187">
        <v>89.18</v>
      </c>
      <c r="M313" s="187">
        <v>8.7899999999999991</v>
      </c>
      <c r="N313" s="187">
        <v>94.97</v>
      </c>
      <c r="O313" s="187">
        <v>14645</v>
      </c>
      <c r="P313" s="187">
        <v>93.09</v>
      </c>
      <c r="Q313" s="187">
        <v>81.489999999999995</v>
      </c>
      <c r="R313" s="187">
        <v>30.67</v>
      </c>
      <c r="S313" s="187">
        <v>122.37</v>
      </c>
      <c r="T313" s="187">
        <v>3701</v>
      </c>
      <c r="U313" s="187">
        <v>116.28</v>
      </c>
      <c r="V313" s="187">
        <v>2564</v>
      </c>
      <c r="W313" s="187">
        <v>189.08</v>
      </c>
      <c r="X313" s="187">
        <v>159</v>
      </c>
      <c r="Y313" s="187">
        <v>0</v>
      </c>
      <c r="Z313" s="187">
        <v>86</v>
      </c>
      <c r="AA313" s="187">
        <v>52</v>
      </c>
      <c r="AB313" s="187">
        <v>49</v>
      </c>
      <c r="AC313" s="187">
        <v>7</v>
      </c>
      <c r="AD313" s="187">
        <v>17199</v>
      </c>
      <c r="AE313" s="187">
        <v>85</v>
      </c>
      <c r="AF313" s="187">
        <v>168</v>
      </c>
      <c r="AG313" s="187">
        <v>253</v>
      </c>
      <c r="AH313" s="187"/>
      <c r="AI313" s="187"/>
      <c r="AJ313" s="187"/>
      <c r="AK313" s="187"/>
      <c r="AL313" s="187"/>
      <c r="AM313" s="187"/>
      <c r="AN313" s="187"/>
      <c r="AO313" s="187"/>
      <c r="AP313" s="187"/>
      <c r="AQ313" s="187"/>
      <c r="AR313" s="187"/>
      <c r="AS313" s="187"/>
      <c r="AT313" s="187"/>
      <c r="AU313" s="187"/>
      <c r="AV313" s="187"/>
      <c r="AW313" s="187"/>
      <c r="AX313" s="187"/>
      <c r="AY313" s="187"/>
      <c r="AZ313" s="187"/>
      <c r="BA313" s="187"/>
      <c r="BB313" s="187"/>
      <c r="BC313" s="187"/>
      <c r="BD313" s="187"/>
      <c r="BE313" s="187"/>
      <c r="BF313" s="187"/>
      <c r="BG313" s="187"/>
      <c r="BH313" s="187"/>
      <c r="BI313" s="187"/>
      <c r="BJ313" s="187"/>
      <c r="BK313" s="187"/>
      <c r="BL313" s="187"/>
      <c r="BM313" s="187"/>
      <c r="BN313" s="187"/>
      <c r="BO313" s="187"/>
      <c r="BP313" s="187"/>
      <c r="BQ313" s="187"/>
      <c r="BR313" s="187"/>
      <c r="BS313" s="187"/>
      <c r="BT313" s="187"/>
      <c r="BU313" s="187"/>
      <c r="BV313" s="187"/>
      <c r="BW313" s="187"/>
      <c r="BX313" s="187"/>
      <c r="BY313" s="187"/>
      <c r="BZ313" s="187"/>
      <c r="CA313" s="187"/>
      <c r="CB313" s="187"/>
      <c r="CC313" s="187"/>
      <c r="CD313" s="187"/>
      <c r="CE313" s="187"/>
      <c r="CF313" s="187"/>
      <c r="CG313" s="187"/>
      <c r="CH313" s="187"/>
      <c r="CI313" s="187"/>
      <c r="CJ313" s="187"/>
      <c r="CK313" s="187"/>
      <c r="CL313" s="187"/>
      <c r="CM313" s="187"/>
      <c r="CN313" s="187"/>
      <c r="CO313" s="187"/>
      <c r="CP313" s="187"/>
      <c r="CQ313" s="187"/>
      <c r="CR313" s="187"/>
      <c r="CS313" s="187"/>
      <c r="CT313" s="187"/>
      <c r="CU313" s="187"/>
      <c r="CV313" s="187"/>
      <c r="CW313" s="187"/>
      <c r="CX313" s="187"/>
      <c r="CY313" s="187"/>
      <c r="CZ313" s="187"/>
      <c r="DA313" s="187"/>
      <c r="DB313" s="187"/>
      <c r="DC313" s="187"/>
      <c r="DD313" s="187"/>
      <c r="DE313" s="187"/>
      <c r="DF313" s="187"/>
      <c r="DG313" s="187"/>
      <c r="DH313" s="187"/>
      <c r="DI313" s="187"/>
      <c r="DJ313" s="187"/>
      <c r="DK313" s="187"/>
      <c r="DL313" s="187"/>
      <c r="DM313" s="187"/>
      <c r="DN313" s="187"/>
      <c r="DO313" s="187"/>
      <c r="DP313" s="187"/>
      <c r="DQ313" s="187"/>
      <c r="DR313" s="187"/>
      <c r="DS313" s="187"/>
      <c r="DT313" s="187"/>
      <c r="DU313" s="187"/>
      <c r="DV313" s="187"/>
      <c r="DW313" s="187"/>
      <c r="DX313" s="187"/>
      <c r="DY313" s="187"/>
      <c r="DZ313" s="187"/>
      <c r="EA313" s="187"/>
      <c r="EB313" s="187"/>
      <c r="EC313" s="187"/>
      <c r="ED313" s="187"/>
      <c r="EE313" s="187"/>
      <c r="EF313" s="187"/>
      <c r="EG313" s="187"/>
      <c r="EH313" s="187"/>
      <c r="EI313" s="187"/>
      <c r="EJ313" s="187"/>
      <c r="EK313" s="187"/>
      <c r="EL313" s="187"/>
      <c r="EM313" s="187"/>
      <c r="EN313" s="187"/>
      <c r="EO313" s="187"/>
      <c r="EP313" s="187"/>
      <c r="EQ313" s="187"/>
      <c r="ER313" s="187"/>
      <c r="ES313" s="187"/>
      <c r="ET313" s="187"/>
      <c r="EU313" s="187"/>
      <c r="EV313" s="187"/>
      <c r="EW313" s="187"/>
      <c r="EX313" s="187"/>
      <c r="EY313" s="187"/>
      <c r="EZ313" s="187"/>
      <c r="FA313" s="187"/>
      <c r="FB313" s="187"/>
      <c r="FC313" s="187"/>
    </row>
    <row r="314" spans="1:159" ht="15" x14ac:dyDescent="0.25">
      <c r="A314" s="187" t="s">
        <v>680</v>
      </c>
      <c r="B314" s="187" t="s">
        <v>681</v>
      </c>
      <c r="C314" s="187">
        <v>1121</v>
      </c>
      <c r="D314" s="187">
        <v>4</v>
      </c>
      <c r="E314" s="187">
        <v>173</v>
      </c>
      <c r="F314" s="187">
        <v>356</v>
      </c>
      <c r="G314" s="187">
        <v>245</v>
      </c>
      <c r="H314" s="187">
        <v>1899</v>
      </c>
      <c r="I314" s="187">
        <v>1654</v>
      </c>
      <c r="J314" s="187">
        <v>3</v>
      </c>
      <c r="K314" s="187">
        <v>139.15</v>
      </c>
      <c r="L314" s="187">
        <v>126.21</v>
      </c>
      <c r="M314" s="187">
        <v>10.07</v>
      </c>
      <c r="N314" s="187">
        <v>148.01</v>
      </c>
      <c r="O314" s="187">
        <v>955</v>
      </c>
      <c r="P314" s="187">
        <v>106.87</v>
      </c>
      <c r="Q314" s="187">
        <v>96.56</v>
      </c>
      <c r="R314" s="187">
        <v>38.19</v>
      </c>
      <c r="S314" s="187">
        <v>143.03</v>
      </c>
      <c r="T314" s="187">
        <v>264</v>
      </c>
      <c r="U314" s="187">
        <v>221.55</v>
      </c>
      <c r="V314" s="187">
        <v>67</v>
      </c>
      <c r="W314" s="187">
        <v>163.72</v>
      </c>
      <c r="X314" s="187">
        <v>34</v>
      </c>
      <c r="Y314" s="187">
        <v>36</v>
      </c>
      <c r="Z314" s="187">
        <v>0</v>
      </c>
      <c r="AA314" s="187">
        <v>1</v>
      </c>
      <c r="AB314" s="187">
        <v>9</v>
      </c>
      <c r="AC314" s="187">
        <v>5</v>
      </c>
      <c r="AD314" s="187">
        <v>1025</v>
      </c>
      <c r="AE314" s="187">
        <v>7</v>
      </c>
      <c r="AF314" s="187">
        <v>7</v>
      </c>
      <c r="AG314" s="187">
        <v>14</v>
      </c>
      <c r="AH314" s="187"/>
      <c r="AI314" s="187"/>
      <c r="AJ314" s="187"/>
      <c r="AK314" s="187"/>
      <c r="AL314" s="187"/>
      <c r="AM314" s="187"/>
      <c r="AN314" s="187"/>
      <c r="AO314" s="187"/>
      <c r="AP314" s="187"/>
      <c r="AQ314" s="187"/>
      <c r="AR314" s="187"/>
      <c r="AS314" s="187"/>
      <c r="AT314" s="187"/>
      <c r="AU314" s="187"/>
      <c r="AV314" s="187"/>
      <c r="AW314" s="187"/>
      <c r="AX314" s="187"/>
      <c r="AY314" s="187"/>
      <c r="AZ314" s="187"/>
      <c r="BA314" s="187"/>
      <c r="BB314" s="187"/>
      <c r="BC314" s="187"/>
      <c r="BD314" s="187"/>
      <c r="BE314" s="187"/>
      <c r="BF314" s="187"/>
      <c r="BG314" s="187"/>
      <c r="BH314" s="187"/>
      <c r="BI314" s="187"/>
      <c r="BJ314" s="187"/>
      <c r="BK314" s="187"/>
      <c r="BL314" s="187"/>
      <c r="BM314" s="187"/>
      <c r="BN314" s="187"/>
      <c r="BO314" s="187"/>
      <c r="BP314" s="187"/>
      <c r="BQ314" s="187"/>
      <c r="BR314" s="187"/>
      <c r="BS314" s="187"/>
      <c r="BT314" s="187"/>
      <c r="BU314" s="187"/>
      <c r="BV314" s="187"/>
      <c r="BW314" s="187"/>
      <c r="BX314" s="187"/>
      <c r="BY314" s="187"/>
      <c r="BZ314" s="187"/>
      <c r="CA314" s="187"/>
      <c r="CB314" s="187"/>
      <c r="CC314" s="187"/>
      <c r="CD314" s="187"/>
      <c r="CE314" s="187"/>
      <c r="CF314" s="187"/>
      <c r="CG314" s="187"/>
      <c r="CH314" s="187"/>
      <c r="CI314" s="187"/>
      <c r="CJ314" s="187"/>
      <c r="CK314" s="187"/>
      <c r="CL314" s="187"/>
      <c r="CM314" s="187"/>
      <c r="CN314" s="187"/>
      <c r="CO314" s="187"/>
      <c r="CP314" s="187"/>
      <c r="CQ314" s="187"/>
      <c r="CR314" s="187"/>
      <c r="CS314" s="187"/>
      <c r="CT314" s="187"/>
      <c r="CU314" s="187"/>
      <c r="CV314" s="187"/>
      <c r="CW314" s="187"/>
      <c r="CX314" s="187"/>
      <c r="CY314" s="187"/>
      <c r="CZ314" s="187"/>
      <c r="DA314" s="187"/>
      <c r="DB314" s="187"/>
      <c r="DC314" s="187"/>
      <c r="DD314" s="187"/>
      <c r="DE314" s="187"/>
      <c r="DF314" s="187"/>
      <c r="DG314" s="187"/>
      <c r="DH314" s="187"/>
      <c r="DI314" s="187"/>
      <c r="DJ314" s="187"/>
      <c r="DK314" s="187"/>
      <c r="DL314" s="187"/>
      <c r="DM314" s="187"/>
      <c r="DN314" s="187"/>
      <c r="DO314" s="187"/>
      <c r="DP314" s="187"/>
      <c r="DQ314" s="187"/>
      <c r="DR314" s="187"/>
      <c r="DS314" s="187"/>
      <c r="DT314" s="187"/>
      <c r="DU314" s="187"/>
      <c r="DV314" s="187"/>
      <c r="DW314" s="187"/>
      <c r="DX314" s="187"/>
      <c r="DY314" s="187"/>
      <c r="DZ314" s="187"/>
      <c r="EA314" s="187"/>
      <c r="EB314" s="187"/>
      <c r="EC314" s="187"/>
      <c r="ED314" s="187"/>
      <c r="EE314" s="187"/>
      <c r="EF314" s="187"/>
      <c r="EG314" s="187"/>
      <c r="EH314" s="187"/>
      <c r="EI314" s="187"/>
      <c r="EJ314" s="187"/>
      <c r="EK314" s="187"/>
      <c r="EL314" s="187"/>
      <c r="EM314" s="187"/>
      <c r="EN314" s="187"/>
      <c r="EO314" s="187"/>
      <c r="EP314" s="187"/>
      <c r="EQ314" s="187"/>
      <c r="ER314" s="187"/>
      <c r="ES314" s="187"/>
      <c r="ET314" s="187"/>
      <c r="EU314" s="187"/>
      <c r="EV314" s="187"/>
      <c r="EW314" s="187"/>
      <c r="EX314" s="187"/>
      <c r="EY314" s="187"/>
      <c r="EZ314" s="187"/>
      <c r="FA314" s="187"/>
      <c r="FB314" s="187"/>
      <c r="FC314" s="187"/>
    </row>
    <row r="315" spans="1:159" ht="15" x14ac:dyDescent="0.25">
      <c r="A315" s="187" t="s">
        <v>682</v>
      </c>
      <c r="B315" s="187" t="s">
        <v>683</v>
      </c>
      <c r="C315" s="187">
        <v>2274</v>
      </c>
      <c r="D315" s="187">
        <v>41</v>
      </c>
      <c r="E315" s="187">
        <v>169</v>
      </c>
      <c r="F315" s="187">
        <v>249</v>
      </c>
      <c r="G315" s="187">
        <v>1426</v>
      </c>
      <c r="H315" s="187">
        <v>4159</v>
      </c>
      <c r="I315" s="187">
        <v>2733</v>
      </c>
      <c r="J315" s="187">
        <v>9</v>
      </c>
      <c r="K315" s="187">
        <v>139.30000000000001</v>
      </c>
      <c r="L315" s="187">
        <v>137.77000000000001</v>
      </c>
      <c r="M315" s="187">
        <v>8.7100000000000009</v>
      </c>
      <c r="N315" s="187">
        <v>146.91</v>
      </c>
      <c r="O315" s="187">
        <v>1997</v>
      </c>
      <c r="P315" s="187">
        <v>120.55</v>
      </c>
      <c r="Q315" s="187">
        <v>116.59</v>
      </c>
      <c r="R315" s="187">
        <v>65.33</v>
      </c>
      <c r="S315" s="187">
        <v>185.87</v>
      </c>
      <c r="T315" s="187">
        <v>271</v>
      </c>
      <c r="U315" s="187">
        <v>186.99</v>
      </c>
      <c r="V315" s="187">
        <v>239</v>
      </c>
      <c r="W315" s="187">
        <v>200.3</v>
      </c>
      <c r="X315" s="187">
        <v>86</v>
      </c>
      <c r="Y315" s="187">
        <v>221</v>
      </c>
      <c r="Z315" s="187">
        <v>0</v>
      </c>
      <c r="AA315" s="187">
        <v>2</v>
      </c>
      <c r="AB315" s="187">
        <v>47</v>
      </c>
      <c r="AC315" s="187">
        <v>19</v>
      </c>
      <c r="AD315" s="187">
        <v>2251</v>
      </c>
      <c r="AE315" s="187">
        <v>7</v>
      </c>
      <c r="AF315" s="187">
        <v>15</v>
      </c>
      <c r="AG315" s="187">
        <v>22</v>
      </c>
      <c r="AH315" s="187"/>
      <c r="AI315" s="187"/>
      <c r="AJ315" s="187"/>
      <c r="AK315" s="187"/>
      <c r="AL315" s="187"/>
      <c r="AM315" s="187"/>
      <c r="AN315" s="187"/>
      <c r="AO315" s="187"/>
      <c r="AP315" s="187"/>
      <c r="AQ315" s="187"/>
      <c r="AR315" s="187"/>
      <c r="AS315" s="187"/>
      <c r="AT315" s="187"/>
      <c r="AU315" s="187"/>
      <c r="AV315" s="187"/>
      <c r="AW315" s="187"/>
      <c r="AX315" s="187"/>
      <c r="AY315" s="187"/>
      <c r="AZ315" s="187"/>
      <c r="BA315" s="187"/>
      <c r="BB315" s="187"/>
      <c r="BC315" s="187"/>
      <c r="BD315" s="187"/>
      <c r="BE315" s="187"/>
      <c r="BF315" s="187"/>
      <c r="BG315" s="187"/>
      <c r="BH315" s="187"/>
      <c r="BI315" s="187"/>
      <c r="BJ315" s="187"/>
      <c r="BK315" s="187"/>
      <c r="BL315" s="187"/>
      <c r="BM315" s="187"/>
      <c r="BN315" s="187"/>
      <c r="BO315" s="187"/>
      <c r="BP315" s="187"/>
      <c r="BQ315" s="187"/>
      <c r="BR315" s="187"/>
      <c r="BS315" s="187"/>
      <c r="BT315" s="187"/>
      <c r="BU315" s="187"/>
      <c r="BV315" s="187"/>
      <c r="BW315" s="187"/>
      <c r="BX315" s="187"/>
      <c r="BY315" s="187"/>
      <c r="BZ315" s="187"/>
      <c r="CA315" s="187"/>
      <c r="CB315" s="187"/>
      <c r="CC315" s="187"/>
      <c r="CD315" s="187"/>
      <c r="CE315" s="187"/>
      <c r="CF315" s="187"/>
      <c r="CG315" s="187"/>
      <c r="CH315" s="187"/>
      <c r="CI315" s="187"/>
      <c r="CJ315" s="187"/>
      <c r="CK315" s="187"/>
      <c r="CL315" s="187"/>
      <c r="CM315" s="187"/>
      <c r="CN315" s="187"/>
      <c r="CO315" s="187"/>
      <c r="CP315" s="187"/>
      <c r="CQ315" s="187"/>
      <c r="CR315" s="187"/>
      <c r="CS315" s="187"/>
      <c r="CT315" s="187"/>
      <c r="CU315" s="187"/>
      <c r="CV315" s="187"/>
      <c r="CW315" s="187"/>
      <c r="CX315" s="187"/>
      <c r="CY315" s="187"/>
      <c r="CZ315" s="187"/>
      <c r="DA315" s="187"/>
      <c r="DB315" s="187"/>
      <c r="DC315" s="187"/>
      <c r="DD315" s="187"/>
      <c r="DE315" s="187"/>
      <c r="DF315" s="187"/>
      <c r="DG315" s="187"/>
      <c r="DH315" s="187"/>
      <c r="DI315" s="187"/>
      <c r="DJ315" s="187"/>
      <c r="DK315" s="187"/>
      <c r="DL315" s="187"/>
      <c r="DM315" s="187"/>
      <c r="DN315" s="187"/>
      <c r="DO315" s="187"/>
      <c r="DP315" s="187"/>
      <c r="DQ315" s="187"/>
      <c r="DR315" s="187"/>
      <c r="DS315" s="187"/>
      <c r="DT315" s="187"/>
      <c r="DU315" s="187"/>
      <c r="DV315" s="187"/>
      <c r="DW315" s="187"/>
      <c r="DX315" s="187"/>
      <c r="DY315" s="187"/>
      <c r="DZ315" s="187"/>
      <c r="EA315" s="187"/>
      <c r="EB315" s="187"/>
      <c r="EC315" s="187"/>
      <c r="ED315" s="187"/>
      <c r="EE315" s="187"/>
      <c r="EF315" s="187"/>
      <c r="EG315" s="187"/>
      <c r="EH315" s="187"/>
      <c r="EI315" s="187"/>
      <c r="EJ315" s="187"/>
      <c r="EK315" s="187"/>
      <c r="EL315" s="187"/>
      <c r="EM315" s="187"/>
      <c r="EN315" s="187"/>
      <c r="EO315" s="187"/>
      <c r="EP315" s="187"/>
      <c r="EQ315" s="187"/>
      <c r="ER315" s="187"/>
      <c r="ES315" s="187"/>
      <c r="ET315" s="187"/>
      <c r="EU315" s="187"/>
      <c r="EV315" s="187"/>
      <c r="EW315" s="187"/>
      <c r="EX315" s="187"/>
      <c r="EY315" s="187"/>
      <c r="EZ315" s="187"/>
      <c r="FA315" s="187"/>
      <c r="FB315" s="187"/>
      <c r="FC315" s="187"/>
    </row>
    <row r="316" spans="1:159" ht="15" x14ac:dyDescent="0.25">
      <c r="A316" s="187" t="s">
        <v>684</v>
      </c>
      <c r="B316" s="187" t="s">
        <v>685</v>
      </c>
      <c r="C316" s="187">
        <v>5157</v>
      </c>
      <c r="D316" s="187">
        <v>34</v>
      </c>
      <c r="E316" s="187">
        <v>545</v>
      </c>
      <c r="F316" s="187">
        <v>1282</v>
      </c>
      <c r="G316" s="187">
        <v>327</v>
      </c>
      <c r="H316" s="187">
        <v>7345</v>
      </c>
      <c r="I316" s="187">
        <v>7018</v>
      </c>
      <c r="J316" s="187">
        <v>131</v>
      </c>
      <c r="K316" s="187">
        <v>93.89</v>
      </c>
      <c r="L316" s="187">
        <v>90.11</v>
      </c>
      <c r="M316" s="187">
        <v>8.4600000000000009</v>
      </c>
      <c r="N316" s="187">
        <v>101.08</v>
      </c>
      <c r="O316" s="187">
        <v>4074</v>
      </c>
      <c r="P316" s="187">
        <v>104.94</v>
      </c>
      <c r="Q316" s="187">
        <v>89.13</v>
      </c>
      <c r="R316" s="187">
        <v>62.95</v>
      </c>
      <c r="S316" s="187">
        <v>165.73</v>
      </c>
      <c r="T316" s="187">
        <v>1549</v>
      </c>
      <c r="U316" s="187">
        <v>119.01</v>
      </c>
      <c r="V316" s="187">
        <v>949</v>
      </c>
      <c r="W316" s="187">
        <v>186.66</v>
      </c>
      <c r="X316" s="187">
        <v>37</v>
      </c>
      <c r="Y316" s="187">
        <v>0</v>
      </c>
      <c r="Z316" s="187">
        <v>1</v>
      </c>
      <c r="AA316" s="187">
        <v>12</v>
      </c>
      <c r="AB316" s="187">
        <v>0</v>
      </c>
      <c r="AC316" s="187">
        <v>10</v>
      </c>
      <c r="AD316" s="187">
        <v>5109</v>
      </c>
      <c r="AE316" s="187">
        <v>45</v>
      </c>
      <c r="AF316" s="187">
        <v>29</v>
      </c>
      <c r="AG316" s="187">
        <v>74</v>
      </c>
      <c r="AH316" s="187"/>
      <c r="AI316" s="187"/>
      <c r="AJ316" s="187"/>
      <c r="AK316" s="187"/>
      <c r="AL316" s="187"/>
      <c r="AM316" s="187"/>
      <c r="AN316" s="187"/>
      <c r="AO316" s="187"/>
      <c r="AP316" s="187"/>
      <c r="AQ316" s="187"/>
      <c r="AR316" s="187"/>
      <c r="AS316" s="187"/>
      <c r="AT316" s="187"/>
      <c r="AU316" s="187"/>
      <c r="AV316" s="187"/>
      <c r="AW316" s="187"/>
      <c r="AX316" s="187"/>
      <c r="AY316" s="187"/>
      <c r="AZ316" s="187"/>
      <c r="BA316" s="187"/>
      <c r="BB316" s="187"/>
      <c r="BC316" s="187"/>
      <c r="BD316" s="187"/>
      <c r="BE316" s="187"/>
      <c r="BF316" s="187"/>
      <c r="BG316" s="187"/>
      <c r="BH316" s="187"/>
      <c r="BI316" s="187"/>
      <c r="BJ316" s="187"/>
      <c r="BK316" s="187"/>
      <c r="BL316" s="187"/>
      <c r="BM316" s="187"/>
      <c r="BN316" s="187"/>
      <c r="BO316" s="187"/>
      <c r="BP316" s="187"/>
      <c r="BQ316" s="187"/>
      <c r="BR316" s="187"/>
      <c r="BS316" s="187"/>
      <c r="BT316" s="187"/>
      <c r="BU316" s="187"/>
      <c r="BV316" s="187"/>
      <c r="BW316" s="187"/>
      <c r="BX316" s="187"/>
      <c r="BY316" s="187"/>
      <c r="BZ316" s="187"/>
      <c r="CA316" s="187"/>
      <c r="CB316" s="187"/>
      <c r="CC316" s="187"/>
      <c r="CD316" s="187"/>
      <c r="CE316" s="187"/>
      <c r="CF316" s="187"/>
      <c r="CG316" s="187"/>
      <c r="CH316" s="187"/>
      <c r="CI316" s="187"/>
      <c r="CJ316" s="187"/>
      <c r="CK316" s="187"/>
      <c r="CL316" s="187"/>
      <c r="CM316" s="187"/>
      <c r="CN316" s="187"/>
      <c r="CO316" s="187"/>
      <c r="CP316" s="187"/>
      <c r="CQ316" s="187"/>
      <c r="CR316" s="187"/>
      <c r="CS316" s="187"/>
      <c r="CT316" s="187"/>
      <c r="CU316" s="187"/>
      <c r="CV316" s="187"/>
      <c r="CW316" s="187"/>
      <c r="CX316" s="187"/>
      <c r="CY316" s="187"/>
      <c r="CZ316" s="187"/>
      <c r="DA316" s="187"/>
      <c r="DB316" s="187"/>
      <c r="DC316" s="187"/>
      <c r="DD316" s="187"/>
      <c r="DE316" s="187"/>
      <c r="DF316" s="187"/>
      <c r="DG316" s="187"/>
      <c r="DH316" s="187"/>
      <c r="DI316" s="187"/>
      <c r="DJ316" s="187"/>
      <c r="DK316" s="187"/>
      <c r="DL316" s="187"/>
      <c r="DM316" s="187"/>
      <c r="DN316" s="187"/>
      <c r="DO316" s="187"/>
      <c r="DP316" s="187"/>
      <c r="DQ316" s="187"/>
      <c r="DR316" s="187"/>
      <c r="DS316" s="187"/>
      <c r="DT316" s="187"/>
      <c r="DU316" s="187"/>
      <c r="DV316" s="187"/>
      <c r="DW316" s="187"/>
      <c r="DX316" s="187"/>
      <c r="DY316" s="187"/>
      <c r="DZ316" s="187"/>
      <c r="EA316" s="187"/>
      <c r="EB316" s="187"/>
      <c r="EC316" s="187"/>
      <c r="ED316" s="187"/>
      <c r="EE316" s="187"/>
      <c r="EF316" s="187"/>
      <c r="EG316" s="187"/>
      <c r="EH316" s="187"/>
      <c r="EI316" s="187"/>
      <c r="EJ316" s="187"/>
      <c r="EK316" s="187"/>
      <c r="EL316" s="187"/>
      <c r="EM316" s="187"/>
      <c r="EN316" s="187"/>
      <c r="EO316" s="187"/>
      <c r="EP316" s="187"/>
      <c r="EQ316" s="187"/>
      <c r="ER316" s="187"/>
      <c r="ES316" s="187"/>
      <c r="ET316" s="187"/>
      <c r="EU316" s="187"/>
      <c r="EV316" s="187"/>
      <c r="EW316" s="187"/>
      <c r="EX316" s="187"/>
      <c r="EY316" s="187"/>
      <c r="EZ316" s="187"/>
      <c r="FA316" s="187"/>
      <c r="FB316" s="187"/>
      <c r="FC316" s="187"/>
    </row>
    <row r="317" spans="1:159" ht="15" x14ac:dyDescent="0.25">
      <c r="A317" s="187" t="s">
        <v>686</v>
      </c>
      <c r="B317" s="187" t="s">
        <v>687</v>
      </c>
      <c r="C317" s="187">
        <v>6385</v>
      </c>
      <c r="D317" s="187">
        <v>46</v>
      </c>
      <c r="E317" s="187">
        <v>428</v>
      </c>
      <c r="F317" s="187">
        <v>1000</v>
      </c>
      <c r="G317" s="187">
        <v>582</v>
      </c>
      <c r="H317" s="187">
        <v>8441</v>
      </c>
      <c r="I317" s="187">
        <v>7859</v>
      </c>
      <c r="J317" s="187">
        <v>20</v>
      </c>
      <c r="K317" s="187">
        <v>92.92</v>
      </c>
      <c r="L317" s="187">
        <v>94.19</v>
      </c>
      <c r="M317" s="187">
        <v>6.6</v>
      </c>
      <c r="N317" s="187">
        <v>99.03</v>
      </c>
      <c r="O317" s="187">
        <v>5325</v>
      </c>
      <c r="P317" s="187">
        <v>90.46</v>
      </c>
      <c r="Q317" s="187">
        <v>85.21</v>
      </c>
      <c r="R317" s="187">
        <v>54.19</v>
      </c>
      <c r="S317" s="187">
        <v>144.03</v>
      </c>
      <c r="T317" s="187">
        <v>1115</v>
      </c>
      <c r="U317" s="187">
        <v>121.89</v>
      </c>
      <c r="V317" s="187">
        <v>997</v>
      </c>
      <c r="W317" s="187">
        <v>211.84</v>
      </c>
      <c r="X317" s="187">
        <v>168</v>
      </c>
      <c r="Y317" s="187">
        <v>0</v>
      </c>
      <c r="Z317" s="187">
        <v>9</v>
      </c>
      <c r="AA317" s="187">
        <v>0</v>
      </c>
      <c r="AB317" s="187">
        <v>41</v>
      </c>
      <c r="AC317" s="187">
        <v>9</v>
      </c>
      <c r="AD317" s="187">
        <v>6307</v>
      </c>
      <c r="AE317" s="187">
        <v>28</v>
      </c>
      <c r="AF317" s="187">
        <v>12</v>
      </c>
      <c r="AG317" s="187">
        <v>40</v>
      </c>
      <c r="AH317" s="187"/>
      <c r="AI317" s="187"/>
      <c r="AJ317" s="187"/>
      <c r="AK317" s="187"/>
      <c r="AL317" s="187"/>
      <c r="AM317" s="187"/>
      <c r="AN317" s="187"/>
      <c r="AO317" s="187"/>
      <c r="AP317" s="187"/>
      <c r="AQ317" s="187"/>
      <c r="AR317" s="187"/>
      <c r="AS317" s="187"/>
      <c r="AT317" s="187"/>
      <c r="AU317" s="187"/>
      <c r="AV317" s="187"/>
      <c r="AW317" s="187"/>
      <c r="AX317" s="187"/>
      <c r="AY317" s="187"/>
      <c r="AZ317" s="187"/>
      <c r="BA317" s="187"/>
      <c r="BB317" s="187"/>
      <c r="BC317" s="187"/>
      <c r="BD317" s="187"/>
      <c r="BE317" s="187"/>
      <c r="BF317" s="187"/>
      <c r="BG317" s="187"/>
      <c r="BH317" s="187"/>
      <c r="BI317" s="187"/>
      <c r="BJ317" s="187"/>
      <c r="BK317" s="187"/>
      <c r="BL317" s="187"/>
      <c r="BM317" s="187"/>
      <c r="BN317" s="187"/>
      <c r="BO317" s="187"/>
      <c r="BP317" s="187"/>
      <c r="BQ317" s="187"/>
      <c r="BR317" s="187"/>
      <c r="BS317" s="187"/>
      <c r="BT317" s="187"/>
      <c r="BU317" s="187"/>
      <c r="BV317" s="187"/>
      <c r="BW317" s="187"/>
      <c r="BX317" s="187"/>
      <c r="BY317" s="187"/>
      <c r="BZ317" s="187"/>
      <c r="CA317" s="187"/>
      <c r="CB317" s="187"/>
      <c r="CC317" s="187"/>
      <c r="CD317" s="187"/>
      <c r="CE317" s="187"/>
      <c r="CF317" s="187"/>
      <c r="CG317" s="187"/>
      <c r="CH317" s="187"/>
      <c r="CI317" s="187"/>
      <c r="CJ317" s="187"/>
      <c r="CK317" s="187"/>
      <c r="CL317" s="187"/>
      <c r="CM317" s="187"/>
      <c r="CN317" s="187"/>
      <c r="CO317" s="187"/>
      <c r="CP317" s="187"/>
      <c r="CQ317" s="187"/>
      <c r="CR317" s="187"/>
      <c r="CS317" s="187"/>
      <c r="CT317" s="187"/>
      <c r="CU317" s="187"/>
      <c r="CV317" s="187"/>
      <c r="CW317" s="187"/>
      <c r="CX317" s="187"/>
      <c r="CY317" s="187"/>
      <c r="CZ317" s="187"/>
      <c r="DA317" s="187"/>
      <c r="DB317" s="187"/>
      <c r="DC317" s="187"/>
      <c r="DD317" s="187"/>
      <c r="DE317" s="187"/>
      <c r="DF317" s="187"/>
      <c r="DG317" s="187"/>
      <c r="DH317" s="187"/>
      <c r="DI317" s="187"/>
      <c r="DJ317" s="187"/>
      <c r="DK317" s="187"/>
      <c r="DL317" s="187"/>
      <c r="DM317" s="187"/>
      <c r="DN317" s="187"/>
      <c r="DO317" s="187"/>
      <c r="DP317" s="187"/>
      <c r="DQ317" s="187"/>
      <c r="DR317" s="187"/>
      <c r="DS317" s="187"/>
      <c r="DT317" s="187"/>
      <c r="DU317" s="187"/>
      <c r="DV317" s="187"/>
      <c r="DW317" s="187"/>
      <c r="DX317" s="187"/>
      <c r="DY317" s="187"/>
      <c r="DZ317" s="187"/>
      <c r="EA317" s="187"/>
      <c r="EB317" s="187"/>
      <c r="EC317" s="187"/>
      <c r="ED317" s="187"/>
      <c r="EE317" s="187"/>
      <c r="EF317" s="187"/>
      <c r="EG317" s="187"/>
      <c r="EH317" s="187"/>
      <c r="EI317" s="187"/>
      <c r="EJ317" s="187"/>
      <c r="EK317" s="187"/>
      <c r="EL317" s="187"/>
      <c r="EM317" s="187"/>
      <c r="EN317" s="187"/>
      <c r="EO317" s="187"/>
      <c r="EP317" s="187"/>
      <c r="EQ317" s="187"/>
      <c r="ER317" s="187"/>
      <c r="ES317" s="187"/>
      <c r="ET317" s="187"/>
      <c r="EU317" s="187"/>
      <c r="EV317" s="187"/>
      <c r="EW317" s="187"/>
      <c r="EX317" s="187"/>
      <c r="EY317" s="187"/>
      <c r="EZ317" s="187"/>
      <c r="FA317" s="187"/>
      <c r="FB317" s="187"/>
      <c r="FC317" s="187"/>
    </row>
    <row r="318" spans="1:159" ht="15" x14ac:dyDescent="0.25">
      <c r="A318" s="187" t="s">
        <v>688</v>
      </c>
      <c r="B318" s="187" t="s">
        <v>689</v>
      </c>
      <c r="C318" s="187">
        <v>4141</v>
      </c>
      <c r="D318" s="187">
        <v>0</v>
      </c>
      <c r="E318" s="187">
        <v>174</v>
      </c>
      <c r="F318" s="187">
        <v>556</v>
      </c>
      <c r="G318" s="187">
        <v>224</v>
      </c>
      <c r="H318" s="187">
        <v>5095</v>
      </c>
      <c r="I318" s="187">
        <v>4871</v>
      </c>
      <c r="J318" s="187">
        <v>15</v>
      </c>
      <c r="K318" s="187">
        <v>108.51</v>
      </c>
      <c r="L318" s="187">
        <v>106.71</v>
      </c>
      <c r="M318" s="187">
        <v>7.65</v>
      </c>
      <c r="N318" s="187">
        <v>112.89</v>
      </c>
      <c r="O318" s="187">
        <v>3726</v>
      </c>
      <c r="P318" s="187">
        <v>94.99</v>
      </c>
      <c r="Q318" s="187">
        <v>88.19</v>
      </c>
      <c r="R318" s="187">
        <v>45.42</v>
      </c>
      <c r="S318" s="187">
        <v>140.41999999999999</v>
      </c>
      <c r="T318" s="187">
        <v>528</v>
      </c>
      <c r="U318" s="187">
        <v>163.24</v>
      </c>
      <c r="V318" s="187">
        <v>271</v>
      </c>
      <c r="W318" s="187">
        <v>0</v>
      </c>
      <c r="X318" s="187">
        <v>0</v>
      </c>
      <c r="Y318" s="187">
        <v>0</v>
      </c>
      <c r="Z318" s="187">
        <v>3</v>
      </c>
      <c r="AA318" s="187">
        <v>0</v>
      </c>
      <c r="AB318" s="187">
        <v>6</v>
      </c>
      <c r="AC318" s="187">
        <v>3</v>
      </c>
      <c r="AD318" s="187">
        <v>4125</v>
      </c>
      <c r="AE318" s="187">
        <v>18</v>
      </c>
      <c r="AF318" s="187">
        <v>18</v>
      </c>
      <c r="AG318" s="187">
        <v>36</v>
      </c>
      <c r="AH318" s="187"/>
      <c r="AI318" s="187"/>
      <c r="AJ318" s="187"/>
      <c r="AK318" s="187"/>
      <c r="AL318" s="187"/>
      <c r="AM318" s="187"/>
      <c r="AN318" s="187"/>
      <c r="AO318" s="187"/>
      <c r="AP318" s="187"/>
      <c r="AQ318" s="187"/>
      <c r="AR318" s="187"/>
      <c r="AS318" s="187"/>
      <c r="AT318" s="187"/>
      <c r="AU318" s="187"/>
      <c r="AV318" s="187"/>
      <c r="AW318" s="187"/>
      <c r="AX318" s="187"/>
      <c r="AY318" s="187"/>
      <c r="AZ318" s="187"/>
      <c r="BA318" s="187"/>
      <c r="BB318" s="187"/>
      <c r="BC318" s="187"/>
      <c r="BD318" s="187"/>
      <c r="BE318" s="187"/>
      <c r="BF318" s="187"/>
      <c r="BG318" s="187"/>
      <c r="BH318" s="187"/>
      <c r="BI318" s="187"/>
      <c r="BJ318" s="187"/>
      <c r="BK318" s="187"/>
      <c r="BL318" s="187"/>
      <c r="BM318" s="187"/>
      <c r="BN318" s="187"/>
      <c r="BO318" s="187"/>
      <c r="BP318" s="187"/>
      <c r="BQ318" s="187"/>
      <c r="BR318" s="187"/>
      <c r="BS318" s="187"/>
      <c r="BT318" s="187"/>
      <c r="BU318" s="187"/>
      <c r="BV318" s="187"/>
      <c r="BW318" s="187"/>
      <c r="BX318" s="187"/>
      <c r="BY318" s="187"/>
      <c r="BZ318" s="187"/>
      <c r="CA318" s="187"/>
      <c r="CB318" s="187"/>
      <c r="CC318" s="187"/>
      <c r="CD318" s="187"/>
      <c r="CE318" s="187"/>
      <c r="CF318" s="187"/>
      <c r="CG318" s="187"/>
      <c r="CH318" s="187"/>
      <c r="CI318" s="187"/>
      <c r="CJ318" s="187"/>
      <c r="CK318" s="187"/>
      <c r="CL318" s="187"/>
      <c r="CM318" s="187"/>
      <c r="CN318" s="187"/>
      <c r="CO318" s="187"/>
      <c r="CP318" s="187"/>
      <c r="CQ318" s="187"/>
      <c r="CR318" s="187"/>
      <c r="CS318" s="187"/>
      <c r="CT318" s="187"/>
      <c r="CU318" s="187"/>
      <c r="CV318" s="187"/>
      <c r="CW318" s="187"/>
      <c r="CX318" s="187"/>
      <c r="CY318" s="187"/>
      <c r="CZ318" s="187"/>
      <c r="DA318" s="187"/>
      <c r="DB318" s="187"/>
      <c r="DC318" s="187"/>
      <c r="DD318" s="187"/>
      <c r="DE318" s="187"/>
      <c r="DF318" s="187"/>
      <c r="DG318" s="187"/>
      <c r="DH318" s="187"/>
      <c r="DI318" s="187"/>
      <c r="DJ318" s="187"/>
      <c r="DK318" s="187"/>
      <c r="DL318" s="187"/>
      <c r="DM318" s="187"/>
      <c r="DN318" s="187"/>
      <c r="DO318" s="187"/>
      <c r="DP318" s="187"/>
      <c r="DQ318" s="187"/>
      <c r="DR318" s="187"/>
      <c r="DS318" s="187"/>
      <c r="DT318" s="187"/>
      <c r="DU318" s="187"/>
      <c r="DV318" s="187"/>
      <c r="DW318" s="187"/>
      <c r="DX318" s="187"/>
      <c r="DY318" s="187"/>
      <c r="DZ318" s="187"/>
      <c r="EA318" s="187"/>
      <c r="EB318" s="187"/>
      <c r="EC318" s="187"/>
      <c r="ED318" s="187"/>
      <c r="EE318" s="187"/>
      <c r="EF318" s="187"/>
      <c r="EG318" s="187"/>
      <c r="EH318" s="187"/>
      <c r="EI318" s="187"/>
      <c r="EJ318" s="187"/>
      <c r="EK318" s="187"/>
      <c r="EL318" s="187"/>
      <c r="EM318" s="187"/>
      <c r="EN318" s="187"/>
      <c r="EO318" s="187"/>
      <c r="EP318" s="187"/>
      <c r="EQ318" s="187"/>
      <c r="ER318" s="187"/>
      <c r="ES318" s="187"/>
      <c r="ET318" s="187"/>
      <c r="EU318" s="187"/>
      <c r="EV318" s="187"/>
      <c r="EW318" s="187"/>
      <c r="EX318" s="187"/>
      <c r="EY318" s="187"/>
      <c r="EZ318" s="187"/>
      <c r="FA318" s="187"/>
      <c r="FB318" s="187"/>
      <c r="FC318" s="187"/>
    </row>
    <row r="319" spans="1:159" ht="15" x14ac:dyDescent="0.25">
      <c r="A319" s="187" t="s">
        <v>690</v>
      </c>
      <c r="B319" s="187" t="s">
        <v>691</v>
      </c>
      <c r="C319" s="187">
        <v>8589</v>
      </c>
      <c r="D319" s="187">
        <v>0</v>
      </c>
      <c r="E319" s="187">
        <v>125</v>
      </c>
      <c r="F319" s="187">
        <v>904</v>
      </c>
      <c r="G319" s="187">
        <v>832</v>
      </c>
      <c r="H319" s="187">
        <v>10450</v>
      </c>
      <c r="I319" s="187">
        <v>9618</v>
      </c>
      <c r="J319" s="187">
        <v>131</v>
      </c>
      <c r="K319" s="187">
        <v>101.32</v>
      </c>
      <c r="L319" s="187">
        <v>99.39</v>
      </c>
      <c r="M319" s="187">
        <v>4.3899999999999997</v>
      </c>
      <c r="N319" s="187">
        <v>103.83</v>
      </c>
      <c r="O319" s="187">
        <v>7333</v>
      </c>
      <c r="P319" s="187">
        <v>94.54</v>
      </c>
      <c r="Q319" s="187">
        <v>89.31</v>
      </c>
      <c r="R319" s="187">
        <v>40.07</v>
      </c>
      <c r="S319" s="187">
        <v>132.96</v>
      </c>
      <c r="T319" s="187">
        <v>868</v>
      </c>
      <c r="U319" s="187">
        <v>129.49</v>
      </c>
      <c r="V319" s="187">
        <v>1238</v>
      </c>
      <c r="W319" s="187">
        <v>233.76</v>
      </c>
      <c r="X319" s="187">
        <v>83</v>
      </c>
      <c r="Y319" s="187">
        <v>0</v>
      </c>
      <c r="Z319" s="187">
        <v>8</v>
      </c>
      <c r="AA319" s="187">
        <v>0</v>
      </c>
      <c r="AB319" s="187">
        <v>90</v>
      </c>
      <c r="AC319" s="187">
        <v>12</v>
      </c>
      <c r="AD319" s="187">
        <v>8579</v>
      </c>
      <c r="AE319" s="187">
        <v>54</v>
      </c>
      <c r="AF319" s="187">
        <v>58</v>
      </c>
      <c r="AG319" s="187">
        <v>112</v>
      </c>
      <c r="AH319" s="187"/>
      <c r="AI319" s="187"/>
      <c r="AJ319" s="187"/>
      <c r="AK319" s="187"/>
      <c r="AL319" s="187"/>
      <c r="AM319" s="187"/>
      <c r="AN319" s="187"/>
      <c r="AO319" s="187"/>
      <c r="AP319" s="187"/>
      <c r="AQ319" s="187"/>
      <c r="AR319" s="187"/>
      <c r="AS319" s="187"/>
      <c r="AT319" s="187"/>
      <c r="AU319" s="187"/>
      <c r="AV319" s="187"/>
      <c r="AW319" s="187"/>
      <c r="AX319" s="187"/>
      <c r="AY319" s="187"/>
      <c r="AZ319" s="187"/>
      <c r="BA319" s="187"/>
      <c r="BB319" s="187"/>
      <c r="BC319" s="187"/>
      <c r="BD319" s="187"/>
      <c r="BE319" s="187"/>
      <c r="BF319" s="187"/>
      <c r="BG319" s="187"/>
      <c r="BH319" s="187"/>
      <c r="BI319" s="187"/>
      <c r="BJ319" s="187"/>
      <c r="BK319" s="187"/>
      <c r="BL319" s="187"/>
      <c r="BM319" s="187"/>
      <c r="BN319" s="187"/>
      <c r="BO319" s="187"/>
      <c r="BP319" s="187"/>
      <c r="BQ319" s="187"/>
      <c r="BR319" s="187"/>
      <c r="BS319" s="187"/>
      <c r="BT319" s="187"/>
      <c r="BU319" s="187"/>
      <c r="BV319" s="187"/>
      <c r="BW319" s="187"/>
      <c r="BX319" s="187"/>
      <c r="BY319" s="187"/>
      <c r="BZ319" s="187"/>
      <c r="CA319" s="187"/>
      <c r="CB319" s="187"/>
      <c r="CC319" s="187"/>
      <c r="CD319" s="187"/>
      <c r="CE319" s="187"/>
      <c r="CF319" s="187"/>
      <c r="CG319" s="187"/>
      <c r="CH319" s="187"/>
      <c r="CI319" s="187"/>
      <c r="CJ319" s="187"/>
      <c r="CK319" s="187"/>
      <c r="CL319" s="187"/>
      <c r="CM319" s="187"/>
      <c r="CN319" s="187"/>
      <c r="CO319" s="187"/>
      <c r="CP319" s="187"/>
      <c r="CQ319" s="187"/>
      <c r="CR319" s="187"/>
      <c r="CS319" s="187"/>
      <c r="CT319" s="187"/>
      <c r="CU319" s="187"/>
      <c r="CV319" s="187"/>
      <c r="CW319" s="187"/>
      <c r="CX319" s="187"/>
      <c r="CY319" s="187"/>
      <c r="CZ319" s="187"/>
      <c r="DA319" s="187"/>
      <c r="DB319" s="187"/>
      <c r="DC319" s="187"/>
      <c r="DD319" s="187"/>
      <c r="DE319" s="187"/>
      <c r="DF319" s="187"/>
      <c r="DG319" s="187"/>
      <c r="DH319" s="187"/>
      <c r="DI319" s="187"/>
      <c r="DJ319" s="187"/>
      <c r="DK319" s="187"/>
      <c r="DL319" s="187"/>
      <c r="DM319" s="187"/>
      <c r="DN319" s="187"/>
      <c r="DO319" s="187"/>
      <c r="DP319" s="187"/>
      <c r="DQ319" s="187"/>
      <c r="DR319" s="187"/>
      <c r="DS319" s="187"/>
      <c r="DT319" s="187"/>
      <c r="DU319" s="187"/>
      <c r="DV319" s="187"/>
      <c r="DW319" s="187"/>
      <c r="DX319" s="187"/>
      <c r="DY319" s="187"/>
      <c r="DZ319" s="187"/>
      <c r="EA319" s="187"/>
      <c r="EB319" s="187"/>
      <c r="EC319" s="187"/>
      <c r="ED319" s="187"/>
      <c r="EE319" s="187"/>
      <c r="EF319" s="187"/>
      <c r="EG319" s="187"/>
      <c r="EH319" s="187"/>
      <c r="EI319" s="187"/>
      <c r="EJ319" s="187"/>
      <c r="EK319" s="187"/>
      <c r="EL319" s="187"/>
      <c r="EM319" s="187"/>
      <c r="EN319" s="187"/>
      <c r="EO319" s="187"/>
      <c r="EP319" s="187"/>
      <c r="EQ319" s="187"/>
      <c r="ER319" s="187"/>
      <c r="ES319" s="187"/>
      <c r="ET319" s="187"/>
      <c r="EU319" s="187"/>
      <c r="EV319" s="187"/>
      <c r="EW319" s="187"/>
      <c r="EX319" s="187"/>
      <c r="EY319" s="187"/>
      <c r="EZ319" s="187"/>
      <c r="FA319" s="187"/>
      <c r="FB319" s="187"/>
      <c r="FC319" s="187"/>
    </row>
    <row r="320" spans="1:159" ht="15" x14ac:dyDescent="0.25">
      <c r="A320" s="187" t="s">
        <v>692</v>
      </c>
      <c r="B320" s="187" t="s">
        <v>693</v>
      </c>
      <c r="C320" s="187">
        <v>3457</v>
      </c>
      <c r="D320" s="187">
        <v>0</v>
      </c>
      <c r="E320" s="187">
        <v>262</v>
      </c>
      <c r="F320" s="187">
        <v>475</v>
      </c>
      <c r="G320" s="187">
        <v>364</v>
      </c>
      <c r="H320" s="187">
        <v>4558</v>
      </c>
      <c r="I320" s="187">
        <v>4194</v>
      </c>
      <c r="J320" s="187">
        <v>5</v>
      </c>
      <c r="K320" s="187">
        <v>92.26</v>
      </c>
      <c r="L320" s="187">
        <v>91.38</v>
      </c>
      <c r="M320" s="187">
        <v>5.0599999999999996</v>
      </c>
      <c r="N320" s="187">
        <v>95.31</v>
      </c>
      <c r="O320" s="187">
        <v>2824</v>
      </c>
      <c r="P320" s="187">
        <v>100.81</v>
      </c>
      <c r="Q320" s="187">
        <v>89.36</v>
      </c>
      <c r="R320" s="187">
        <v>44.73</v>
      </c>
      <c r="S320" s="187">
        <v>145.46</v>
      </c>
      <c r="T320" s="187">
        <v>557</v>
      </c>
      <c r="U320" s="187">
        <v>117.29</v>
      </c>
      <c r="V320" s="187">
        <v>581</v>
      </c>
      <c r="W320" s="187">
        <v>185.88</v>
      </c>
      <c r="X320" s="187">
        <v>88</v>
      </c>
      <c r="Y320" s="187">
        <v>0</v>
      </c>
      <c r="Z320" s="187">
        <v>3</v>
      </c>
      <c r="AA320" s="187">
        <v>6</v>
      </c>
      <c r="AB320" s="187">
        <v>29</v>
      </c>
      <c r="AC320" s="187">
        <v>12</v>
      </c>
      <c r="AD320" s="187">
        <v>3410</v>
      </c>
      <c r="AE320" s="187">
        <v>15</v>
      </c>
      <c r="AF320" s="187">
        <v>20</v>
      </c>
      <c r="AG320" s="187">
        <v>35</v>
      </c>
      <c r="AH320" s="187"/>
      <c r="AI320" s="187"/>
      <c r="AJ320" s="187"/>
      <c r="AK320" s="187"/>
      <c r="AL320" s="187"/>
      <c r="AM320" s="187"/>
      <c r="AN320" s="187"/>
      <c r="AO320" s="187"/>
      <c r="AP320" s="187"/>
      <c r="AQ320" s="187"/>
      <c r="AR320" s="187"/>
      <c r="AS320" s="187"/>
      <c r="AT320" s="187"/>
      <c r="AU320" s="187"/>
      <c r="AV320" s="187"/>
      <c r="AW320" s="187"/>
      <c r="AX320" s="187"/>
      <c r="AY320" s="187"/>
      <c r="AZ320" s="187"/>
      <c r="BA320" s="187"/>
      <c r="BB320" s="187"/>
      <c r="BC320" s="187"/>
      <c r="BD320" s="187"/>
      <c r="BE320" s="187"/>
      <c r="BF320" s="187"/>
      <c r="BG320" s="187"/>
      <c r="BH320" s="187"/>
      <c r="BI320" s="187"/>
      <c r="BJ320" s="187"/>
      <c r="BK320" s="187"/>
      <c r="BL320" s="187"/>
      <c r="BM320" s="187"/>
      <c r="BN320" s="187"/>
      <c r="BO320" s="187"/>
      <c r="BP320" s="187"/>
      <c r="BQ320" s="187"/>
      <c r="BR320" s="187"/>
      <c r="BS320" s="187"/>
      <c r="BT320" s="187"/>
      <c r="BU320" s="187"/>
      <c r="BV320" s="187"/>
      <c r="BW320" s="187"/>
      <c r="BX320" s="187"/>
      <c r="BY320" s="187"/>
      <c r="BZ320" s="187"/>
      <c r="CA320" s="187"/>
      <c r="CB320" s="187"/>
      <c r="CC320" s="187"/>
      <c r="CD320" s="187"/>
      <c r="CE320" s="187"/>
      <c r="CF320" s="187"/>
      <c r="CG320" s="187"/>
      <c r="CH320" s="187"/>
      <c r="CI320" s="187"/>
      <c r="CJ320" s="187"/>
      <c r="CK320" s="187"/>
      <c r="CL320" s="187"/>
      <c r="CM320" s="187"/>
      <c r="CN320" s="187"/>
      <c r="CO320" s="187"/>
      <c r="CP320" s="187"/>
      <c r="CQ320" s="187"/>
      <c r="CR320" s="187"/>
      <c r="CS320" s="187"/>
      <c r="CT320" s="187"/>
      <c r="CU320" s="187"/>
      <c r="CV320" s="187"/>
      <c r="CW320" s="187"/>
      <c r="CX320" s="187"/>
      <c r="CY320" s="187"/>
      <c r="CZ320" s="187"/>
      <c r="DA320" s="187"/>
      <c r="DB320" s="187"/>
      <c r="DC320" s="187"/>
      <c r="DD320" s="187"/>
      <c r="DE320" s="187"/>
      <c r="DF320" s="187"/>
      <c r="DG320" s="187"/>
      <c r="DH320" s="187"/>
      <c r="DI320" s="187"/>
      <c r="DJ320" s="187"/>
      <c r="DK320" s="187"/>
      <c r="DL320" s="187"/>
      <c r="DM320" s="187"/>
      <c r="DN320" s="187"/>
      <c r="DO320" s="187"/>
      <c r="DP320" s="187"/>
      <c r="DQ320" s="187"/>
      <c r="DR320" s="187"/>
      <c r="DS320" s="187"/>
      <c r="DT320" s="187"/>
      <c r="DU320" s="187"/>
      <c r="DV320" s="187"/>
      <c r="DW320" s="187"/>
      <c r="DX320" s="187"/>
      <c r="DY320" s="187"/>
      <c r="DZ320" s="187"/>
      <c r="EA320" s="187"/>
      <c r="EB320" s="187"/>
      <c r="EC320" s="187"/>
      <c r="ED320" s="187"/>
      <c r="EE320" s="187"/>
      <c r="EF320" s="187"/>
      <c r="EG320" s="187"/>
      <c r="EH320" s="187"/>
      <c r="EI320" s="187"/>
      <c r="EJ320" s="187"/>
      <c r="EK320" s="187"/>
      <c r="EL320" s="187"/>
      <c r="EM320" s="187"/>
      <c r="EN320" s="187"/>
      <c r="EO320" s="187"/>
      <c r="EP320" s="187"/>
      <c r="EQ320" s="187"/>
      <c r="ER320" s="187"/>
      <c r="ES320" s="187"/>
      <c r="ET320" s="187"/>
      <c r="EU320" s="187"/>
      <c r="EV320" s="187"/>
      <c r="EW320" s="187"/>
      <c r="EX320" s="187"/>
      <c r="EY320" s="187"/>
      <c r="EZ320" s="187"/>
      <c r="FA320" s="187"/>
      <c r="FB320" s="187"/>
      <c r="FC320" s="187"/>
    </row>
    <row r="321" spans="1:159" ht="15" x14ac:dyDescent="0.25">
      <c r="A321" s="187" t="s">
        <v>694</v>
      </c>
      <c r="B321" s="187" t="s">
        <v>695</v>
      </c>
      <c r="C321" s="187">
        <v>4630</v>
      </c>
      <c r="D321" s="187">
        <v>0</v>
      </c>
      <c r="E321" s="187">
        <v>2251</v>
      </c>
      <c r="F321" s="187">
        <v>58</v>
      </c>
      <c r="G321" s="187">
        <v>584</v>
      </c>
      <c r="H321" s="187">
        <v>7523</v>
      </c>
      <c r="I321" s="187">
        <v>6939</v>
      </c>
      <c r="J321" s="187">
        <v>2</v>
      </c>
      <c r="K321" s="187">
        <v>93.74</v>
      </c>
      <c r="L321" s="187">
        <v>90.84</v>
      </c>
      <c r="M321" s="187">
        <v>8.77</v>
      </c>
      <c r="N321" s="187">
        <v>97.93</v>
      </c>
      <c r="O321" s="187">
        <v>4054</v>
      </c>
      <c r="P321" s="187">
        <v>92.87</v>
      </c>
      <c r="Q321" s="187">
        <v>84.18</v>
      </c>
      <c r="R321" s="187">
        <v>20.100000000000001</v>
      </c>
      <c r="S321" s="187">
        <v>112.95</v>
      </c>
      <c r="T321" s="187">
        <v>2081</v>
      </c>
      <c r="U321" s="187">
        <v>119.55</v>
      </c>
      <c r="V321" s="187">
        <v>548</v>
      </c>
      <c r="W321" s="187">
        <v>210.54</v>
      </c>
      <c r="X321" s="187">
        <v>200</v>
      </c>
      <c r="Y321" s="187">
        <v>0</v>
      </c>
      <c r="Z321" s="187">
        <v>11</v>
      </c>
      <c r="AA321" s="187">
        <v>1</v>
      </c>
      <c r="AB321" s="187">
        <v>59</v>
      </c>
      <c r="AC321" s="187">
        <v>16</v>
      </c>
      <c r="AD321" s="187">
        <v>4630</v>
      </c>
      <c r="AE321" s="187">
        <v>25</v>
      </c>
      <c r="AF321" s="187">
        <v>99</v>
      </c>
      <c r="AG321" s="187">
        <v>124</v>
      </c>
      <c r="AH321" s="187"/>
      <c r="AI321" s="187"/>
      <c r="AJ321" s="187"/>
      <c r="AK321" s="187"/>
      <c r="AL321" s="187"/>
      <c r="AM321" s="187"/>
      <c r="AN321" s="187"/>
      <c r="AO321" s="187"/>
      <c r="AP321" s="187"/>
      <c r="AQ321" s="187"/>
      <c r="AR321" s="187"/>
      <c r="AS321" s="187"/>
      <c r="AT321" s="187"/>
      <c r="AU321" s="187"/>
      <c r="AV321" s="187"/>
      <c r="AW321" s="187"/>
      <c r="AX321" s="187"/>
      <c r="AY321" s="187"/>
      <c r="AZ321" s="187"/>
      <c r="BA321" s="187"/>
      <c r="BB321" s="187"/>
      <c r="BC321" s="187"/>
      <c r="BD321" s="187"/>
      <c r="BE321" s="187"/>
      <c r="BF321" s="187"/>
      <c r="BG321" s="187"/>
      <c r="BH321" s="187"/>
      <c r="BI321" s="187"/>
      <c r="BJ321" s="187"/>
      <c r="BK321" s="187"/>
      <c r="BL321" s="187"/>
      <c r="BM321" s="187"/>
      <c r="BN321" s="187"/>
      <c r="BO321" s="187"/>
      <c r="BP321" s="187"/>
      <c r="BQ321" s="187"/>
      <c r="BR321" s="187"/>
      <c r="BS321" s="187"/>
      <c r="BT321" s="187"/>
      <c r="BU321" s="187"/>
      <c r="BV321" s="187"/>
      <c r="BW321" s="187"/>
      <c r="BX321" s="187"/>
      <c r="BY321" s="187"/>
      <c r="BZ321" s="187"/>
      <c r="CA321" s="187"/>
      <c r="CB321" s="187"/>
      <c r="CC321" s="187"/>
      <c r="CD321" s="187"/>
      <c r="CE321" s="187"/>
      <c r="CF321" s="187"/>
      <c r="CG321" s="187"/>
      <c r="CH321" s="187"/>
      <c r="CI321" s="187"/>
      <c r="CJ321" s="187"/>
      <c r="CK321" s="187"/>
      <c r="CL321" s="187"/>
      <c r="CM321" s="187"/>
      <c r="CN321" s="187"/>
      <c r="CO321" s="187"/>
      <c r="CP321" s="187"/>
      <c r="CQ321" s="187"/>
      <c r="CR321" s="187"/>
      <c r="CS321" s="187"/>
      <c r="CT321" s="187"/>
      <c r="CU321" s="187"/>
      <c r="CV321" s="187"/>
      <c r="CW321" s="187"/>
      <c r="CX321" s="187"/>
      <c r="CY321" s="187"/>
      <c r="CZ321" s="187"/>
      <c r="DA321" s="187"/>
      <c r="DB321" s="187"/>
      <c r="DC321" s="187"/>
      <c r="DD321" s="187"/>
      <c r="DE321" s="187"/>
      <c r="DF321" s="187"/>
      <c r="DG321" s="187"/>
      <c r="DH321" s="187"/>
      <c r="DI321" s="187"/>
      <c r="DJ321" s="187"/>
      <c r="DK321" s="187"/>
      <c r="DL321" s="187"/>
      <c r="DM321" s="187"/>
      <c r="DN321" s="187"/>
      <c r="DO321" s="187"/>
      <c r="DP321" s="187"/>
      <c r="DQ321" s="187"/>
      <c r="DR321" s="187"/>
      <c r="DS321" s="187"/>
      <c r="DT321" s="187"/>
      <c r="DU321" s="187"/>
      <c r="DV321" s="187"/>
      <c r="DW321" s="187"/>
      <c r="DX321" s="187"/>
      <c r="DY321" s="187"/>
      <c r="DZ321" s="187"/>
      <c r="EA321" s="187"/>
      <c r="EB321" s="187"/>
      <c r="EC321" s="187"/>
      <c r="ED321" s="187"/>
      <c r="EE321" s="187"/>
      <c r="EF321" s="187"/>
      <c r="EG321" s="187"/>
      <c r="EH321" s="187"/>
      <c r="EI321" s="187"/>
      <c r="EJ321" s="187"/>
      <c r="EK321" s="187"/>
      <c r="EL321" s="187"/>
      <c r="EM321" s="187"/>
      <c r="EN321" s="187"/>
      <c r="EO321" s="187"/>
      <c r="EP321" s="187"/>
      <c r="EQ321" s="187"/>
      <c r="ER321" s="187"/>
      <c r="ES321" s="187"/>
      <c r="ET321" s="187"/>
      <c r="EU321" s="187"/>
      <c r="EV321" s="187"/>
      <c r="EW321" s="187"/>
      <c r="EX321" s="187"/>
      <c r="EY321" s="187"/>
      <c r="EZ321" s="187"/>
      <c r="FA321" s="187"/>
      <c r="FB321" s="187"/>
      <c r="FC321" s="187"/>
    </row>
    <row r="322" spans="1:159" ht="15" x14ac:dyDescent="0.25">
      <c r="A322" s="187" t="s">
        <v>696</v>
      </c>
      <c r="B322" s="187" t="s">
        <v>697</v>
      </c>
      <c r="C322" s="187">
        <v>4109</v>
      </c>
      <c r="D322" s="187">
        <v>6</v>
      </c>
      <c r="E322" s="187">
        <v>287</v>
      </c>
      <c r="F322" s="187">
        <v>726</v>
      </c>
      <c r="G322" s="187">
        <v>588</v>
      </c>
      <c r="H322" s="187">
        <v>5716</v>
      </c>
      <c r="I322" s="187">
        <v>5128</v>
      </c>
      <c r="J322" s="187">
        <v>251</v>
      </c>
      <c r="K322" s="187">
        <v>99.32</v>
      </c>
      <c r="L322" s="187">
        <v>98.05</v>
      </c>
      <c r="M322" s="187">
        <v>7.77</v>
      </c>
      <c r="N322" s="187">
        <v>103.32</v>
      </c>
      <c r="O322" s="187">
        <v>3387</v>
      </c>
      <c r="P322" s="187">
        <v>93.41</v>
      </c>
      <c r="Q322" s="187">
        <v>83.7</v>
      </c>
      <c r="R322" s="187">
        <v>43.59</v>
      </c>
      <c r="S322" s="187">
        <v>135.54</v>
      </c>
      <c r="T322" s="187">
        <v>921</v>
      </c>
      <c r="U322" s="187">
        <v>118.18</v>
      </c>
      <c r="V322" s="187">
        <v>570</v>
      </c>
      <c r="W322" s="187">
        <v>0</v>
      </c>
      <c r="X322" s="187">
        <v>0</v>
      </c>
      <c r="Y322" s="187">
        <v>0</v>
      </c>
      <c r="Z322" s="187">
        <v>0</v>
      </c>
      <c r="AA322" s="187">
        <v>8</v>
      </c>
      <c r="AB322" s="187">
        <v>33</v>
      </c>
      <c r="AC322" s="187">
        <v>4</v>
      </c>
      <c r="AD322" s="187">
        <v>4090</v>
      </c>
      <c r="AE322" s="187">
        <v>21</v>
      </c>
      <c r="AF322" s="187">
        <v>22</v>
      </c>
      <c r="AG322" s="187">
        <v>43</v>
      </c>
      <c r="AH322" s="187"/>
      <c r="AI322" s="187"/>
      <c r="AJ322" s="187"/>
      <c r="AK322" s="187"/>
      <c r="AL322" s="187"/>
      <c r="AM322" s="187"/>
      <c r="AN322" s="187"/>
      <c r="AO322" s="187"/>
      <c r="AP322" s="187"/>
      <c r="AQ322" s="187"/>
      <c r="AR322" s="187"/>
      <c r="AS322" s="187"/>
      <c r="AT322" s="187"/>
      <c r="AU322" s="187"/>
      <c r="AV322" s="187"/>
      <c r="AW322" s="187"/>
      <c r="AX322" s="187"/>
      <c r="AY322" s="187"/>
      <c r="AZ322" s="187"/>
      <c r="BA322" s="187"/>
      <c r="BB322" s="187"/>
      <c r="BC322" s="187"/>
      <c r="BD322" s="187"/>
      <c r="BE322" s="187"/>
      <c r="BF322" s="187"/>
      <c r="BG322" s="187"/>
      <c r="BH322" s="187"/>
      <c r="BI322" s="187"/>
      <c r="BJ322" s="187"/>
      <c r="BK322" s="187"/>
      <c r="BL322" s="187"/>
      <c r="BM322" s="187"/>
      <c r="BN322" s="187"/>
      <c r="BO322" s="187"/>
      <c r="BP322" s="187"/>
      <c r="BQ322" s="187"/>
      <c r="BR322" s="187"/>
      <c r="BS322" s="187"/>
      <c r="BT322" s="187"/>
      <c r="BU322" s="187"/>
      <c r="BV322" s="187"/>
      <c r="BW322" s="187"/>
      <c r="BX322" s="187"/>
      <c r="BY322" s="187"/>
      <c r="BZ322" s="187"/>
      <c r="CA322" s="187"/>
      <c r="CB322" s="187"/>
      <c r="CC322" s="187"/>
      <c r="CD322" s="187"/>
      <c r="CE322" s="187"/>
      <c r="CF322" s="187"/>
      <c r="CG322" s="187"/>
      <c r="CH322" s="187"/>
      <c r="CI322" s="187"/>
      <c r="CJ322" s="187"/>
      <c r="CK322" s="187"/>
      <c r="CL322" s="187"/>
      <c r="CM322" s="187"/>
      <c r="CN322" s="187"/>
      <c r="CO322" s="187"/>
      <c r="CP322" s="187"/>
      <c r="CQ322" s="187"/>
      <c r="CR322" s="187"/>
      <c r="CS322" s="187"/>
      <c r="CT322" s="187"/>
      <c r="CU322" s="187"/>
      <c r="CV322" s="187"/>
      <c r="CW322" s="187"/>
      <c r="CX322" s="187"/>
      <c r="CY322" s="187"/>
      <c r="CZ322" s="187"/>
      <c r="DA322" s="187"/>
      <c r="DB322" s="187"/>
      <c r="DC322" s="187"/>
      <c r="DD322" s="187"/>
      <c r="DE322" s="187"/>
      <c r="DF322" s="187"/>
      <c r="DG322" s="187"/>
      <c r="DH322" s="187"/>
      <c r="DI322" s="187"/>
      <c r="DJ322" s="187"/>
      <c r="DK322" s="187"/>
      <c r="DL322" s="187"/>
      <c r="DM322" s="187"/>
      <c r="DN322" s="187"/>
      <c r="DO322" s="187"/>
      <c r="DP322" s="187"/>
      <c r="DQ322" s="187"/>
      <c r="DR322" s="187"/>
      <c r="DS322" s="187"/>
      <c r="DT322" s="187"/>
      <c r="DU322" s="187"/>
      <c r="DV322" s="187"/>
      <c r="DW322" s="187"/>
      <c r="DX322" s="187"/>
      <c r="DY322" s="187"/>
      <c r="DZ322" s="187"/>
      <c r="EA322" s="187"/>
      <c r="EB322" s="187"/>
      <c r="EC322" s="187"/>
      <c r="ED322" s="187"/>
      <c r="EE322" s="187"/>
      <c r="EF322" s="187"/>
      <c r="EG322" s="187"/>
      <c r="EH322" s="187"/>
      <c r="EI322" s="187"/>
      <c r="EJ322" s="187"/>
      <c r="EK322" s="187"/>
      <c r="EL322" s="187"/>
      <c r="EM322" s="187"/>
      <c r="EN322" s="187"/>
      <c r="EO322" s="187"/>
      <c r="EP322" s="187"/>
      <c r="EQ322" s="187"/>
      <c r="ER322" s="187"/>
      <c r="ES322" s="187"/>
      <c r="ET322" s="187"/>
      <c r="EU322" s="187"/>
      <c r="EV322" s="187"/>
      <c r="EW322" s="187"/>
      <c r="EX322" s="187"/>
      <c r="EY322" s="187"/>
      <c r="EZ322" s="187"/>
      <c r="FA322" s="187"/>
      <c r="FB322" s="187"/>
      <c r="FC322" s="18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D0470-B6CA-4AC8-AABD-7089DE08B56F}">
  <sheetPr codeName="Sheet12">
    <tabColor rgb="FFFFFF00"/>
  </sheetPr>
  <dimension ref="A1:D310"/>
  <sheetViews>
    <sheetView workbookViewId="0">
      <selection activeCell="B1" sqref="B1"/>
    </sheetView>
  </sheetViews>
  <sheetFormatPr defaultRowHeight="15" x14ac:dyDescent="0.25"/>
  <cols>
    <col min="1" max="1" width="15.42578125" customWidth="1"/>
    <col min="2" max="2" width="33.140625" customWidth="1"/>
    <col min="4" max="4" width="32" customWidth="1"/>
  </cols>
  <sheetData>
    <row r="1" spans="1:4" x14ac:dyDescent="0.25">
      <c r="A1" s="156" t="s">
        <v>698</v>
      </c>
      <c r="B1" s="156" t="s">
        <v>699</v>
      </c>
      <c r="C1">
        <f>COUNTIF(D2:D310,"?*")</f>
        <v>309</v>
      </c>
      <c r="D1" s="156" t="s">
        <v>700</v>
      </c>
    </row>
    <row r="2" spans="1:4" x14ac:dyDescent="0.25">
      <c r="A2">
        <f>IF(ISNUMBER(SEARCH('PRP LA trend tool 2015-23'!$F$3,B2)),MAX($A$1:A1)+1,0)</f>
        <v>1</v>
      </c>
      <c r="B2" s="187" t="s">
        <v>87</v>
      </c>
      <c r="C2" t="str">
        <f ca="1">OFFSET($D$2,,,COUNTIF($D$2:$D$310,"?*"))</f>
        <v>Adur</v>
      </c>
      <c r="D2" t="str">
        <f>IFERROR(VLOOKUP(ROWS($D$2:D2),$A$2:$B$1416,2,0),"")</f>
        <v>Adur</v>
      </c>
    </row>
    <row r="3" spans="1:4" x14ac:dyDescent="0.25">
      <c r="A3">
        <f>IF(ISNUMBER(SEARCH('PRP LA trend tool 2015-23'!$F$3,B3)),MAX($A$1:A2)+1,0)</f>
        <v>2</v>
      </c>
      <c r="B3" s="187" t="s">
        <v>89</v>
      </c>
      <c r="D3" t="str">
        <f>IFERROR(VLOOKUP(ROWS($D$2:D3),$A$2:$B$1416,2,0),"")</f>
        <v>Allerdale</v>
      </c>
    </row>
    <row r="4" spans="1:4" x14ac:dyDescent="0.25">
      <c r="A4">
        <f>IF(ISNUMBER(SEARCH('PRP LA trend tool 2015-23'!$F$3,B4)),MAX($A$1:A3)+1,0)</f>
        <v>3</v>
      </c>
      <c r="B4" s="187" t="s">
        <v>91</v>
      </c>
      <c r="D4" t="str">
        <f>IFERROR(VLOOKUP(ROWS($D$2:D4),$A$2:$B$1416,2,0),"")</f>
        <v>Amber Valley</v>
      </c>
    </row>
    <row r="5" spans="1:4" x14ac:dyDescent="0.25">
      <c r="A5">
        <f>IF(ISNUMBER(SEARCH('PRP LA trend tool 2015-23'!$F$3,B5)),MAX($A$1:A4)+1,0)</f>
        <v>4</v>
      </c>
      <c r="B5" s="187" t="s">
        <v>93</v>
      </c>
      <c r="D5" t="str">
        <f>IFERROR(VLOOKUP(ROWS($D$2:D5),$A$2:$B$1416,2,0),"")</f>
        <v>Arun</v>
      </c>
    </row>
    <row r="6" spans="1:4" x14ac:dyDescent="0.25">
      <c r="A6">
        <f>IF(ISNUMBER(SEARCH('PRP LA trend tool 2015-23'!$F$3,B6)),MAX($A$1:A5)+1,0)</f>
        <v>5</v>
      </c>
      <c r="B6" s="187" t="s">
        <v>95</v>
      </c>
      <c r="D6" t="str">
        <f>IFERROR(VLOOKUP(ROWS($D$2:D6),$A$2:$B$1416,2,0),"")</f>
        <v>Ashfield</v>
      </c>
    </row>
    <row r="7" spans="1:4" x14ac:dyDescent="0.25">
      <c r="A7">
        <f>IF(ISNUMBER(SEARCH('PRP LA trend tool 2015-23'!$F$3,B7)),MAX($A$1:A6)+1,0)</f>
        <v>6</v>
      </c>
      <c r="B7" s="187" t="s">
        <v>97</v>
      </c>
      <c r="D7" t="str">
        <f>IFERROR(VLOOKUP(ROWS($D$2:D7),$A$2:$B$1416,2,0),"")</f>
        <v>Ashford</v>
      </c>
    </row>
    <row r="8" spans="1:4" x14ac:dyDescent="0.25">
      <c r="A8">
        <f>IF(ISNUMBER(SEARCH('PRP LA trend tool 2015-23'!$F$3,B8)),MAX($A$1:A7)+1,0)</f>
        <v>7</v>
      </c>
      <c r="B8" s="187" t="s">
        <v>99</v>
      </c>
      <c r="D8" t="str">
        <f>IFERROR(VLOOKUP(ROWS($D$2:D8),$A$2:$B$1416,2,0),"")</f>
        <v>Babergh</v>
      </c>
    </row>
    <row r="9" spans="1:4" x14ac:dyDescent="0.25">
      <c r="A9">
        <f>IF(ISNUMBER(SEARCH('PRP LA trend tool 2015-23'!$F$3,B9)),MAX($A$1:A8)+1,0)</f>
        <v>8</v>
      </c>
      <c r="B9" s="187" t="s">
        <v>101</v>
      </c>
      <c r="D9" t="str">
        <f>IFERROR(VLOOKUP(ROWS($D$2:D9),$A$2:$B$1416,2,0),"")</f>
        <v>Barking and Dagenham</v>
      </c>
    </row>
    <row r="10" spans="1:4" x14ac:dyDescent="0.25">
      <c r="A10">
        <f>IF(ISNUMBER(SEARCH('PRP LA trend tool 2015-23'!$F$3,B10)),MAX($A$1:A9)+1,0)</f>
        <v>9</v>
      </c>
      <c r="B10" s="187" t="s">
        <v>103</v>
      </c>
      <c r="D10" t="str">
        <f>IFERROR(VLOOKUP(ROWS($D$2:D10),$A$2:$B$1416,2,0),"")</f>
        <v>Barnet</v>
      </c>
    </row>
    <row r="11" spans="1:4" x14ac:dyDescent="0.25">
      <c r="A11">
        <f>IF(ISNUMBER(SEARCH('PRP LA trend tool 2015-23'!$F$3,B11)),MAX($A$1:A10)+1,0)</f>
        <v>10</v>
      </c>
      <c r="B11" s="187" t="s">
        <v>105</v>
      </c>
      <c r="D11" t="str">
        <f>IFERROR(VLOOKUP(ROWS($D$2:D11),$A$2:$B$1416,2,0),"")</f>
        <v>Barnsley</v>
      </c>
    </row>
    <row r="12" spans="1:4" x14ac:dyDescent="0.25">
      <c r="A12">
        <f>IF(ISNUMBER(SEARCH('PRP LA trend tool 2015-23'!$F$3,B12)),MAX($A$1:A11)+1,0)</f>
        <v>11</v>
      </c>
      <c r="B12" s="187" t="s">
        <v>107</v>
      </c>
      <c r="D12" t="str">
        <f>IFERROR(VLOOKUP(ROWS($D$2:D12),$A$2:$B$1416,2,0),"")</f>
        <v>Barrow-in-Furness</v>
      </c>
    </row>
    <row r="13" spans="1:4" x14ac:dyDescent="0.25">
      <c r="A13">
        <f>IF(ISNUMBER(SEARCH('PRP LA trend tool 2015-23'!$F$3,B13)),MAX($A$1:A12)+1,0)</f>
        <v>12</v>
      </c>
      <c r="B13" s="187" t="s">
        <v>109</v>
      </c>
      <c r="D13" t="str">
        <f>IFERROR(VLOOKUP(ROWS($D$2:D13),$A$2:$B$1416,2,0),"")</f>
        <v>Basildon</v>
      </c>
    </row>
    <row r="14" spans="1:4" x14ac:dyDescent="0.25">
      <c r="A14">
        <f>IF(ISNUMBER(SEARCH('PRP LA trend tool 2015-23'!$F$3,B14)),MAX($A$1:A13)+1,0)</f>
        <v>13</v>
      </c>
      <c r="B14" s="187" t="s">
        <v>111</v>
      </c>
      <c r="D14" t="str">
        <f>IFERROR(VLOOKUP(ROWS($D$2:D14),$A$2:$B$1416,2,0),"")</f>
        <v>Basingstoke and Deane</v>
      </c>
    </row>
    <row r="15" spans="1:4" x14ac:dyDescent="0.25">
      <c r="A15">
        <f>IF(ISNUMBER(SEARCH('PRP LA trend tool 2015-23'!$F$3,B15)),MAX($A$1:A14)+1,0)</f>
        <v>14</v>
      </c>
      <c r="B15" s="187" t="s">
        <v>113</v>
      </c>
      <c r="D15" t="str">
        <f>IFERROR(VLOOKUP(ROWS($D$2:D15),$A$2:$B$1416,2,0),"")</f>
        <v>Bassetlaw</v>
      </c>
    </row>
    <row r="16" spans="1:4" x14ac:dyDescent="0.25">
      <c r="A16">
        <f>IF(ISNUMBER(SEARCH('PRP LA trend tool 2015-23'!$F$3,B16)),MAX($A$1:A15)+1,0)</f>
        <v>15</v>
      </c>
      <c r="B16" s="187" t="s">
        <v>115</v>
      </c>
      <c r="D16" t="str">
        <f>IFERROR(VLOOKUP(ROWS($D$2:D16),$A$2:$B$1416,2,0),"")</f>
        <v>Bath and North East Somerset</v>
      </c>
    </row>
    <row r="17" spans="1:4" x14ac:dyDescent="0.25">
      <c r="A17">
        <f>IF(ISNUMBER(SEARCH('PRP LA trend tool 2015-23'!$F$3,B17)),MAX($A$1:A16)+1,0)</f>
        <v>16</v>
      </c>
      <c r="B17" s="187" t="s">
        <v>117</v>
      </c>
      <c r="D17" t="str">
        <f>IFERROR(VLOOKUP(ROWS($D$2:D17),$A$2:$B$1416,2,0),"")</f>
        <v>Bedford</v>
      </c>
    </row>
    <row r="18" spans="1:4" x14ac:dyDescent="0.25">
      <c r="A18">
        <f>IF(ISNUMBER(SEARCH('PRP LA trend tool 2015-23'!$F$3,B18)),MAX($A$1:A17)+1,0)</f>
        <v>17</v>
      </c>
      <c r="B18" s="187" t="s">
        <v>119</v>
      </c>
      <c r="D18" t="str">
        <f>IFERROR(VLOOKUP(ROWS($D$2:D18),$A$2:$B$1416,2,0),"")</f>
        <v>Bexley</v>
      </c>
    </row>
    <row r="19" spans="1:4" x14ac:dyDescent="0.25">
      <c r="A19">
        <f>IF(ISNUMBER(SEARCH('PRP LA trend tool 2015-23'!$F$3,B19)),MAX($A$1:A18)+1,0)</f>
        <v>18</v>
      </c>
      <c r="B19" s="187" t="s">
        <v>121</v>
      </c>
      <c r="D19" t="str">
        <f>IFERROR(VLOOKUP(ROWS($D$2:D19),$A$2:$B$1416,2,0),"")</f>
        <v>Birmingham</v>
      </c>
    </row>
    <row r="20" spans="1:4" x14ac:dyDescent="0.25">
      <c r="A20">
        <f>IF(ISNUMBER(SEARCH('PRP LA trend tool 2015-23'!$F$3,B20)),MAX($A$1:A19)+1,0)</f>
        <v>19</v>
      </c>
      <c r="B20" s="187" t="s">
        <v>123</v>
      </c>
      <c r="D20" t="str">
        <f>IFERROR(VLOOKUP(ROWS($D$2:D20),$A$2:$B$1416,2,0),"")</f>
        <v>Blaby</v>
      </c>
    </row>
    <row r="21" spans="1:4" x14ac:dyDescent="0.25">
      <c r="A21">
        <f>IF(ISNUMBER(SEARCH('PRP LA trend tool 2015-23'!$F$3,B21)),MAX($A$1:A20)+1,0)</f>
        <v>20</v>
      </c>
      <c r="B21" s="187" t="s">
        <v>125</v>
      </c>
      <c r="D21" t="str">
        <f>IFERROR(VLOOKUP(ROWS($D$2:D21),$A$2:$B$1416,2,0),"")</f>
        <v>Blackburn with Darwen</v>
      </c>
    </row>
    <row r="22" spans="1:4" x14ac:dyDescent="0.25">
      <c r="A22">
        <f>IF(ISNUMBER(SEARCH('PRP LA trend tool 2015-23'!$F$3,B22)),MAX($A$1:A21)+1,0)</f>
        <v>21</v>
      </c>
      <c r="B22" s="187" t="s">
        <v>127</v>
      </c>
      <c r="D22" t="str">
        <f>IFERROR(VLOOKUP(ROWS($D$2:D22),$A$2:$B$1416,2,0),"")</f>
        <v>Blackpool</v>
      </c>
    </row>
    <row r="23" spans="1:4" x14ac:dyDescent="0.25">
      <c r="A23">
        <f>IF(ISNUMBER(SEARCH('PRP LA trend tool 2015-23'!$F$3,B23)),MAX($A$1:A22)+1,0)</f>
        <v>22</v>
      </c>
      <c r="B23" s="187" t="s">
        <v>129</v>
      </c>
      <c r="D23" t="str">
        <f>IFERROR(VLOOKUP(ROWS($D$2:D23),$A$2:$B$1416,2,0),"")</f>
        <v>Bolsover</v>
      </c>
    </row>
    <row r="24" spans="1:4" x14ac:dyDescent="0.25">
      <c r="A24">
        <f>IF(ISNUMBER(SEARCH('PRP LA trend tool 2015-23'!$F$3,B24)),MAX($A$1:A23)+1,0)</f>
        <v>23</v>
      </c>
      <c r="B24" s="187" t="s">
        <v>131</v>
      </c>
      <c r="D24" t="str">
        <f>IFERROR(VLOOKUP(ROWS($D$2:D24),$A$2:$B$1416,2,0),"")</f>
        <v>Bolton</v>
      </c>
    </row>
    <row r="25" spans="1:4" x14ac:dyDescent="0.25">
      <c r="A25">
        <f>IF(ISNUMBER(SEARCH('PRP LA trend tool 2015-23'!$F$3,B25)),MAX($A$1:A24)+1,0)</f>
        <v>24</v>
      </c>
      <c r="B25" s="187" t="s">
        <v>133</v>
      </c>
      <c r="D25" t="str">
        <f>IFERROR(VLOOKUP(ROWS($D$2:D25),$A$2:$B$1416,2,0),"")</f>
        <v>Boston</v>
      </c>
    </row>
    <row r="26" spans="1:4" x14ac:dyDescent="0.25">
      <c r="A26">
        <f>IF(ISNUMBER(SEARCH('PRP LA trend tool 2015-23'!$F$3,B26)),MAX($A$1:A25)+1,0)</f>
        <v>25</v>
      </c>
      <c r="B26" s="187" t="s">
        <v>135</v>
      </c>
      <c r="D26" t="str">
        <f>IFERROR(VLOOKUP(ROWS($D$2:D26),$A$2:$B$1416,2,0),"")</f>
        <v>Bournemouth Christchurch and Poole</v>
      </c>
    </row>
    <row r="27" spans="1:4" x14ac:dyDescent="0.25">
      <c r="A27">
        <f>IF(ISNUMBER(SEARCH('PRP LA trend tool 2015-23'!$F$3,B27)),MAX($A$1:A26)+1,0)</f>
        <v>26</v>
      </c>
      <c r="B27" s="187" t="s">
        <v>137</v>
      </c>
      <c r="D27" t="str">
        <f>IFERROR(VLOOKUP(ROWS($D$2:D27),$A$2:$B$1416,2,0),"")</f>
        <v>Bracknell Forest</v>
      </c>
    </row>
    <row r="28" spans="1:4" x14ac:dyDescent="0.25">
      <c r="A28">
        <f>IF(ISNUMBER(SEARCH('PRP LA trend tool 2015-23'!$F$3,B28)),MAX($A$1:A27)+1,0)</f>
        <v>27</v>
      </c>
      <c r="B28" s="187" t="s">
        <v>139</v>
      </c>
      <c r="D28" t="str">
        <f>IFERROR(VLOOKUP(ROWS($D$2:D28),$A$2:$B$1416,2,0),"")</f>
        <v>Bradford</v>
      </c>
    </row>
    <row r="29" spans="1:4" x14ac:dyDescent="0.25">
      <c r="A29">
        <f>IF(ISNUMBER(SEARCH('PRP LA trend tool 2015-23'!$F$3,B29)),MAX($A$1:A28)+1,0)</f>
        <v>28</v>
      </c>
      <c r="B29" s="187" t="s">
        <v>141</v>
      </c>
      <c r="D29" t="str">
        <f>IFERROR(VLOOKUP(ROWS($D$2:D29),$A$2:$B$1416,2,0),"")</f>
        <v>Braintree</v>
      </c>
    </row>
    <row r="30" spans="1:4" x14ac:dyDescent="0.25">
      <c r="A30">
        <f>IF(ISNUMBER(SEARCH('PRP LA trend tool 2015-23'!$F$3,B30)),MAX($A$1:A29)+1,0)</f>
        <v>29</v>
      </c>
      <c r="B30" s="187" t="s">
        <v>143</v>
      </c>
      <c r="D30" t="str">
        <f>IFERROR(VLOOKUP(ROWS($D$2:D30),$A$2:$B$1416,2,0),"")</f>
        <v>Breckland</v>
      </c>
    </row>
    <row r="31" spans="1:4" x14ac:dyDescent="0.25">
      <c r="A31">
        <f>IF(ISNUMBER(SEARCH('PRP LA trend tool 2015-23'!$F$3,B31)),MAX($A$1:A30)+1,0)</f>
        <v>30</v>
      </c>
      <c r="B31" s="187" t="s">
        <v>145</v>
      </c>
      <c r="D31" t="str">
        <f>IFERROR(VLOOKUP(ROWS($D$2:D31),$A$2:$B$1416,2,0),"")</f>
        <v>Brent</v>
      </c>
    </row>
    <row r="32" spans="1:4" x14ac:dyDescent="0.25">
      <c r="A32">
        <f>IF(ISNUMBER(SEARCH('PRP LA trend tool 2015-23'!$F$3,B32)),MAX($A$1:A31)+1,0)</f>
        <v>31</v>
      </c>
      <c r="B32" s="187" t="s">
        <v>147</v>
      </c>
      <c r="D32" t="str">
        <f>IFERROR(VLOOKUP(ROWS($D$2:D32),$A$2:$B$1416,2,0),"")</f>
        <v>Brentwood</v>
      </c>
    </row>
    <row r="33" spans="1:4" x14ac:dyDescent="0.25">
      <c r="A33">
        <f>IF(ISNUMBER(SEARCH('PRP LA trend tool 2015-23'!$F$3,B33)),MAX($A$1:A32)+1,0)</f>
        <v>32</v>
      </c>
      <c r="B33" s="187" t="s">
        <v>149</v>
      </c>
      <c r="D33" t="str">
        <f>IFERROR(VLOOKUP(ROWS($D$2:D33),$A$2:$B$1416,2,0),"")</f>
        <v>Brighton and Hove</v>
      </c>
    </row>
    <row r="34" spans="1:4" x14ac:dyDescent="0.25">
      <c r="A34">
        <f>IF(ISNUMBER(SEARCH('PRP LA trend tool 2015-23'!$F$3,B34)),MAX($A$1:A33)+1,0)</f>
        <v>33</v>
      </c>
      <c r="B34" s="187" t="s">
        <v>151</v>
      </c>
      <c r="D34" t="str">
        <f>IFERROR(VLOOKUP(ROWS($D$2:D34),$A$2:$B$1416,2,0),"")</f>
        <v>Bristol, City of</v>
      </c>
    </row>
    <row r="35" spans="1:4" x14ac:dyDescent="0.25">
      <c r="A35">
        <f>IF(ISNUMBER(SEARCH('PRP LA trend tool 2015-23'!$F$3,B35)),MAX($A$1:A34)+1,0)</f>
        <v>34</v>
      </c>
      <c r="B35" s="187" t="s">
        <v>153</v>
      </c>
      <c r="D35" t="str">
        <f>IFERROR(VLOOKUP(ROWS($D$2:D35),$A$2:$B$1416,2,0),"")</f>
        <v>Broadland</v>
      </c>
    </row>
    <row r="36" spans="1:4" x14ac:dyDescent="0.25">
      <c r="A36">
        <f>IF(ISNUMBER(SEARCH('PRP LA trend tool 2015-23'!$F$3,B36)),MAX($A$1:A35)+1,0)</f>
        <v>35</v>
      </c>
      <c r="B36" s="187" t="s">
        <v>155</v>
      </c>
      <c r="D36" t="str">
        <f>IFERROR(VLOOKUP(ROWS($D$2:D36),$A$2:$B$1416,2,0),"")</f>
        <v>Bromley</v>
      </c>
    </row>
    <row r="37" spans="1:4" x14ac:dyDescent="0.25">
      <c r="A37">
        <f>IF(ISNUMBER(SEARCH('PRP LA trend tool 2015-23'!$F$3,B37)),MAX($A$1:A36)+1,0)</f>
        <v>36</v>
      </c>
      <c r="B37" s="187" t="s">
        <v>157</v>
      </c>
      <c r="D37" t="str">
        <f>IFERROR(VLOOKUP(ROWS($D$2:D37),$A$2:$B$1416,2,0),"")</f>
        <v>Bromsgrove</v>
      </c>
    </row>
    <row r="38" spans="1:4" x14ac:dyDescent="0.25">
      <c r="A38">
        <f>IF(ISNUMBER(SEARCH('PRP LA trend tool 2015-23'!$F$3,B38)),MAX($A$1:A37)+1,0)</f>
        <v>37</v>
      </c>
      <c r="B38" s="187" t="s">
        <v>159</v>
      </c>
      <c r="D38" t="str">
        <f>IFERROR(VLOOKUP(ROWS($D$2:D38),$A$2:$B$1416,2,0),"")</f>
        <v>Broxbourne</v>
      </c>
    </row>
    <row r="39" spans="1:4" x14ac:dyDescent="0.25">
      <c r="A39">
        <f>IF(ISNUMBER(SEARCH('PRP LA trend tool 2015-23'!$F$3,B39)),MAX($A$1:A38)+1,0)</f>
        <v>38</v>
      </c>
      <c r="B39" s="187" t="s">
        <v>161</v>
      </c>
      <c r="D39" t="str">
        <f>IFERROR(VLOOKUP(ROWS($D$2:D39),$A$2:$B$1416,2,0),"")</f>
        <v>Broxtowe</v>
      </c>
    </row>
    <row r="40" spans="1:4" x14ac:dyDescent="0.25">
      <c r="A40">
        <f>IF(ISNUMBER(SEARCH('PRP LA trend tool 2015-23'!$F$3,B40)),MAX($A$1:A39)+1,0)</f>
        <v>39</v>
      </c>
      <c r="B40" s="187" t="s">
        <v>770</v>
      </c>
      <c r="D40" t="str">
        <f>IFERROR(VLOOKUP(ROWS($D$2:D40),$A$2:$B$1416,2,0),"")</f>
        <v>Buckinghamshire</v>
      </c>
    </row>
    <row r="41" spans="1:4" x14ac:dyDescent="0.25">
      <c r="A41">
        <f>IF(ISNUMBER(SEARCH('PRP LA trend tool 2015-23'!$F$3,B41)),MAX($A$1:A40)+1,0)</f>
        <v>40</v>
      </c>
      <c r="B41" s="187" t="s">
        <v>163</v>
      </c>
      <c r="D41" t="str">
        <f>IFERROR(VLOOKUP(ROWS($D$2:D41),$A$2:$B$1416,2,0),"")</f>
        <v>Burnley</v>
      </c>
    </row>
    <row r="42" spans="1:4" x14ac:dyDescent="0.25">
      <c r="A42">
        <f>IF(ISNUMBER(SEARCH('PRP LA trend tool 2015-23'!$F$3,B42)),MAX($A$1:A41)+1,0)</f>
        <v>41</v>
      </c>
      <c r="B42" s="187" t="s">
        <v>165</v>
      </c>
      <c r="D42" t="str">
        <f>IFERROR(VLOOKUP(ROWS($D$2:D42),$A$2:$B$1416,2,0),"")</f>
        <v>Bury</v>
      </c>
    </row>
    <row r="43" spans="1:4" x14ac:dyDescent="0.25">
      <c r="A43">
        <f>IF(ISNUMBER(SEARCH('PRP LA trend tool 2015-23'!$F$3,B43)),MAX($A$1:A42)+1,0)</f>
        <v>42</v>
      </c>
      <c r="B43" s="187" t="s">
        <v>167</v>
      </c>
      <c r="D43" t="str">
        <f>IFERROR(VLOOKUP(ROWS($D$2:D43),$A$2:$B$1416,2,0),"")</f>
        <v>Calderdale</v>
      </c>
    </row>
    <row r="44" spans="1:4" x14ac:dyDescent="0.25">
      <c r="A44">
        <f>IF(ISNUMBER(SEARCH('PRP LA trend tool 2015-23'!$F$3,B44)),MAX($A$1:A43)+1,0)</f>
        <v>43</v>
      </c>
      <c r="B44" s="187" t="s">
        <v>169</v>
      </c>
      <c r="D44" t="str">
        <f>IFERROR(VLOOKUP(ROWS($D$2:D44),$A$2:$B$1416,2,0),"")</f>
        <v>Cambridge</v>
      </c>
    </row>
    <row r="45" spans="1:4" x14ac:dyDescent="0.25">
      <c r="A45">
        <f>IF(ISNUMBER(SEARCH('PRP LA trend tool 2015-23'!$F$3,B45)),MAX($A$1:A44)+1,0)</f>
        <v>44</v>
      </c>
      <c r="B45" s="187" t="s">
        <v>171</v>
      </c>
      <c r="D45" t="str">
        <f>IFERROR(VLOOKUP(ROWS($D$2:D45),$A$2:$B$1416,2,0),"")</f>
        <v>Camden</v>
      </c>
    </row>
    <row r="46" spans="1:4" x14ac:dyDescent="0.25">
      <c r="A46">
        <f>IF(ISNUMBER(SEARCH('PRP LA trend tool 2015-23'!$F$3,B46)),MAX($A$1:A45)+1,0)</f>
        <v>45</v>
      </c>
      <c r="B46" s="187" t="s">
        <v>173</v>
      </c>
      <c r="D46" t="str">
        <f>IFERROR(VLOOKUP(ROWS($D$2:D46),$A$2:$B$1416,2,0),"")</f>
        <v>Cannock Chase</v>
      </c>
    </row>
    <row r="47" spans="1:4" x14ac:dyDescent="0.25">
      <c r="A47">
        <f>IF(ISNUMBER(SEARCH('PRP LA trend tool 2015-23'!$F$3,B47)),MAX($A$1:A46)+1,0)</f>
        <v>46</v>
      </c>
      <c r="B47" s="187" t="s">
        <v>175</v>
      </c>
      <c r="D47" t="str">
        <f>IFERROR(VLOOKUP(ROWS($D$2:D47),$A$2:$B$1416,2,0),"")</f>
        <v>Canterbury</v>
      </c>
    </row>
    <row r="48" spans="1:4" x14ac:dyDescent="0.25">
      <c r="A48">
        <f>IF(ISNUMBER(SEARCH('PRP LA trend tool 2015-23'!$F$3,B48)),MAX($A$1:A47)+1,0)</f>
        <v>47</v>
      </c>
      <c r="B48" s="187" t="s">
        <v>177</v>
      </c>
      <c r="D48" t="str">
        <f>IFERROR(VLOOKUP(ROWS($D$2:D48),$A$2:$B$1416,2,0),"")</f>
        <v>Carlisle</v>
      </c>
    </row>
    <row r="49" spans="1:4" x14ac:dyDescent="0.25">
      <c r="A49">
        <f>IF(ISNUMBER(SEARCH('PRP LA trend tool 2015-23'!$F$3,B49)),MAX($A$1:A48)+1,0)</f>
        <v>48</v>
      </c>
      <c r="B49" s="187" t="s">
        <v>179</v>
      </c>
      <c r="D49" t="str">
        <f>IFERROR(VLOOKUP(ROWS($D$2:D49),$A$2:$B$1416,2,0),"")</f>
        <v>Castle Point</v>
      </c>
    </row>
    <row r="50" spans="1:4" x14ac:dyDescent="0.25">
      <c r="A50">
        <f>IF(ISNUMBER(SEARCH('PRP LA trend tool 2015-23'!$F$3,B50)),MAX($A$1:A49)+1,0)</f>
        <v>49</v>
      </c>
      <c r="B50" s="187" t="s">
        <v>181</v>
      </c>
      <c r="D50" t="str">
        <f>IFERROR(VLOOKUP(ROWS($D$2:D50),$A$2:$B$1416,2,0),"")</f>
        <v>Central Bedfordshire</v>
      </c>
    </row>
    <row r="51" spans="1:4" x14ac:dyDescent="0.25">
      <c r="A51">
        <f>IF(ISNUMBER(SEARCH('PRP LA trend tool 2015-23'!$F$3,B51)),MAX($A$1:A50)+1,0)</f>
        <v>50</v>
      </c>
      <c r="B51" s="187" t="s">
        <v>183</v>
      </c>
      <c r="D51" t="str">
        <f>IFERROR(VLOOKUP(ROWS($D$2:D51),$A$2:$B$1416,2,0),"")</f>
        <v>Charnwood</v>
      </c>
    </row>
    <row r="52" spans="1:4" x14ac:dyDescent="0.25">
      <c r="A52">
        <f>IF(ISNUMBER(SEARCH('PRP LA trend tool 2015-23'!$F$3,B52)),MAX($A$1:A51)+1,0)</f>
        <v>51</v>
      </c>
      <c r="B52" s="187" t="s">
        <v>185</v>
      </c>
      <c r="D52" t="str">
        <f>IFERROR(VLOOKUP(ROWS($D$2:D52),$A$2:$B$1416,2,0),"")</f>
        <v>Chelmsford</v>
      </c>
    </row>
    <row r="53" spans="1:4" x14ac:dyDescent="0.25">
      <c r="A53">
        <f>IF(ISNUMBER(SEARCH('PRP LA trend tool 2015-23'!$F$3,B53)),MAX($A$1:A52)+1,0)</f>
        <v>52</v>
      </c>
      <c r="B53" s="187" t="s">
        <v>187</v>
      </c>
      <c r="D53" t="str">
        <f>IFERROR(VLOOKUP(ROWS($D$2:D53),$A$2:$B$1416,2,0),"")</f>
        <v>Cheltenham</v>
      </c>
    </row>
    <row r="54" spans="1:4" x14ac:dyDescent="0.25">
      <c r="A54">
        <f>IF(ISNUMBER(SEARCH('PRP LA trend tool 2015-23'!$F$3,B54)),MAX($A$1:A53)+1,0)</f>
        <v>53</v>
      </c>
      <c r="B54" s="187" t="s">
        <v>189</v>
      </c>
      <c r="D54" t="str">
        <f>IFERROR(VLOOKUP(ROWS($D$2:D54),$A$2:$B$1416,2,0),"")</f>
        <v>Cherwell</v>
      </c>
    </row>
    <row r="55" spans="1:4" x14ac:dyDescent="0.25">
      <c r="A55">
        <f>IF(ISNUMBER(SEARCH('PRP LA trend tool 2015-23'!$F$3,B55)),MAX($A$1:A54)+1,0)</f>
        <v>54</v>
      </c>
      <c r="B55" s="187" t="s">
        <v>191</v>
      </c>
      <c r="D55" t="str">
        <f>IFERROR(VLOOKUP(ROWS($D$2:D55),$A$2:$B$1416,2,0),"")</f>
        <v>Cheshire East</v>
      </c>
    </row>
    <row r="56" spans="1:4" x14ac:dyDescent="0.25">
      <c r="A56">
        <f>IF(ISNUMBER(SEARCH('PRP LA trend tool 2015-23'!$F$3,B56)),MAX($A$1:A55)+1,0)</f>
        <v>55</v>
      </c>
      <c r="B56" s="187" t="s">
        <v>193</v>
      </c>
      <c r="D56" t="str">
        <f>IFERROR(VLOOKUP(ROWS($D$2:D56),$A$2:$B$1416,2,0),"")</f>
        <v>Cheshire West and Chester</v>
      </c>
    </row>
    <row r="57" spans="1:4" x14ac:dyDescent="0.25">
      <c r="A57">
        <f>IF(ISNUMBER(SEARCH('PRP LA trend tool 2015-23'!$F$3,B57)),MAX($A$1:A56)+1,0)</f>
        <v>56</v>
      </c>
      <c r="B57" s="187" t="s">
        <v>195</v>
      </c>
      <c r="D57" t="str">
        <f>IFERROR(VLOOKUP(ROWS($D$2:D57),$A$2:$B$1416,2,0),"")</f>
        <v>Chesterfield</v>
      </c>
    </row>
    <row r="58" spans="1:4" x14ac:dyDescent="0.25">
      <c r="A58">
        <f>IF(ISNUMBER(SEARCH('PRP LA trend tool 2015-23'!$F$3,B58)),MAX($A$1:A57)+1,0)</f>
        <v>57</v>
      </c>
      <c r="B58" s="187" t="s">
        <v>197</v>
      </c>
      <c r="D58" t="str">
        <f>IFERROR(VLOOKUP(ROWS($D$2:D58),$A$2:$B$1416,2,0),"")</f>
        <v>Chichester</v>
      </c>
    </row>
    <row r="59" spans="1:4" x14ac:dyDescent="0.25">
      <c r="A59">
        <f>IF(ISNUMBER(SEARCH('PRP LA trend tool 2015-23'!$F$3,B59)),MAX($A$1:A58)+1,0)</f>
        <v>58</v>
      </c>
      <c r="B59" s="187" t="s">
        <v>199</v>
      </c>
      <c r="D59" t="str">
        <f>IFERROR(VLOOKUP(ROWS($D$2:D59),$A$2:$B$1416,2,0),"")</f>
        <v>Chorley</v>
      </c>
    </row>
    <row r="60" spans="1:4" x14ac:dyDescent="0.25">
      <c r="A60">
        <f>IF(ISNUMBER(SEARCH('PRP LA trend tool 2015-23'!$F$3,B60)),MAX($A$1:A59)+1,0)</f>
        <v>59</v>
      </c>
      <c r="B60" s="187" t="s">
        <v>201</v>
      </c>
      <c r="D60" t="str">
        <f>IFERROR(VLOOKUP(ROWS($D$2:D60),$A$2:$B$1416,2,0),"")</f>
        <v>City of London</v>
      </c>
    </row>
    <row r="61" spans="1:4" x14ac:dyDescent="0.25">
      <c r="A61">
        <f>IF(ISNUMBER(SEARCH('PRP LA trend tool 2015-23'!$F$3,B61)),MAX($A$1:A60)+1,0)</f>
        <v>60</v>
      </c>
      <c r="B61" s="187" t="s">
        <v>203</v>
      </c>
      <c r="D61" t="str">
        <f>IFERROR(VLOOKUP(ROWS($D$2:D61),$A$2:$B$1416,2,0),"")</f>
        <v>Colchester</v>
      </c>
    </row>
    <row r="62" spans="1:4" x14ac:dyDescent="0.25">
      <c r="A62">
        <f>IF(ISNUMBER(SEARCH('PRP LA trend tool 2015-23'!$F$3,B62)),MAX($A$1:A61)+1,0)</f>
        <v>61</v>
      </c>
      <c r="B62" s="187" t="s">
        <v>205</v>
      </c>
      <c r="D62" t="str">
        <f>IFERROR(VLOOKUP(ROWS($D$2:D62),$A$2:$B$1416,2,0),"")</f>
        <v>Copeland</v>
      </c>
    </row>
    <row r="63" spans="1:4" x14ac:dyDescent="0.25">
      <c r="A63">
        <f>IF(ISNUMBER(SEARCH('PRP LA trend tool 2015-23'!$F$3,B63)),MAX($A$1:A62)+1,0)</f>
        <v>62</v>
      </c>
      <c r="B63" s="187" t="s">
        <v>207</v>
      </c>
      <c r="D63" t="str">
        <f>IFERROR(VLOOKUP(ROWS($D$2:D63),$A$2:$B$1416,2,0),"")</f>
        <v>Cornwall</v>
      </c>
    </row>
    <row r="64" spans="1:4" x14ac:dyDescent="0.25">
      <c r="A64">
        <f>IF(ISNUMBER(SEARCH('PRP LA trend tool 2015-23'!$F$3,B64)),MAX($A$1:A63)+1,0)</f>
        <v>63</v>
      </c>
      <c r="B64" s="187" t="s">
        <v>209</v>
      </c>
      <c r="D64" t="str">
        <f>IFERROR(VLOOKUP(ROWS($D$2:D64),$A$2:$B$1416,2,0),"")</f>
        <v>Cotswold</v>
      </c>
    </row>
    <row r="65" spans="1:4" x14ac:dyDescent="0.25">
      <c r="A65">
        <f>IF(ISNUMBER(SEARCH('PRP LA trend tool 2015-23'!$F$3,B65)),MAX($A$1:A64)+1,0)</f>
        <v>64</v>
      </c>
      <c r="B65" s="187" t="s">
        <v>211</v>
      </c>
      <c r="D65" t="str">
        <f>IFERROR(VLOOKUP(ROWS($D$2:D65),$A$2:$B$1416,2,0),"")</f>
        <v>County Durham</v>
      </c>
    </row>
    <row r="66" spans="1:4" x14ac:dyDescent="0.25">
      <c r="A66">
        <f>IF(ISNUMBER(SEARCH('PRP LA trend tool 2015-23'!$F$3,B66)),MAX($A$1:A65)+1,0)</f>
        <v>65</v>
      </c>
      <c r="B66" s="187" t="s">
        <v>213</v>
      </c>
      <c r="D66" t="str">
        <f>IFERROR(VLOOKUP(ROWS($D$2:D66),$A$2:$B$1416,2,0),"")</f>
        <v>Coventry</v>
      </c>
    </row>
    <row r="67" spans="1:4" x14ac:dyDescent="0.25">
      <c r="A67">
        <f>IF(ISNUMBER(SEARCH('PRP LA trend tool 2015-23'!$F$3,B67)),MAX($A$1:A66)+1,0)</f>
        <v>66</v>
      </c>
      <c r="B67" s="187" t="s">
        <v>215</v>
      </c>
      <c r="D67" t="str">
        <f>IFERROR(VLOOKUP(ROWS($D$2:D67),$A$2:$B$1416,2,0),"")</f>
        <v>Craven</v>
      </c>
    </row>
    <row r="68" spans="1:4" x14ac:dyDescent="0.25">
      <c r="A68">
        <f>IF(ISNUMBER(SEARCH('PRP LA trend tool 2015-23'!$F$3,B68)),MAX($A$1:A67)+1,0)</f>
        <v>67</v>
      </c>
      <c r="B68" s="187" t="s">
        <v>217</v>
      </c>
      <c r="D68" t="str">
        <f>IFERROR(VLOOKUP(ROWS($D$2:D68),$A$2:$B$1416,2,0),"")</f>
        <v>Crawley</v>
      </c>
    </row>
    <row r="69" spans="1:4" x14ac:dyDescent="0.25">
      <c r="A69">
        <f>IF(ISNUMBER(SEARCH('PRP LA trend tool 2015-23'!$F$3,B69)),MAX($A$1:A68)+1,0)</f>
        <v>68</v>
      </c>
      <c r="B69" s="187" t="s">
        <v>219</v>
      </c>
      <c r="D69" t="str">
        <f>IFERROR(VLOOKUP(ROWS($D$2:D69),$A$2:$B$1416,2,0),"")</f>
        <v>Croydon</v>
      </c>
    </row>
    <row r="70" spans="1:4" x14ac:dyDescent="0.25">
      <c r="A70">
        <f>IF(ISNUMBER(SEARCH('PRP LA trend tool 2015-23'!$F$3,B70)),MAX($A$1:A69)+1,0)</f>
        <v>69</v>
      </c>
      <c r="B70" s="187" t="s">
        <v>221</v>
      </c>
      <c r="D70" t="str">
        <f>IFERROR(VLOOKUP(ROWS($D$2:D70),$A$2:$B$1416,2,0),"")</f>
        <v>Dacorum</v>
      </c>
    </row>
    <row r="71" spans="1:4" x14ac:dyDescent="0.25">
      <c r="A71">
        <f>IF(ISNUMBER(SEARCH('PRP LA trend tool 2015-23'!$F$3,B71)),MAX($A$1:A70)+1,0)</f>
        <v>70</v>
      </c>
      <c r="B71" s="187" t="s">
        <v>223</v>
      </c>
      <c r="D71" t="str">
        <f>IFERROR(VLOOKUP(ROWS($D$2:D71),$A$2:$B$1416,2,0),"")</f>
        <v>Darlington</v>
      </c>
    </row>
    <row r="72" spans="1:4" x14ac:dyDescent="0.25">
      <c r="A72">
        <f>IF(ISNUMBER(SEARCH('PRP LA trend tool 2015-23'!$F$3,B72)),MAX($A$1:A71)+1,0)</f>
        <v>71</v>
      </c>
      <c r="B72" s="187" t="s">
        <v>225</v>
      </c>
      <c r="D72" t="str">
        <f>IFERROR(VLOOKUP(ROWS($D$2:D72),$A$2:$B$1416,2,0),"")</f>
        <v>Dartford</v>
      </c>
    </row>
    <row r="73" spans="1:4" x14ac:dyDescent="0.25">
      <c r="A73">
        <f>IF(ISNUMBER(SEARCH('PRP LA trend tool 2015-23'!$F$3,B73)),MAX($A$1:A72)+1,0)</f>
        <v>72</v>
      </c>
      <c r="B73" s="187" t="s">
        <v>227</v>
      </c>
      <c r="D73" t="str">
        <f>IFERROR(VLOOKUP(ROWS($D$2:D73),$A$2:$B$1416,2,0),"")</f>
        <v>Derby</v>
      </c>
    </row>
    <row r="74" spans="1:4" x14ac:dyDescent="0.25">
      <c r="A74">
        <f>IF(ISNUMBER(SEARCH('PRP LA trend tool 2015-23'!$F$3,B74)),MAX($A$1:A73)+1,0)</f>
        <v>73</v>
      </c>
      <c r="B74" s="187" t="s">
        <v>229</v>
      </c>
      <c r="D74" t="str">
        <f>IFERROR(VLOOKUP(ROWS($D$2:D74),$A$2:$B$1416,2,0),"")</f>
        <v>Derbyshire Dales</v>
      </c>
    </row>
    <row r="75" spans="1:4" x14ac:dyDescent="0.25">
      <c r="A75">
        <f>IF(ISNUMBER(SEARCH('PRP LA trend tool 2015-23'!$F$3,B75)),MAX($A$1:A74)+1,0)</f>
        <v>74</v>
      </c>
      <c r="B75" s="187" t="s">
        <v>231</v>
      </c>
      <c r="D75" t="str">
        <f>IFERROR(VLOOKUP(ROWS($D$2:D75),$A$2:$B$1416,2,0),"")</f>
        <v>Doncaster</v>
      </c>
    </row>
    <row r="76" spans="1:4" x14ac:dyDescent="0.25">
      <c r="A76">
        <f>IF(ISNUMBER(SEARCH('PRP LA trend tool 2015-23'!$F$3,B76)),MAX($A$1:A75)+1,0)</f>
        <v>75</v>
      </c>
      <c r="B76" s="187" t="s">
        <v>233</v>
      </c>
      <c r="D76" t="str">
        <f>IFERROR(VLOOKUP(ROWS($D$2:D76),$A$2:$B$1416,2,0),"")</f>
        <v>Dorset</v>
      </c>
    </row>
    <row r="77" spans="1:4" x14ac:dyDescent="0.25">
      <c r="A77">
        <f>IF(ISNUMBER(SEARCH('PRP LA trend tool 2015-23'!$F$3,B77)),MAX($A$1:A76)+1,0)</f>
        <v>76</v>
      </c>
      <c r="B77" s="187" t="s">
        <v>235</v>
      </c>
      <c r="D77" t="str">
        <f>IFERROR(VLOOKUP(ROWS($D$2:D77),$A$2:$B$1416,2,0),"")</f>
        <v>Dover</v>
      </c>
    </row>
    <row r="78" spans="1:4" x14ac:dyDescent="0.25">
      <c r="A78">
        <f>IF(ISNUMBER(SEARCH('PRP LA trend tool 2015-23'!$F$3,B78)),MAX($A$1:A77)+1,0)</f>
        <v>77</v>
      </c>
      <c r="B78" s="187" t="s">
        <v>237</v>
      </c>
      <c r="D78" t="str">
        <f>IFERROR(VLOOKUP(ROWS($D$2:D78),$A$2:$B$1416,2,0),"")</f>
        <v>Dudley</v>
      </c>
    </row>
    <row r="79" spans="1:4" x14ac:dyDescent="0.25">
      <c r="A79">
        <f>IF(ISNUMBER(SEARCH('PRP LA trend tool 2015-23'!$F$3,B79)),MAX($A$1:A78)+1,0)</f>
        <v>78</v>
      </c>
      <c r="B79" s="187" t="s">
        <v>239</v>
      </c>
      <c r="D79" t="str">
        <f>IFERROR(VLOOKUP(ROWS($D$2:D79),$A$2:$B$1416,2,0),"")</f>
        <v>Ealing</v>
      </c>
    </row>
    <row r="80" spans="1:4" x14ac:dyDescent="0.25">
      <c r="A80">
        <f>IF(ISNUMBER(SEARCH('PRP LA trend tool 2015-23'!$F$3,B80)),MAX($A$1:A79)+1,0)</f>
        <v>79</v>
      </c>
      <c r="B80" s="187" t="s">
        <v>241</v>
      </c>
      <c r="D80" t="str">
        <f>IFERROR(VLOOKUP(ROWS($D$2:D80),$A$2:$B$1416,2,0),"")</f>
        <v>East Cambridgeshire</v>
      </c>
    </row>
    <row r="81" spans="1:4" x14ac:dyDescent="0.25">
      <c r="A81">
        <f>IF(ISNUMBER(SEARCH('PRP LA trend tool 2015-23'!$F$3,B81)),MAX($A$1:A80)+1,0)</f>
        <v>80</v>
      </c>
      <c r="B81" s="187" t="s">
        <v>243</v>
      </c>
      <c r="D81" t="str">
        <f>IFERROR(VLOOKUP(ROWS($D$2:D81),$A$2:$B$1416,2,0),"")</f>
        <v>East Devon</v>
      </c>
    </row>
    <row r="82" spans="1:4" x14ac:dyDescent="0.25">
      <c r="A82">
        <f>IF(ISNUMBER(SEARCH('PRP LA trend tool 2015-23'!$F$3,B82)),MAX($A$1:A81)+1,0)</f>
        <v>81</v>
      </c>
      <c r="B82" s="187" t="s">
        <v>245</v>
      </c>
      <c r="D82" t="str">
        <f>IFERROR(VLOOKUP(ROWS($D$2:D82),$A$2:$B$1416,2,0),"")</f>
        <v>East Hampshire</v>
      </c>
    </row>
    <row r="83" spans="1:4" x14ac:dyDescent="0.25">
      <c r="A83">
        <f>IF(ISNUMBER(SEARCH('PRP LA trend tool 2015-23'!$F$3,B83)),MAX($A$1:A82)+1,0)</f>
        <v>82</v>
      </c>
      <c r="B83" s="187" t="s">
        <v>247</v>
      </c>
      <c r="D83" t="str">
        <f>IFERROR(VLOOKUP(ROWS($D$2:D83),$A$2:$B$1416,2,0),"")</f>
        <v>East Hertfordshire</v>
      </c>
    </row>
    <row r="84" spans="1:4" x14ac:dyDescent="0.25">
      <c r="A84">
        <f>IF(ISNUMBER(SEARCH('PRP LA trend tool 2015-23'!$F$3,B84)),MAX($A$1:A83)+1,0)</f>
        <v>83</v>
      </c>
      <c r="B84" s="187" t="s">
        <v>249</v>
      </c>
      <c r="D84" t="str">
        <f>IFERROR(VLOOKUP(ROWS($D$2:D84),$A$2:$B$1416,2,0),"")</f>
        <v>East Lindsey</v>
      </c>
    </row>
    <row r="85" spans="1:4" x14ac:dyDescent="0.25">
      <c r="A85">
        <f>IF(ISNUMBER(SEARCH('PRP LA trend tool 2015-23'!$F$3,B85)),MAX($A$1:A84)+1,0)</f>
        <v>84</v>
      </c>
      <c r="B85" s="187" t="s">
        <v>251</v>
      </c>
      <c r="D85" t="str">
        <f>IFERROR(VLOOKUP(ROWS($D$2:D85),$A$2:$B$1416,2,0),"")</f>
        <v>East Riding of Yorkshire</v>
      </c>
    </row>
    <row r="86" spans="1:4" x14ac:dyDescent="0.25">
      <c r="A86">
        <f>IF(ISNUMBER(SEARCH('PRP LA trend tool 2015-23'!$F$3,B86)),MAX($A$1:A85)+1,0)</f>
        <v>85</v>
      </c>
      <c r="B86" s="187" t="s">
        <v>253</v>
      </c>
      <c r="D86" t="str">
        <f>IFERROR(VLOOKUP(ROWS($D$2:D86),$A$2:$B$1416,2,0),"")</f>
        <v>East Staffordshire</v>
      </c>
    </row>
    <row r="87" spans="1:4" x14ac:dyDescent="0.25">
      <c r="A87">
        <f>IF(ISNUMBER(SEARCH('PRP LA trend tool 2015-23'!$F$3,B87)),MAX($A$1:A86)+1,0)</f>
        <v>86</v>
      </c>
      <c r="B87" s="187" t="s">
        <v>255</v>
      </c>
      <c r="D87" t="str">
        <f>IFERROR(VLOOKUP(ROWS($D$2:D87),$A$2:$B$1416,2,0),"")</f>
        <v>East Suffolk</v>
      </c>
    </row>
    <row r="88" spans="1:4" x14ac:dyDescent="0.25">
      <c r="A88">
        <f>IF(ISNUMBER(SEARCH('PRP LA trend tool 2015-23'!$F$3,B88)),MAX($A$1:A87)+1,0)</f>
        <v>87</v>
      </c>
      <c r="B88" s="187" t="s">
        <v>257</v>
      </c>
      <c r="D88" t="str">
        <f>IFERROR(VLOOKUP(ROWS($D$2:D88),$A$2:$B$1416,2,0),"")</f>
        <v>Eastbourne</v>
      </c>
    </row>
    <row r="89" spans="1:4" x14ac:dyDescent="0.25">
      <c r="A89">
        <f>IF(ISNUMBER(SEARCH('PRP LA trend tool 2015-23'!$F$3,B89)),MAX($A$1:A88)+1,0)</f>
        <v>88</v>
      </c>
      <c r="B89" s="187" t="s">
        <v>259</v>
      </c>
      <c r="D89" t="str">
        <f>IFERROR(VLOOKUP(ROWS($D$2:D89),$A$2:$B$1416,2,0),"")</f>
        <v>Eastleigh</v>
      </c>
    </row>
    <row r="90" spans="1:4" x14ac:dyDescent="0.25">
      <c r="A90">
        <f>IF(ISNUMBER(SEARCH('PRP LA trend tool 2015-23'!$F$3,B90)),MAX($A$1:A89)+1,0)</f>
        <v>89</v>
      </c>
      <c r="B90" s="187" t="s">
        <v>261</v>
      </c>
      <c r="D90" t="str">
        <f>IFERROR(VLOOKUP(ROWS($D$2:D90),$A$2:$B$1416,2,0),"")</f>
        <v>Eden</v>
      </c>
    </row>
    <row r="91" spans="1:4" x14ac:dyDescent="0.25">
      <c r="A91">
        <f>IF(ISNUMBER(SEARCH('PRP LA trend tool 2015-23'!$F$3,B91)),MAX($A$1:A90)+1,0)</f>
        <v>90</v>
      </c>
      <c r="B91" s="187" t="s">
        <v>263</v>
      </c>
      <c r="D91" t="str">
        <f>IFERROR(VLOOKUP(ROWS($D$2:D91),$A$2:$B$1416,2,0),"")</f>
        <v>Elmbridge</v>
      </c>
    </row>
    <row r="92" spans="1:4" x14ac:dyDescent="0.25">
      <c r="A92">
        <f>IF(ISNUMBER(SEARCH('PRP LA trend tool 2015-23'!$F$3,B92)),MAX($A$1:A91)+1,0)</f>
        <v>91</v>
      </c>
      <c r="B92" s="187" t="s">
        <v>265</v>
      </c>
      <c r="D92" t="str">
        <f>IFERROR(VLOOKUP(ROWS($D$2:D92),$A$2:$B$1416,2,0),"")</f>
        <v>Enfield</v>
      </c>
    </row>
    <row r="93" spans="1:4" x14ac:dyDescent="0.25">
      <c r="A93">
        <f>IF(ISNUMBER(SEARCH('PRP LA trend tool 2015-23'!$F$3,B93)),MAX($A$1:A92)+1,0)</f>
        <v>92</v>
      </c>
      <c r="B93" s="187" t="s">
        <v>267</v>
      </c>
      <c r="D93" t="str">
        <f>IFERROR(VLOOKUP(ROWS($D$2:D93),$A$2:$B$1416,2,0),"")</f>
        <v>Epping Forest</v>
      </c>
    </row>
    <row r="94" spans="1:4" x14ac:dyDescent="0.25">
      <c r="A94">
        <f>IF(ISNUMBER(SEARCH('PRP LA trend tool 2015-23'!$F$3,B94)),MAX($A$1:A93)+1,0)</f>
        <v>93</v>
      </c>
      <c r="B94" s="187" t="s">
        <v>269</v>
      </c>
      <c r="D94" t="str">
        <f>IFERROR(VLOOKUP(ROWS($D$2:D94),$A$2:$B$1416,2,0),"")</f>
        <v>Epsom and Ewell</v>
      </c>
    </row>
    <row r="95" spans="1:4" x14ac:dyDescent="0.25">
      <c r="A95">
        <f>IF(ISNUMBER(SEARCH('PRP LA trend tool 2015-23'!$F$3,B95)),MAX($A$1:A94)+1,0)</f>
        <v>94</v>
      </c>
      <c r="B95" s="187" t="s">
        <v>271</v>
      </c>
      <c r="D95" t="str">
        <f>IFERROR(VLOOKUP(ROWS($D$2:D95),$A$2:$B$1416,2,0),"")</f>
        <v>Erewash</v>
      </c>
    </row>
    <row r="96" spans="1:4" x14ac:dyDescent="0.25">
      <c r="A96">
        <f>IF(ISNUMBER(SEARCH('PRP LA trend tool 2015-23'!$F$3,B96)),MAX($A$1:A95)+1,0)</f>
        <v>95</v>
      </c>
      <c r="B96" s="187" t="s">
        <v>273</v>
      </c>
      <c r="D96" t="str">
        <f>IFERROR(VLOOKUP(ROWS($D$2:D96),$A$2:$B$1416,2,0),"")</f>
        <v>Exeter</v>
      </c>
    </row>
    <row r="97" spans="1:4" x14ac:dyDescent="0.25">
      <c r="A97">
        <f>IF(ISNUMBER(SEARCH('PRP LA trend tool 2015-23'!$F$3,B97)),MAX($A$1:A96)+1,0)</f>
        <v>96</v>
      </c>
      <c r="B97" s="187" t="s">
        <v>275</v>
      </c>
      <c r="D97" t="str">
        <f>IFERROR(VLOOKUP(ROWS($D$2:D97),$A$2:$B$1416,2,0),"")</f>
        <v>Fareham</v>
      </c>
    </row>
    <row r="98" spans="1:4" x14ac:dyDescent="0.25">
      <c r="A98">
        <f>IF(ISNUMBER(SEARCH('PRP LA trend tool 2015-23'!$F$3,B98)),MAX($A$1:A97)+1,0)</f>
        <v>97</v>
      </c>
      <c r="B98" s="187" t="s">
        <v>277</v>
      </c>
      <c r="D98" t="str">
        <f>IFERROR(VLOOKUP(ROWS($D$2:D98),$A$2:$B$1416,2,0),"")</f>
        <v>Fenland</v>
      </c>
    </row>
    <row r="99" spans="1:4" x14ac:dyDescent="0.25">
      <c r="A99">
        <f>IF(ISNUMBER(SEARCH('PRP LA trend tool 2015-23'!$F$3,B99)),MAX($A$1:A98)+1,0)</f>
        <v>98</v>
      </c>
      <c r="B99" s="187" t="s">
        <v>279</v>
      </c>
      <c r="D99" t="str">
        <f>IFERROR(VLOOKUP(ROWS($D$2:D99),$A$2:$B$1416,2,0),"")</f>
        <v>Folkestone and Hythe</v>
      </c>
    </row>
    <row r="100" spans="1:4" x14ac:dyDescent="0.25">
      <c r="A100">
        <f>IF(ISNUMBER(SEARCH('PRP LA trend tool 2015-23'!$F$3,B100)),MAX($A$1:A99)+1,0)</f>
        <v>99</v>
      </c>
      <c r="B100" s="187" t="s">
        <v>281</v>
      </c>
      <c r="D100" t="str">
        <f>IFERROR(VLOOKUP(ROWS($D$2:D100),$A$2:$B$1416,2,0),"")</f>
        <v>Forest of Dean</v>
      </c>
    </row>
    <row r="101" spans="1:4" x14ac:dyDescent="0.25">
      <c r="A101">
        <f>IF(ISNUMBER(SEARCH('PRP LA trend tool 2015-23'!$F$3,B101)),MAX($A$1:A100)+1,0)</f>
        <v>100</v>
      </c>
      <c r="B101" s="187" t="s">
        <v>283</v>
      </c>
      <c r="D101" t="str">
        <f>IFERROR(VLOOKUP(ROWS($D$2:D101),$A$2:$B$1416,2,0),"")</f>
        <v>Fylde</v>
      </c>
    </row>
    <row r="102" spans="1:4" x14ac:dyDescent="0.25">
      <c r="A102">
        <f>IF(ISNUMBER(SEARCH('PRP LA trend tool 2015-23'!$F$3,B102)),MAX($A$1:A101)+1,0)</f>
        <v>101</v>
      </c>
      <c r="B102" s="187" t="s">
        <v>285</v>
      </c>
      <c r="D102" t="str">
        <f>IFERROR(VLOOKUP(ROWS($D$2:D102),$A$2:$B$1416,2,0),"")</f>
        <v>Gateshead</v>
      </c>
    </row>
    <row r="103" spans="1:4" x14ac:dyDescent="0.25">
      <c r="A103">
        <f>IF(ISNUMBER(SEARCH('PRP LA trend tool 2015-23'!$F$3,B103)),MAX($A$1:A102)+1,0)</f>
        <v>102</v>
      </c>
      <c r="B103" s="187" t="s">
        <v>287</v>
      </c>
      <c r="D103" t="str">
        <f>IFERROR(VLOOKUP(ROWS($D$2:D103),$A$2:$B$1416,2,0),"")</f>
        <v>Gedling</v>
      </c>
    </row>
    <row r="104" spans="1:4" x14ac:dyDescent="0.25">
      <c r="A104">
        <f>IF(ISNUMBER(SEARCH('PRP LA trend tool 2015-23'!$F$3,B104)),MAX($A$1:A103)+1,0)</f>
        <v>103</v>
      </c>
      <c r="B104" s="187" t="s">
        <v>289</v>
      </c>
      <c r="D104" t="str">
        <f>IFERROR(VLOOKUP(ROWS($D$2:D104),$A$2:$B$1416,2,0),"")</f>
        <v>Gloucester</v>
      </c>
    </row>
    <row r="105" spans="1:4" x14ac:dyDescent="0.25">
      <c r="A105">
        <f>IF(ISNUMBER(SEARCH('PRP LA trend tool 2015-23'!$F$3,B105)),MAX($A$1:A104)+1,0)</f>
        <v>104</v>
      </c>
      <c r="B105" s="187" t="s">
        <v>291</v>
      </c>
      <c r="D105" t="str">
        <f>IFERROR(VLOOKUP(ROWS($D$2:D105),$A$2:$B$1416,2,0),"")</f>
        <v>Gosport</v>
      </c>
    </row>
    <row r="106" spans="1:4" x14ac:dyDescent="0.25">
      <c r="A106">
        <f>IF(ISNUMBER(SEARCH('PRP LA trend tool 2015-23'!$F$3,B106)),MAX($A$1:A105)+1,0)</f>
        <v>105</v>
      </c>
      <c r="B106" s="187" t="s">
        <v>293</v>
      </c>
      <c r="D106" t="str">
        <f>IFERROR(VLOOKUP(ROWS($D$2:D106),$A$2:$B$1416,2,0),"")</f>
        <v>Gravesham</v>
      </c>
    </row>
    <row r="107" spans="1:4" x14ac:dyDescent="0.25">
      <c r="A107">
        <f>IF(ISNUMBER(SEARCH('PRP LA trend tool 2015-23'!$F$3,B107)),MAX($A$1:A106)+1,0)</f>
        <v>106</v>
      </c>
      <c r="B107" s="187" t="s">
        <v>295</v>
      </c>
      <c r="D107" t="str">
        <f>IFERROR(VLOOKUP(ROWS($D$2:D107),$A$2:$B$1416,2,0),"")</f>
        <v>Great Yarmouth</v>
      </c>
    </row>
    <row r="108" spans="1:4" x14ac:dyDescent="0.25">
      <c r="A108">
        <f>IF(ISNUMBER(SEARCH('PRP LA trend tool 2015-23'!$F$3,B108)),MAX($A$1:A107)+1,0)</f>
        <v>107</v>
      </c>
      <c r="B108" s="187" t="s">
        <v>297</v>
      </c>
      <c r="D108" t="str">
        <f>IFERROR(VLOOKUP(ROWS($D$2:D108),$A$2:$B$1416,2,0),"")</f>
        <v>Greenwich</v>
      </c>
    </row>
    <row r="109" spans="1:4" x14ac:dyDescent="0.25">
      <c r="A109">
        <f>IF(ISNUMBER(SEARCH('PRP LA trend tool 2015-23'!$F$3,B109)),MAX($A$1:A108)+1,0)</f>
        <v>108</v>
      </c>
      <c r="B109" s="187" t="s">
        <v>299</v>
      </c>
      <c r="D109" t="str">
        <f>IFERROR(VLOOKUP(ROWS($D$2:D109),$A$2:$B$1416,2,0),"")</f>
        <v>Guildford</v>
      </c>
    </row>
    <row r="110" spans="1:4" x14ac:dyDescent="0.25">
      <c r="A110">
        <f>IF(ISNUMBER(SEARCH('PRP LA trend tool 2015-23'!$F$3,B110)),MAX($A$1:A109)+1,0)</f>
        <v>109</v>
      </c>
      <c r="B110" s="187" t="s">
        <v>301</v>
      </c>
      <c r="D110" t="str">
        <f>IFERROR(VLOOKUP(ROWS($D$2:D110),$A$2:$B$1416,2,0),"")</f>
        <v>Hackney</v>
      </c>
    </row>
    <row r="111" spans="1:4" x14ac:dyDescent="0.25">
      <c r="A111">
        <f>IF(ISNUMBER(SEARCH('PRP LA trend tool 2015-23'!$F$3,B111)),MAX($A$1:A110)+1,0)</f>
        <v>110</v>
      </c>
      <c r="B111" s="187" t="s">
        <v>303</v>
      </c>
      <c r="D111" t="str">
        <f>IFERROR(VLOOKUP(ROWS($D$2:D111),$A$2:$B$1416,2,0),"")</f>
        <v>Halton</v>
      </c>
    </row>
    <row r="112" spans="1:4" x14ac:dyDescent="0.25">
      <c r="A112">
        <f>IF(ISNUMBER(SEARCH('PRP LA trend tool 2015-23'!$F$3,B112)),MAX($A$1:A111)+1,0)</f>
        <v>111</v>
      </c>
      <c r="B112" s="187" t="s">
        <v>305</v>
      </c>
      <c r="D112" t="str">
        <f>IFERROR(VLOOKUP(ROWS($D$2:D112),$A$2:$B$1416,2,0),"")</f>
        <v>Hambleton</v>
      </c>
    </row>
    <row r="113" spans="1:4" x14ac:dyDescent="0.25">
      <c r="A113">
        <f>IF(ISNUMBER(SEARCH('PRP LA trend tool 2015-23'!$F$3,B113)),MAX($A$1:A112)+1,0)</f>
        <v>112</v>
      </c>
      <c r="B113" s="187" t="s">
        <v>307</v>
      </c>
      <c r="D113" t="str">
        <f>IFERROR(VLOOKUP(ROWS($D$2:D113),$A$2:$B$1416,2,0),"")</f>
        <v>Hammersmith and Fulham</v>
      </c>
    </row>
    <row r="114" spans="1:4" x14ac:dyDescent="0.25">
      <c r="A114">
        <f>IF(ISNUMBER(SEARCH('PRP LA trend tool 2015-23'!$F$3,B114)),MAX($A$1:A113)+1,0)</f>
        <v>113</v>
      </c>
      <c r="B114" s="187" t="s">
        <v>309</v>
      </c>
      <c r="D114" t="str">
        <f>IFERROR(VLOOKUP(ROWS($D$2:D114),$A$2:$B$1416,2,0),"")</f>
        <v>Harborough</v>
      </c>
    </row>
    <row r="115" spans="1:4" x14ac:dyDescent="0.25">
      <c r="A115">
        <f>IF(ISNUMBER(SEARCH('PRP LA trend tool 2015-23'!$F$3,B115)),MAX($A$1:A114)+1,0)</f>
        <v>114</v>
      </c>
      <c r="B115" s="187" t="s">
        <v>311</v>
      </c>
      <c r="D115" t="str">
        <f>IFERROR(VLOOKUP(ROWS($D$2:D115),$A$2:$B$1416,2,0),"")</f>
        <v>Haringey</v>
      </c>
    </row>
    <row r="116" spans="1:4" x14ac:dyDescent="0.25">
      <c r="A116">
        <f>IF(ISNUMBER(SEARCH('PRP LA trend tool 2015-23'!$F$3,B116)),MAX($A$1:A115)+1,0)</f>
        <v>115</v>
      </c>
      <c r="B116" s="187" t="s">
        <v>313</v>
      </c>
      <c r="D116" t="str">
        <f>IFERROR(VLOOKUP(ROWS($D$2:D116),$A$2:$B$1416,2,0),"")</f>
        <v>Harlow</v>
      </c>
    </row>
    <row r="117" spans="1:4" x14ac:dyDescent="0.25">
      <c r="A117">
        <f>IF(ISNUMBER(SEARCH('PRP LA trend tool 2015-23'!$F$3,B117)),MAX($A$1:A116)+1,0)</f>
        <v>116</v>
      </c>
      <c r="B117" s="187" t="s">
        <v>315</v>
      </c>
      <c r="D117" t="str">
        <f>IFERROR(VLOOKUP(ROWS($D$2:D117),$A$2:$B$1416,2,0),"")</f>
        <v>Harrogate</v>
      </c>
    </row>
    <row r="118" spans="1:4" x14ac:dyDescent="0.25">
      <c r="A118">
        <f>IF(ISNUMBER(SEARCH('PRP LA trend tool 2015-23'!$F$3,B118)),MAX($A$1:A117)+1,0)</f>
        <v>117</v>
      </c>
      <c r="B118" s="187" t="s">
        <v>317</v>
      </c>
      <c r="D118" t="str">
        <f>IFERROR(VLOOKUP(ROWS($D$2:D118),$A$2:$B$1416,2,0),"")</f>
        <v>Harrow</v>
      </c>
    </row>
    <row r="119" spans="1:4" x14ac:dyDescent="0.25">
      <c r="A119">
        <f>IF(ISNUMBER(SEARCH('PRP LA trend tool 2015-23'!$F$3,B119)),MAX($A$1:A118)+1,0)</f>
        <v>118</v>
      </c>
      <c r="B119" s="187" t="s">
        <v>319</v>
      </c>
      <c r="D119" t="str">
        <f>IFERROR(VLOOKUP(ROWS($D$2:D119),$A$2:$B$1416,2,0),"")</f>
        <v>Hart</v>
      </c>
    </row>
    <row r="120" spans="1:4" x14ac:dyDescent="0.25">
      <c r="A120">
        <f>IF(ISNUMBER(SEARCH('PRP LA trend tool 2015-23'!$F$3,B120)),MAX($A$1:A119)+1,0)</f>
        <v>119</v>
      </c>
      <c r="B120" s="187" t="s">
        <v>321</v>
      </c>
      <c r="D120" t="str">
        <f>IFERROR(VLOOKUP(ROWS($D$2:D120),$A$2:$B$1416,2,0),"")</f>
        <v>Hartlepool</v>
      </c>
    </row>
    <row r="121" spans="1:4" x14ac:dyDescent="0.25">
      <c r="A121">
        <f>IF(ISNUMBER(SEARCH('PRP LA trend tool 2015-23'!$F$3,B121)),MAX($A$1:A120)+1,0)</f>
        <v>120</v>
      </c>
      <c r="B121" s="187" t="s">
        <v>323</v>
      </c>
      <c r="D121" t="str">
        <f>IFERROR(VLOOKUP(ROWS($D$2:D121),$A$2:$B$1416,2,0),"")</f>
        <v>Hastings</v>
      </c>
    </row>
    <row r="122" spans="1:4" x14ac:dyDescent="0.25">
      <c r="A122">
        <f>IF(ISNUMBER(SEARCH('PRP LA trend tool 2015-23'!$F$3,B122)),MAX($A$1:A121)+1,0)</f>
        <v>121</v>
      </c>
      <c r="B122" s="187" t="s">
        <v>325</v>
      </c>
      <c r="D122" t="str">
        <f>IFERROR(VLOOKUP(ROWS($D$2:D122),$A$2:$B$1416,2,0),"")</f>
        <v>Havant</v>
      </c>
    </row>
    <row r="123" spans="1:4" x14ac:dyDescent="0.25">
      <c r="A123">
        <f>IF(ISNUMBER(SEARCH('PRP LA trend tool 2015-23'!$F$3,B123)),MAX($A$1:A122)+1,0)</f>
        <v>122</v>
      </c>
      <c r="B123" s="187" t="s">
        <v>327</v>
      </c>
      <c r="D123" t="str">
        <f>IFERROR(VLOOKUP(ROWS($D$2:D123),$A$2:$B$1416,2,0),"")</f>
        <v>Havering</v>
      </c>
    </row>
    <row r="124" spans="1:4" x14ac:dyDescent="0.25">
      <c r="A124">
        <f>IF(ISNUMBER(SEARCH('PRP LA trend tool 2015-23'!$F$3,B124)),MAX($A$1:A123)+1,0)</f>
        <v>123</v>
      </c>
      <c r="B124" s="187" t="s">
        <v>329</v>
      </c>
      <c r="D124" t="str">
        <f>IFERROR(VLOOKUP(ROWS($D$2:D124),$A$2:$B$1416,2,0),"")</f>
        <v>Herefordshire, County of</v>
      </c>
    </row>
    <row r="125" spans="1:4" x14ac:dyDescent="0.25">
      <c r="A125">
        <f>IF(ISNUMBER(SEARCH('PRP LA trend tool 2015-23'!$F$3,B125)),MAX($A$1:A124)+1,0)</f>
        <v>124</v>
      </c>
      <c r="B125" s="187" t="s">
        <v>331</v>
      </c>
      <c r="D125" t="str">
        <f>IFERROR(VLOOKUP(ROWS($D$2:D125),$A$2:$B$1416,2,0),"")</f>
        <v>Hertsmere</v>
      </c>
    </row>
    <row r="126" spans="1:4" x14ac:dyDescent="0.25">
      <c r="A126">
        <f>IF(ISNUMBER(SEARCH('PRP LA trend tool 2015-23'!$F$3,B126)),MAX($A$1:A125)+1,0)</f>
        <v>125</v>
      </c>
      <c r="B126" s="187" t="s">
        <v>333</v>
      </c>
      <c r="D126" t="str">
        <f>IFERROR(VLOOKUP(ROWS($D$2:D126),$A$2:$B$1416,2,0),"")</f>
        <v>High Peak</v>
      </c>
    </row>
    <row r="127" spans="1:4" x14ac:dyDescent="0.25">
      <c r="A127">
        <f>IF(ISNUMBER(SEARCH('PRP LA trend tool 2015-23'!$F$3,B127)),MAX($A$1:A126)+1,0)</f>
        <v>126</v>
      </c>
      <c r="B127" s="187" t="s">
        <v>335</v>
      </c>
      <c r="D127" t="str">
        <f>IFERROR(VLOOKUP(ROWS($D$2:D127),$A$2:$B$1416,2,0),"")</f>
        <v>Hillingdon</v>
      </c>
    </row>
    <row r="128" spans="1:4" x14ac:dyDescent="0.25">
      <c r="A128">
        <f>IF(ISNUMBER(SEARCH('PRP LA trend tool 2015-23'!$F$3,B128)),MAX($A$1:A127)+1,0)</f>
        <v>127</v>
      </c>
      <c r="B128" s="187" t="s">
        <v>337</v>
      </c>
      <c r="D128" t="str">
        <f>IFERROR(VLOOKUP(ROWS($D$2:D128),$A$2:$B$1416,2,0),"")</f>
        <v>Hinckley and Bosworth</v>
      </c>
    </row>
    <row r="129" spans="1:4" x14ac:dyDescent="0.25">
      <c r="A129">
        <f>IF(ISNUMBER(SEARCH('PRP LA trend tool 2015-23'!$F$3,B129)),MAX($A$1:A128)+1,0)</f>
        <v>128</v>
      </c>
      <c r="B129" s="187" t="s">
        <v>339</v>
      </c>
      <c r="D129" t="str">
        <f>IFERROR(VLOOKUP(ROWS($D$2:D129),$A$2:$B$1416,2,0),"")</f>
        <v>Horsham</v>
      </c>
    </row>
    <row r="130" spans="1:4" x14ac:dyDescent="0.25">
      <c r="A130">
        <f>IF(ISNUMBER(SEARCH('PRP LA trend tool 2015-23'!$F$3,B130)),MAX($A$1:A129)+1,0)</f>
        <v>129</v>
      </c>
      <c r="B130" s="187" t="s">
        <v>341</v>
      </c>
      <c r="D130" t="str">
        <f>IFERROR(VLOOKUP(ROWS($D$2:D130),$A$2:$B$1416,2,0),"")</f>
        <v>Hounslow</v>
      </c>
    </row>
    <row r="131" spans="1:4" x14ac:dyDescent="0.25">
      <c r="A131">
        <f>IF(ISNUMBER(SEARCH('PRP LA trend tool 2015-23'!$F$3,B131)),MAX($A$1:A130)+1,0)</f>
        <v>130</v>
      </c>
      <c r="B131" s="187" t="s">
        <v>343</v>
      </c>
      <c r="D131" t="str">
        <f>IFERROR(VLOOKUP(ROWS($D$2:D131),$A$2:$B$1416,2,0),"")</f>
        <v>Huntingdonshire</v>
      </c>
    </row>
    <row r="132" spans="1:4" x14ac:dyDescent="0.25">
      <c r="A132">
        <f>IF(ISNUMBER(SEARCH('PRP LA trend tool 2015-23'!$F$3,B132)),MAX($A$1:A131)+1,0)</f>
        <v>131</v>
      </c>
      <c r="B132" s="187" t="s">
        <v>345</v>
      </c>
      <c r="D132" t="str">
        <f>IFERROR(VLOOKUP(ROWS($D$2:D132),$A$2:$B$1416,2,0),"")</f>
        <v>Hyndburn</v>
      </c>
    </row>
    <row r="133" spans="1:4" x14ac:dyDescent="0.25">
      <c r="A133">
        <f>IF(ISNUMBER(SEARCH('PRP LA trend tool 2015-23'!$F$3,B133)),MAX($A$1:A132)+1,0)</f>
        <v>132</v>
      </c>
      <c r="B133" s="187" t="s">
        <v>347</v>
      </c>
      <c r="D133" t="str">
        <f>IFERROR(VLOOKUP(ROWS($D$2:D133),$A$2:$B$1416,2,0),"")</f>
        <v>Ipswich</v>
      </c>
    </row>
    <row r="134" spans="1:4" x14ac:dyDescent="0.25">
      <c r="A134">
        <f>IF(ISNUMBER(SEARCH('PRP LA trend tool 2015-23'!$F$3,B134)),MAX($A$1:A133)+1,0)</f>
        <v>133</v>
      </c>
      <c r="B134" s="187" t="s">
        <v>349</v>
      </c>
      <c r="D134" t="str">
        <f>IFERROR(VLOOKUP(ROWS($D$2:D134),$A$2:$B$1416,2,0),"")</f>
        <v>Isle of Wight</v>
      </c>
    </row>
    <row r="135" spans="1:4" x14ac:dyDescent="0.25">
      <c r="A135">
        <f>IF(ISNUMBER(SEARCH('PRP LA trend tool 2015-23'!$F$3,B135)),MAX($A$1:A134)+1,0)</f>
        <v>134</v>
      </c>
      <c r="B135" s="187" t="s">
        <v>351</v>
      </c>
      <c r="D135" t="str">
        <f>IFERROR(VLOOKUP(ROWS($D$2:D135),$A$2:$B$1416,2,0),"")</f>
        <v>Isles of Scilly</v>
      </c>
    </row>
    <row r="136" spans="1:4" x14ac:dyDescent="0.25">
      <c r="A136">
        <f>IF(ISNUMBER(SEARCH('PRP LA trend tool 2015-23'!$F$3,B136)),MAX($A$1:A135)+1,0)</f>
        <v>135</v>
      </c>
      <c r="B136" s="187" t="s">
        <v>353</v>
      </c>
      <c r="D136" t="str">
        <f>IFERROR(VLOOKUP(ROWS($D$2:D136),$A$2:$B$1416,2,0),"")</f>
        <v>Islington</v>
      </c>
    </row>
    <row r="137" spans="1:4" x14ac:dyDescent="0.25">
      <c r="A137">
        <f>IF(ISNUMBER(SEARCH('PRP LA trend tool 2015-23'!$F$3,B137)),MAX($A$1:A136)+1,0)</f>
        <v>136</v>
      </c>
      <c r="B137" s="187" t="s">
        <v>355</v>
      </c>
      <c r="D137" t="str">
        <f>IFERROR(VLOOKUP(ROWS($D$2:D137),$A$2:$B$1416,2,0),"")</f>
        <v>Kensington and Chelsea</v>
      </c>
    </row>
    <row r="138" spans="1:4" x14ac:dyDescent="0.25">
      <c r="A138">
        <f>IF(ISNUMBER(SEARCH('PRP LA trend tool 2015-23'!$F$3,B138)),MAX($A$1:A137)+1,0)</f>
        <v>137</v>
      </c>
      <c r="B138" s="187" t="s">
        <v>357</v>
      </c>
      <c r="D138" t="str">
        <f>IFERROR(VLOOKUP(ROWS($D$2:D138),$A$2:$B$1416,2,0),"")</f>
        <v>King's Lynn and West Norfolk</v>
      </c>
    </row>
    <row r="139" spans="1:4" x14ac:dyDescent="0.25">
      <c r="A139">
        <f>IF(ISNUMBER(SEARCH('PRP LA trend tool 2015-23'!$F$3,B139)),MAX($A$1:A138)+1,0)</f>
        <v>138</v>
      </c>
      <c r="B139" s="187" t="s">
        <v>359</v>
      </c>
      <c r="D139" t="str">
        <f>IFERROR(VLOOKUP(ROWS($D$2:D139),$A$2:$B$1416,2,0),"")</f>
        <v>Kingston upon Hull, City of</v>
      </c>
    </row>
    <row r="140" spans="1:4" x14ac:dyDescent="0.25">
      <c r="A140">
        <f>IF(ISNUMBER(SEARCH('PRP LA trend tool 2015-23'!$F$3,B140)),MAX($A$1:A139)+1,0)</f>
        <v>139</v>
      </c>
      <c r="B140" s="187" t="s">
        <v>361</v>
      </c>
      <c r="D140" t="str">
        <f>IFERROR(VLOOKUP(ROWS($D$2:D140),$A$2:$B$1416,2,0),"")</f>
        <v>Kingston upon Thames</v>
      </c>
    </row>
    <row r="141" spans="1:4" x14ac:dyDescent="0.25">
      <c r="A141">
        <f>IF(ISNUMBER(SEARCH('PRP LA trend tool 2015-23'!$F$3,B141)),MAX($A$1:A140)+1,0)</f>
        <v>140</v>
      </c>
      <c r="B141" s="187" t="s">
        <v>363</v>
      </c>
      <c r="D141" t="str">
        <f>IFERROR(VLOOKUP(ROWS($D$2:D141),$A$2:$B$1416,2,0),"")</f>
        <v>Kirklees</v>
      </c>
    </row>
    <row r="142" spans="1:4" x14ac:dyDescent="0.25">
      <c r="A142">
        <f>IF(ISNUMBER(SEARCH('PRP LA trend tool 2015-23'!$F$3,B142)),MAX($A$1:A141)+1,0)</f>
        <v>141</v>
      </c>
      <c r="B142" s="187" t="s">
        <v>365</v>
      </c>
      <c r="D142" t="str">
        <f>IFERROR(VLOOKUP(ROWS($D$2:D142),$A$2:$B$1416,2,0),"")</f>
        <v>Knowsley</v>
      </c>
    </row>
    <row r="143" spans="1:4" x14ac:dyDescent="0.25">
      <c r="A143">
        <f>IF(ISNUMBER(SEARCH('PRP LA trend tool 2015-23'!$F$3,B143)),MAX($A$1:A142)+1,0)</f>
        <v>142</v>
      </c>
      <c r="B143" s="187" t="s">
        <v>367</v>
      </c>
      <c r="D143" t="str">
        <f>IFERROR(VLOOKUP(ROWS($D$2:D143),$A$2:$B$1416,2,0),"")</f>
        <v>Lambeth</v>
      </c>
    </row>
    <row r="144" spans="1:4" x14ac:dyDescent="0.25">
      <c r="A144">
        <f>IF(ISNUMBER(SEARCH('PRP LA trend tool 2015-23'!$F$3,B144)),MAX($A$1:A143)+1,0)</f>
        <v>143</v>
      </c>
      <c r="B144" s="187" t="s">
        <v>369</v>
      </c>
      <c r="D144" t="str">
        <f>IFERROR(VLOOKUP(ROWS($D$2:D144),$A$2:$B$1416,2,0),"")</f>
        <v>Lancaster</v>
      </c>
    </row>
    <row r="145" spans="1:4" x14ac:dyDescent="0.25">
      <c r="A145">
        <f>IF(ISNUMBER(SEARCH('PRP LA trend tool 2015-23'!$F$3,B145)),MAX($A$1:A144)+1,0)</f>
        <v>144</v>
      </c>
      <c r="B145" s="187" t="s">
        <v>371</v>
      </c>
      <c r="D145" t="str">
        <f>IFERROR(VLOOKUP(ROWS($D$2:D145),$A$2:$B$1416,2,0),"")</f>
        <v>Leeds</v>
      </c>
    </row>
    <row r="146" spans="1:4" x14ac:dyDescent="0.25">
      <c r="A146">
        <f>IF(ISNUMBER(SEARCH('PRP LA trend tool 2015-23'!$F$3,B146)),MAX($A$1:A145)+1,0)</f>
        <v>145</v>
      </c>
      <c r="B146" s="187" t="s">
        <v>373</v>
      </c>
      <c r="D146" t="str">
        <f>IFERROR(VLOOKUP(ROWS($D$2:D146),$A$2:$B$1416,2,0),"")</f>
        <v>Leicester</v>
      </c>
    </row>
    <row r="147" spans="1:4" x14ac:dyDescent="0.25">
      <c r="A147">
        <f>IF(ISNUMBER(SEARCH('PRP LA trend tool 2015-23'!$F$3,B147)),MAX($A$1:A146)+1,0)</f>
        <v>146</v>
      </c>
      <c r="B147" s="187" t="s">
        <v>375</v>
      </c>
      <c r="D147" t="str">
        <f>IFERROR(VLOOKUP(ROWS($D$2:D147),$A$2:$B$1416,2,0),"")</f>
        <v>Lewes</v>
      </c>
    </row>
    <row r="148" spans="1:4" x14ac:dyDescent="0.25">
      <c r="A148">
        <f>IF(ISNUMBER(SEARCH('PRP LA trend tool 2015-23'!$F$3,B148)),MAX($A$1:A147)+1,0)</f>
        <v>147</v>
      </c>
      <c r="B148" s="187" t="s">
        <v>377</v>
      </c>
      <c r="D148" t="str">
        <f>IFERROR(VLOOKUP(ROWS($D$2:D148),$A$2:$B$1416,2,0),"")</f>
        <v>Lewisham</v>
      </c>
    </row>
    <row r="149" spans="1:4" x14ac:dyDescent="0.25">
      <c r="A149">
        <f>IF(ISNUMBER(SEARCH('PRP LA trend tool 2015-23'!$F$3,B149)),MAX($A$1:A148)+1,0)</f>
        <v>148</v>
      </c>
      <c r="B149" s="187" t="s">
        <v>379</v>
      </c>
      <c r="D149" t="str">
        <f>IFERROR(VLOOKUP(ROWS($D$2:D149),$A$2:$B$1416,2,0),"")</f>
        <v>Lichfield</v>
      </c>
    </row>
    <row r="150" spans="1:4" x14ac:dyDescent="0.25">
      <c r="A150">
        <f>IF(ISNUMBER(SEARCH('PRP LA trend tool 2015-23'!$F$3,B150)),MAX($A$1:A149)+1,0)</f>
        <v>149</v>
      </c>
      <c r="B150" s="187" t="s">
        <v>381</v>
      </c>
      <c r="D150" t="str">
        <f>IFERROR(VLOOKUP(ROWS($D$2:D150),$A$2:$B$1416,2,0),"")</f>
        <v>Lincoln</v>
      </c>
    </row>
    <row r="151" spans="1:4" x14ac:dyDescent="0.25">
      <c r="A151">
        <f>IF(ISNUMBER(SEARCH('PRP LA trend tool 2015-23'!$F$3,B151)),MAX($A$1:A150)+1,0)</f>
        <v>150</v>
      </c>
      <c r="B151" s="187" t="s">
        <v>383</v>
      </c>
      <c r="D151" t="str">
        <f>IFERROR(VLOOKUP(ROWS($D$2:D151),$A$2:$B$1416,2,0),"")</f>
        <v>Liverpool</v>
      </c>
    </row>
    <row r="152" spans="1:4" x14ac:dyDescent="0.25">
      <c r="A152">
        <f>IF(ISNUMBER(SEARCH('PRP LA trend tool 2015-23'!$F$3,B152)),MAX($A$1:A151)+1,0)</f>
        <v>151</v>
      </c>
      <c r="B152" s="187" t="s">
        <v>385</v>
      </c>
      <c r="D152" t="str">
        <f>IFERROR(VLOOKUP(ROWS($D$2:D152),$A$2:$B$1416,2,0),"")</f>
        <v>Luton</v>
      </c>
    </row>
    <row r="153" spans="1:4" x14ac:dyDescent="0.25">
      <c r="A153">
        <f>IF(ISNUMBER(SEARCH('PRP LA trend tool 2015-23'!$F$3,B153)),MAX($A$1:A152)+1,0)</f>
        <v>152</v>
      </c>
      <c r="B153" s="187" t="s">
        <v>387</v>
      </c>
      <c r="D153" t="str">
        <f>IFERROR(VLOOKUP(ROWS($D$2:D153),$A$2:$B$1416,2,0),"")</f>
        <v>Maidstone</v>
      </c>
    </row>
    <row r="154" spans="1:4" x14ac:dyDescent="0.25">
      <c r="A154">
        <f>IF(ISNUMBER(SEARCH('PRP LA trend tool 2015-23'!$F$3,B154)),MAX($A$1:A153)+1,0)</f>
        <v>153</v>
      </c>
      <c r="B154" s="187" t="s">
        <v>389</v>
      </c>
      <c r="D154" t="str">
        <f>IFERROR(VLOOKUP(ROWS($D$2:D154),$A$2:$B$1416,2,0),"")</f>
        <v>Maldon</v>
      </c>
    </row>
    <row r="155" spans="1:4" x14ac:dyDescent="0.25">
      <c r="A155">
        <f>IF(ISNUMBER(SEARCH('PRP LA trend tool 2015-23'!$F$3,B155)),MAX($A$1:A154)+1,0)</f>
        <v>154</v>
      </c>
      <c r="B155" s="187" t="s">
        <v>391</v>
      </c>
      <c r="D155" t="str">
        <f>IFERROR(VLOOKUP(ROWS($D$2:D155),$A$2:$B$1416,2,0),"")</f>
        <v>Malvern Hills</v>
      </c>
    </row>
    <row r="156" spans="1:4" x14ac:dyDescent="0.25">
      <c r="A156">
        <f>IF(ISNUMBER(SEARCH('PRP LA trend tool 2015-23'!$F$3,B156)),MAX($A$1:A155)+1,0)</f>
        <v>155</v>
      </c>
      <c r="B156" s="187" t="s">
        <v>393</v>
      </c>
      <c r="D156" t="str">
        <f>IFERROR(VLOOKUP(ROWS($D$2:D156),$A$2:$B$1416,2,0),"")</f>
        <v>Manchester</v>
      </c>
    </row>
    <row r="157" spans="1:4" x14ac:dyDescent="0.25">
      <c r="A157">
        <f>IF(ISNUMBER(SEARCH('PRP LA trend tool 2015-23'!$F$3,B157)),MAX($A$1:A156)+1,0)</f>
        <v>156</v>
      </c>
      <c r="B157" s="187" t="s">
        <v>395</v>
      </c>
      <c r="D157" t="str">
        <f>IFERROR(VLOOKUP(ROWS($D$2:D157),$A$2:$B$1416,2,0),"")</f>
        <v>Mansfield</v>
      </c>
    </row>
    <row r="158" spans="1:4" x14ac:dyDescent="0.25">
      <c r="A158">
        <f>IF(ISNUMBER(SEARCH('PRP LA trend tool 2015-23'!$F$3,B158)),MAX($A$1:A157)+1,0)</f>
        <v>157</v>
      </c>
      <c r="B158" s="187" t="s">
        <v>397</v>
      </c>
      <c r="D158" t="str">
        <f>IFERROR(VLOOKUP(ROWS($D$2:D158),$A$2:$B$1416,2,0),"")</f>
        <v>Medway</v>
      </c>
    </row>
    <row r="159" spans="1:4" x14ac:dyDescent="0.25">
      <c r="A159">
        <f>IF(ISNUMBER(SEARCH('PRP LA trend tool 2015-23'!$F$3,B159)),MAX($A$1:A158)+1,0)</f>
        <v>158</v>
      </c>
      <c r="B159" s="187" t="s">
        <v>399</v>
      </c>
      <c r="D159" t="str">
        <f>IFERROR(VLOOKUP(ROWS($D$2:D159),$A$2:$B$1416,2,0),"")</f>
        <v>Melton</v>
      </c>
    </row>
    <row r="160" spans="1:4" x14ac:dyDescent="0.25">
      <c r="A160">
        <f>IF(ISNUMBER(SEARCH('PRP LA trend tool 2015-23'!$F$3,B160)),MAX($A$1:A159)+1,0)</f>
        <v>159</v>
      </c>
      <c r="B160" s="187" t="s">
        <v>401</v>
      </c>
      <c r="D160" t="str">
        <f>IFERROR(VLOOKUP(ROWS($D$2:D160),$A$2:$B$1416,2,0),"")</f>
        <v>Mendip</v>
      </c>
    </row>
    <row r="161" spans="1:4" x14ac:dyDescent="0.25">
      <c r="A161">
        <f>IF(ISNUMBER(SEARCH('PRP LA trend tool 2015-23'!$F$3,B161)),MAX($A$1:A160)+1,0)</f>
        <v>160</v>
      </c>
      <c r="B161" s="187" t="s">
        <v>403</v>
      </c>
      <c r="D161" t="str">
        <f>IFERROR(VLOOKUP(ROWS($D$2:D161),$A$2:$B$1416,2,0),"")</f>
        <v>Merton</v>
      </c>
    </row>
    <row r="162" spans="1:4" x14ac:dyDescent="0.25">
      <c r="A162">
        <f>IF(ISNUMBER(SEARCH('PRP LA trend tool 2015-23'!$F$3,B162)),MAX($A$1:A161)+1,0)</f>
        <v>161</v>
      </c>
      <c r="B162" s="187" t="s">
        <v>405</v>
      </c>
      <c r="D162" t="str">
        <f>IFERROR(VLOOKUP(ROWS($D$2:D162),$A$2:$B$1416,2,0),"")</f>
        <v>Mid Devon</v>
      </c>
    </row>
    <row r="163" spans="1:4" x14ac:dyDescent="0.25">
      <c r="A163">
        <f>IF(ISNUMBER(SEARCH('PRP LA trend tool 2015-23'!$F$3,B163)),MAX($A$1:A162)+1,0)</f>
        <v>162</v>
      </c>
      <c r="B163" s="187" t="s">
        <v>407</v>
      </c>
      <c r="D163" t="str">
        <f>IFERROR(VLOOKUP(ROWS($D$2:D163),$A$2:$B$1416,2,0),"")</f>
        <v>Mid Suffolk</v>
      </c>
    </row>
    <row r="164" spans="1:4" x14ac:dyDescent="0.25">
      <c r="A164">
        <f>IF(ISNUMBER(SEARCH('PRP LA trend tool 2015-23'!$F$3,B164)),MAX($A$1:A163)+1,0)</f>
        <v>163</v>
      </c>
      <c r="B164" s="187" t="s">
        <v>409</v>
      </c>
      <c r="D164" t="str">
        <f>IFERROR(VLOOKUP(ROWS($D$2:D164),$A$2:$B$1416,2,0),"")</f>
        <v>Mid Sussex</v>
      </c>
    </row>
    <row r="165" spans="1:4" x14ac:dyDescent="0.25">
      <c r="A165">
        <f>IF(ISNUMBER(SEARCH('PRP LA trend tool 2015-23'!$F$3,B165)),MAX($A$1:A164)+1,0)</f>
        <v>164</v>
      </c>
      <c r="B165" s="187" t="s">
        <v>411</v>
      </c>
      <c r="D165" t="str">
        <f>IFERROR(VLOOKUP(ROWS($D$2:D165),$A$2:$B$1416,2,0),"")</f>
        <v>Middlesbrough</v>
      </c>
    </row>
    <row r="166" spans="1:4" x14ac:dyDescent="0.25">
      <c r="A166">
        <f>IF(ISNUMBER(SEARCH('PRP LA trend tool 2015-23'!$F$3,B166)),MAX($A$1:A165)+1,0)</f>
        <v>165</v>
      </c>
      <c r="B166" s="187" t="s">
        <v>413</v>
      </c>
      <c r="D166" t="str">
        <f>IFERROR(VLOOKUP(ROWS($D$2:D166),$A$2:$B$1416,2,0),"")</f>
        <v>Milton Keynes</v>
      </c>
    </row>
    <row r="167" spans="1:4" x14ac:dyDescent="0.25">
      <c r="A167">
        <f>IF(ISNUMBER(SEARCH('PRP LA trend tool 2015-23'!$F$3,B167)),MAX($A$1:A166)+1,0)</f>
        <v>166</v>
      </c>
      <c r="B167" s="187" t="s">
        <v>415</v>
      </c>
      <c r="D167" t="str">
        <f>IFERROR(VLOOKUP(ROWS($D$2:D167),$A$2:$B$1416,2,0),"")</f>
        <v>Mole Valley</v>
      </c>
    </row>
    <row r="168" spans="1:4" x14ac:dyDescent="0.25">
      <c r="A168">
        <f>IF(ISNUMBER(SEARCH('PRP LA trend tool 2015-23'!$F$3,B168)),MAX($A$1:A167)+1,0)</f>
        <v>167</v>
      </c>
      <c r="B168" s="187" t="s">
        <v>417</v>
      </c>
      <c r="D168" t="str">
        <f>IFERROR(VLOOKUP(ROWS($D$2:D168),$A$2:$B$1416,2,0),"")</f>
        <v>New Forest</v>
      </c>
    </row>
    <row r="169" spans="1:4" x14ac:dyDescent="0.25">
      <c r="A169">
        <f>IF(ISNUMBER(SEARCH('PRP LA trend tool 2015-23'!$F$3,B169)),MAX($A$1:A168)+1,0)</f>
        <v>168</v>
      </c>
      <c r="B169" s="187" t="s">
        <v>419</v>
      </c>
      <c r="D169" t="str">
        <f>IFERROR(VLOOKUP(ROWS($D$2:D169),$A$2:$B$1416,2,0),"")</f>
        <v>Newark and Sherwood</v>
      </c>
    </row>
    <row r="170" spans="1:4" x14ac:dyDescent="0.25">
      <c r="A170">
        <f>IF(ISNUMBER(SEARCH('PRP LA trend tool 2015-23'!$F$3,B170)),MAX($A$1:A169)+1,0)</f>
        <v>169</v>
      </c>
      <c r="B170" s="187" t="s">
        <v>421</v>
      </c>
      <c r="D170" t="str">
        <f>IFERROR(VLOOKUP(ROWS($D$2:D170),$A$2:$B$1416,2,0),"")</f>
        <v>Newcastle upon Tyne</v>
      </c>
    </row>
    <row r="171" spans="1:4" x14ac:dyDescent="0.25">
      <c r="A171">
        <f>IF(ISNUMBER(SEARCH('PRP LA trend tool 2015-23'!$F$3,B171)),MAX($A$1:A170)+1,0)</f>
        <v>170</v>
      </c>
      <c r="B171" s="187" t="s">
        <v>423</v>
      </c>
      <c r="D171" t="str">
        <f>IFERROR(VLOOKUP(ROWS($D$2:D171),$A$2:$B$1416,2,0),"")</f>
        <v>Newcastle-under-Lyme</v>
      </c>
    </row>
    <row r="172" spans="1:4" x14ac:dyDescent="0.25">
      <c r="A172">
        <f>IF(ISNUMBER(SEARCH('PRP LA trend tool 2015-23'!$F$3,B172)),MAX($A$1:A171)+1,0)</f>
        <v>171</v>
      </c>
      <c r="B172" s="187" t="s">
        <v>425</v>
      </c>
      <c r="D172" t="str">
        <f>IFERROR(VLOOKUP(ROWS($D$2:D172),$A$2:$B$1416,2,0),"")</f>
        <v>Newham</v>
      </c>
    </row>
    <row r="173" spans="1:4" x14ac:dyDescent="0.25">
      <c r="A173">
        <f>IF(ISNUMBER(SEARCH('PRP LA trend tool 2015-23'!$F$3,B173)),MAX($A$1:A172)+1,0)</f>
        <v>172</v>
      </c>
      <c r="B173" s="187" t="s">
        <v>427</v>
      </c>
      <c r="D173" t="str">
        <f>IFERROR(VLOOKUP(ROWS($D$2:D173),$A$2:$B$1416,2,0),"")</f>
        <v>North Devon</v>
      </c>
    </row>
    <row r="174" spans="1:4" x14ac:dyDescent="0.25">
      <c r="A174">
        <f>IF(ISNUMBER(SEARCH('PRP LA trend tool 2015-23'!$F$3,B174)),MAX($A$1:A173)+1,0)</f>
        <v>173</v>
      </c>
      <c r="B174" s="187" t="s">
        <v>429</v>
      </c>
      <c r="D174" t="str">
        <f>IFERROR(VLOOKUP(ROWS($D$2:D174),$A$2:$B$1416,2,0),"")</f>
        <v>North East Derbyshire</v>
      </c>
    </row>
    <row r="175" spans="1:4" x14ac:dyDescent="0.25">
      <c r="A175">
        <f>IF(ISNUMBER(SEARCH('PRP LA trend tool 2015-23'!$F$3,B175)),MAX($A$1:A174)+1,0)</f>
        <v>174</v>
      </c>
      <c r="B175" s="187" t="s">
        <v>431</v>
      </c>
      <c r="D175" t="str">
        <f>IFERROR(VLOOKUP(ROWS($D$2:D175),$A$2:$B$1416,2,0),"")</f>
        <v>North East Lincolnshire</v>
      </c>
    </row>
    <row r="176" spans="1:4" x14ac:dyDescent="0.25">
      <c r="A176">
        <f>IF(ISNUMBER(SEARCH('PRP LA trend tool 2015-23'!$F$3,B176)),MAX($A$1:A175)+1,0)</f>
        <v>175</v>
      </c>
      <c r="B176" s="187" t="s">
        <v>433</v>
      </c>
      <c r="D176" t="str">
        <f>IFERROR(VLOOKUP(ROWS($D$2:D176),$A$2:$B$1416,2,0),"")</f>
        <v>North Hertfordshire</v>
      </c>
    </row>
    <row r="177" spans="1:4" x14ac:dyDescent="0.25">
      <c r="A177">
        <f>IF(ISNUMBER(SEARCH('PRP LA trend tool 2015-23'!$F$3,B177)),MAX($A$1:A176)+1,0)</f>
        <v>176</v>
      </c>
      <c r="B177" s="187" t="s">
        <v>435</v>
      </c>
      <c r="D177" t="str">
        <f>IFERROR(VLOOKUP(ROWS($D$2:D177),$A$2:$B$1416,2,0),"")</f>
        <v>North Kesteven</v>
      </c>
    </row>
    <row r="178" spans="1:4" x14ac:dyDescent="0.25">
      <c r="A178">
        <f>IF(ISNUMBER(SEARCH('PRP LA trend tool 2015-23'!$F$3,B178)),MAX($A$1:A177)+1,0)</f>
        <v>177</v>
      </c>
      <c r="B178" s="187" t="s">
        <v>437</v>
      </c>
      <c r="D178" t="str">
        <f>IFERROR(VLOOKUP(ROWS($D$2:D178),$A$2:$B$1416,2,0),"")</f>
        <v>North Lincolnshire</v>
      </c>
    </row>
    <row r="179" spans="1:4" x14ac:dyDescent="0.25">
      <c r="A179">
        <f>IF(ISNUMBER(SEARCH('PRP LA trend tool 2015-23'!$F$3,B179)),MAX($A$1:A178)+1,0)</f>
        <v>178</v>
      </c>
      <c r="B179" s="187" t="s">
        <v>439</v>
      </c>
      <c r="D179" t="str">
        <f>IFERROR(VLOOKUP(ROWS($D$2:D179),$A$2:$B$1416,2,0),"")</f>
        <v>North Norfolk</v>
      </c>
    </row>
    <row r="180" spans="1:4" x14ac:dyDescent="0.25">
      <c r="A180">
        <f>IF(ISNUMBER(SEARCH('PRP LA trend tool 2015-23'!$F$3,B180)),MAX($A$1:A179)+1,0)</f>
        <v>179</v>
      </c>
      <c r="B180" s="187" t="s">
        <v>797</v>
      </c>
      <c r="D180" t="str">
        <f>IFERROR(VLOOKUP(ROWS($D$2:D180),$A$2:$B$1416,2,0),"")</f>
        <v>North Northamptonshire</v>
      </c>
    </row>
    <row r="181" spans="1:4" x14ac:dyDescent="0.25">
      <c r="A181">
        <f>IF(ISNUMBER(SEARCH('PRP LA trend tool 2015-23'!$F$3,B181)),MAX($A$1:A180)+1,0)</f>
        <v>180</v>
      </c>
      <c r="B181" s="187" t="s">
        <v>441</v>
      </c>
      <c r="D181" t="str">
        <f>IFERROR(VLOOKUP(ROWS($D$2:D181),$A$2:$B$1416,2,0),"")</f>
        <v>North Somerset</v>
      </c>
    </row>
    <row r="182" spans="1:4" x14ac:dyDescent="0.25">
      <c r="A182">
        <f>IF(ISNUMBER(SEARCH('PRP LA trend tool 2015-23'!$F$3,B182)),MAX($A$1:A181)+1,0)</f>
        <v>181</v>
      </c>
      <c r="B182" s="187" t="s">
        <v>443</v>
      </c>
      <c r="D182" t="str">
        <f>IFERROR(VLOOKUP(ROWS($D$2:D182),$A$2:$B$1416,2,0),"")</f>
        <v>North Tyneside</v>
      </c>
    </row>
    <row r="183" spans="1:4" x14ac:dyDescent="0.25">
      <c r="A183">
        <f>IF(ISNUMBER(SEARCH('PRP LA trend tool 2015-23'!$F$3,B183)),MAX($A$1:A182)+1,0)</f>
        <v>182</v>
      </c>
      <c r="B183" s="187" t="s">
        <v>445</v>
      </c>
      <c r="D183" t="str">
        <f>IFERROR(VLOOKUP(ROWS($D$2:D183),$A$2:$B$1416,2,0),"")</f>
        <v>North Warwickshire</v>
      </c>
    </row>
    <row r="184" spans="1:4" x14ac:dyDescent="0.25">
      <c r="A184">
        <f>IF(ISNUMBER(SEARCH('PRP LA trend tool 2015-23'!$F$3,B184)),MAX($A$1:A183)+1,0)</f>
        <v>183</v>
      </c>
      <c r="B184" s="187" t="s">
        <v>447</v>
      </c>
      <c r="D184" t="str">
        <f>IFERROR(VLOOKUP(ROWS($D$2:D184),$A$2:$B$1416,2,0),"")</f>
        <v>North West Leicestershire</v>
      </c>
    </row>
    <row r="185" spans="1:4" x14ac:dyDescent="0.25">
      <c r="A185">
        <f>IF(ISNUMBER(SEARCH('PRP LA trend tool 2015-23'!$F$3,B185)),MAX($A$1:A184)+1,0)</f>
        <v>184</v>
      </c>
      <c r="B185" s="187" t="s">
        <v>449</v>
      </c>
      <c r="D185" t="str">
        <f>IFERROR(VLOOKUP(ROWS($D$2:D185),$A$2:$B$1416,2,0),"")</f>
        <v>Northumberland</v>
      </c>
    </row>
    <row r="186" spans="1:4" x14ac:dyDescent="0.25">
      <c r="A186">
        <f>IF(ISNUMBER(SEARCH('PRP LA trend tool 2015-23'!$F$3,B186)),MAX($A$1:A185)+1,0)</f>
        <v>185</v>
      </c>
      <c r="B186" s="187" t="s">
        <v>451</v>
      </c>
      <c r="D186" t="str">
        <f>IFERROR(VLOOKUP(ROWS($D$2:D186),$A$2:$B$1416,2,0),"")</f>
        <v>Norwich</v>
      </c>
    </row>
    <row r="187" spans="1:4" x14ac:dyDescent="0.25">
      <c r="A187">
        <f>IF(ISNUMBER(SEARCH('PRP LA trend tool 2015-23'!$F$3,B187)),MAX($A$1:A186)+1,0)</f>
        <v>186</v>
      </c>
      <c r="B187" s="187" t="s">
        <v>453</v>
      </c>
      <c r="D187" t="str">
        <f>IFERROR(VLOOKUP(ROWS($D$2:D187),$A$2:$B$1416,2,0),"")</f>
        <v>Nottingham</v>
      </c>
    </row>
    <row r="188" spans="1:4" x14ac:dyDescent="0.25">
      <c r="A188">
        <f>IF(ISNUMBER(SEARCH('PRP LA trend tool 2015-23'!$F$3,B188)),MAX($A$1:A187)+1,0)</f>
        <v>187</v>
      </c>
      <c r="B188" s="187" t="s">
        <v>455</v>
      </c>
      <c r="D188" t="str">
        <f>IFERROR(VLOOKUP(ROWS($D$2:D188),$A$2:$B$1416,2,0),"")</f>
        <v>Nuneaton and Bedworth</v>
      </c>
    </row>
    <row r="189" spans="1:4" x14ac:dyDescent="0.25">
      <c r="A189">
        <f>IF(ISNUMBER(SEARCH('PRP LA trend tool 2015-23'!$F$3,B189)),MAX($A$1:A188)+1,0)</f>
        <v>188</v>
      </c>
      <c r="B189" s="187" t="s">
        <v>457</v>
      </c>
      <c r="D189" t="str">
        <f>IFERROR(VLOOKUP(ROWS($D$2:D189),$A$2:$B$1416,2,0),"")</f>
        <v>Oadby and Wigston</v>
      </c>
    </row>
    <row r="190" spans="1:4" x14ac:dyDescent="0.25">
      <c r="A190">
        <f>IF(ISNUMBER(SEARCH('PRP LA trend tool 2015-23'!$F$3,B190)),MAX($A$1:A189)+1,0)</f>
        <v>189</v>
      </c>
      <c r="B190" s="187" t="s">
        <v>459</v>
      </c>
      <c r="D190" t="str">
        <f>IFERROR(VLOOKUP(ROWS($D$2:D190),$A$2:$B$1416,2,0),"")</f>
        <v>Oldham</v>
      </c>
    </row>
    <row r="191" spans="1:4" x14ac:dyDescent="0.25">
      <c r="A191">
        <f>IF(ISNUMBER(SEARCH('PRP LA trend tool 2015-23'!$F$3,B191)),MAX($A$1:A190)+1,0)</f>
        <v>190</v>
      </c>
      <c r="B191" s="187" t="s">
        <v>461</v>
      </c>
      <c r="D191" t="str">
        <f>IFERROR(VLOOKUP(ROWS($D$2:D191),$A$2:$B$1416,2,0),"")</f>
        <v>Oxford</v>
      </c>
    </row>
    <row r="192" spans="1:4" x14ac:dyDescent="0.25">
      <c r="A192">
        <f>IF(ISNUMBER(SEARCH('PRP LA trend tool 2015-23'!$F$3,B192)),MAX($A$1:A191)+1,0)</f>
        <v>191</v>
      </c>
      <c r="B192" s="187" t="s">
        <v>463</v>
      </c>
      <c r="D192" t="str">
        <f>IFERROR(VLOOKUP(ROWS($D$2:D192),$A$2:$B$1416,2,0),"")</f>
        <v>Pendle</v>
      </c>
    </row>
    <row r="193" spans="1:4" x14ac:dyDescent="0.25">
      <c r="A193">
        <f>IF(ISNUMBER(SEARCH('PRP LA trend tool 2015-23'!$F$3,B193)),MAX($A$1:A192)+1,0)</f>
        <v>192</v>
      </c>
      <c r="B193" s="187" t="s">
        <v>465</v>
      </c>
      <c r="D193" t="str">
        <f>IFERROR(VLOOKUP(ROWS($D$2:D193),$A$2:$B$1416,2,0),"")</f>
        <v>Peterborough</v>
      </c>
    </row>
    <row r="194" spans="1:4" x14ac:dyDescent="0.25">
      <c r="A194">
        <f>IF(ISNUMBER(SEARCH('PRP LA trend tool 2015-23'!$F$3,B194)),MAX($A$1:A193)+1,0)</f>
        <v>193</v>
      </c>
      <c r="B194" s="187" t="s">
        <v>467</v>
      </c>
      <c r="D194" t="str">
        <f>IFERROR(VLOOKUP(ROWS($D$2:D194),$A$2:$B$1416,2,0),"")</f>
        <v>Plymouth</v>
      </c>
    </row>
    <row r="195" spans="1:4" x14ac:dyDescent="0.25">
      <c r="A195">
        <f>IF(ISNUMBER(SEARCH('PRP LA trend tool 2015-23'!$F$3,B195)),MAX($A$1:A194)+1,0)</f>
        <v>194</v>
      </c>
      <c r="B195" s="187" t="s">
        <v>469</v>
      </c>
      <c r="D195" t="str">
        <f>IFERROR(VLOOKUP(ROWS($D$2:D195),$A$2:$B$1416,2,0),"")</f>
        <v>Portsmouth</v>
      </c>
    </row>
    <row r="196" spans="1:4" x14ac:dyDescent="0.25">
      <c r="A196">
        <f>IF(ISNUMBER(SEARCH('PRP LA trend tool 2015-23'!$F$3,B196)),MAX($A$1:A195)+1,0)</f>
        <v>195</v>
      </c>
      <c r="B196" s="187" t="s">
        <v>471</v>
      </c>
      <c r="D196" t="str">
        <f>IFERROR(VLOOKUP(ROWS($D$2:D196),$A$2:$B$1416,2,0),"")</f>
        <v>Preston</v>
      </c>
    </row>
    <row r="197" spans="1:4" x14ac:dyDescent="0.25">
      <c r="A197">
        <f>IF(ISNUMBER(SEARCH('PRP LA trend tool 2015-23'!$F$3,B197)),MAX($A$1:A196)+1,0)</f>
        <v>196</v>
      </c>
      <c r="B197" s="187" t="s">
        <v>473</v>
      </c>
      <c r="D197" t="str">
        <f>IFERROR(VLOOKUP(ROWS($D$2:D197),$A$2:$B$1416,2,0),"")</f>
        <v>Reading</v>
      </c>
    </row>
    <row r="198" spans="1:4" x14ac:dyDescent="0.25">
      <c r="A198">
        <f>IF(ISNUMBER(SEARCH('PRP LA trend tool 2015-23'!$F$3,B198)),MAX($A$1:A197)+1,0)</f>
        <v>197</v>
      </c>
      <c r="B198" s="187" t="s">
        <v>475</v>
      </c>
      <c r="D198" t="str">
        <f>IFERROR(VLOOKUP(ROWS($D$2:D198),$A$2:$B$1416,2,0),"")</f>
        <v>Redbridge</v>
      </c>
    </row>
    <row r="199" spans="1:4" x14ac:dyDescent="0.25">
      <c r="A199">
        <f>IF(ISNUMBER(SEARCH('PRP LA trend tool 2015-23'!$F$3,B199)),MAX($A$1:A198)+1,0)</f>
        <v>198</v>
      </c>
      <c r="B199" s="187" t="s">
        <v>477</v>
      </c>
      <c r="D199" t="str">
        <f>IFERROR(VLOOKUP(ROWS($D$2:D199),$A$2:$B$1416,2,0),"")</f>
        <v>Redcar and Cleveland</v>
      </c>
    </row>
    <row r="200" spans="1:4" x14ac:dyDescent="0.25">
      <c r="A200">
        <f>IF(ISNUMBER(SEARCH('PRP LA trend tool 2015-23'!$F$3,B200)),MAX($A$1:A199)+1,0)</f>
        <v>199</v>
      </c>
      <c r="B200" s="187" t="s">
        <v>479</v>
      </c>
      <c r="D200" t="str">
        <f>IFERROR(VLOOKUP(ROWS($D$2:D200),$A$2:$B$1416,2,0),"")</f>
        <v>Redditch</v>
      </c>
    </row>
    <row r="201" spans="1:4" x14ac:dyDescent="0.25">
      <c r="A201">
        <f>IF(ISNUMBER(SEARCH('PRP LA trend tool 2015-23'!$F$3,B201)),MAX($A$1:A200)+1,0)</f>
        <v>200</v>
      </c>
      <c r="B201" s="187" t="s">
        <v>481</v>
      </c>
      <c r="D201" t="str">
        <f>IFERROR(VLOOKUP(ROWS($D$2:D201),$A$2:$B$1416,2,0),"")</f>
        <v>Reigate and Banstead</v>
      </c>
    </row>
    <row r="202" spans="1:4" x14ac:dyDescent="0.25">
      <c r="A202">
        <f>IF(ISNUMBER(SEARCH('PRP LA trend tool 2015-23'!$F$3,B202)),MAX($A$1:A201)+1,0)</f>
        <v>201</v>
      </c>
      <c r="B202" s="187" t="s">
        <v>483</v>
      </c>
      <c r="D202" t="str">
        <f>IFERROR(VLOOKUP(ROWS($D$2:D202),$A$2:$B$1416,2,0),"")</f>
        <v>Ribble Valley</v>
      </c>
    </row>
    <row r="203" spans="1:4" x14ac:dyDescent="0.25">
      <c r="A203">
        <f>IF(ISNUMBER(SEARCH('PRP LA trend tool 2015-23'!$F$3,B203)),MAX($A$1:A202)+1,0)</f>
        <v>202</v>
      </c>
      <c r="B203" s="187" t="s">
        <v>485</v>
      </c>
      <c r="D203" t="str">
        <f>IFERROR(VLOOKUP(ROWS($D$2:D203),$A$2:$B$1416,2,0),"")</f>
        <v>Richmond upon Thames</v>
      </c>
    </row>
    <row r="204" spans="1:4" x14ac:dyDescent="0.25">
      <c r="A204">
        <f>IF(ISNUMBER(SEARCH('PRP LA trend tool 2015-23'!$F$3,B204)),MAX($A$1:A203)+1,0)</f>
        <v>203</v>
      </c>
      <c r="B204" s="187" t="s">
        <v>487</v>
      </c>
      <c r="D204" t="str">
        <f>IFERROR(VLOOKUP(ROWS($D$2:D204),$A$2:$B$1416,2,0),"")</f>
        <v>Richmondshire</v>
      </c>
    </row>
    <row r="205" spans="1:4" x14ac:dyDescent="0.25">
      <c r="A205">
        <f>IF(ISNUMBER(SEARCH('PRP LA trend tool 2015-23'!$F$3,B205)),MAX($A$1:A204)+1,0)</f>
        <v>204</v>
      </c>
      <c r="B205" s="187" t="s">
        <v>489</v>
      </c>
      <c r="D205" t="str">
        <f>IFERROR(VLOOKUP(ROWS($D$2:D205),$A$2:$B$1416,2,0),"")</f>
        <v>Rochdale</v>
      </c>
    </row>
    <row r="206" spans="1:4" x14ac:dyDescent="0.25">
      <c r="A206">
        <f>IF(ISNUMBER(SEARCH('PRP LA trend tool 2015-23'!$F$3,B206)),MAX($A$1:A205)+1,0)</f>
        <v>205</v>
      </c>
      <c r="B206" s="187" t="s">
        <v>491</v>
      </c>
      <c r="D206" t="str">
        <f>IFERROR(VLOOKUP(ROWS($D$2:D206),$A$2:$B$1416,2,0),"")</f>
        <v>Rochford</v>
      </c>
    </row>
    <row r="207" spans="1:4" x14ac:dyDescent="0.25">
      <c r="A207">
        <f>IF(ISNUMBER(SEARCH('PRP LA trend tool 2015-23'!$F$3,B207)),MAX($A$1:A206)+1,0)</f>
        <v>206</v>
      </c>
      <c r="B207" s="187" t="s">
        <v>493</v>
      </c>
      <c r="D207" t="str">
        <f>IFERROR(VLOOKUP(ROWS($D$2:D207),$A$2:$B$1416,2,0),"")</f>
        <v>Rossendale</v>
      </c>
    </row>
    <row r="208" spans="1:4" x14ac:dyDescent="0.25">
      <c r="A208">
        <f>IF(ISNUMBER(SEARCH('PRP LA trend tool 2015-23'!$F$3,B208)),MAX($A$1:A207)+1,0)</f>
        <v>207</v>
      </c>
      <c r="B208" s="187" t="s">
        <v>495</v>
      </c>
      <c r="D208" t="str">
        <f>IFERROR(VLOOKUP(ROWS($D$2:D208),$A$2:$B$1416,2,0),"")</f>
        <v>Rother</v>
      </c>
    </row>
    <row r="209" spans="1:4" x14ac:dyDescent="0.25">
      <c r="A209">
        <f>IF(ISNUMBER(SEARCH('PRP LA trend tool 2015-23'!$F$3,B209)),MAX($A$1:A208)+1,0)</f>
        <v>208</v>
      </c>
      <c r="B209" s="187" t="s">
        <v>497</v>
      </c>
      <c r="D209" t="str">
        <f>IFERROR(VLOOKUP(ROWS($D$2:D209),$A$2:$B$1416,2,0),"")</f>
        <v>Rotherham</v>
      </c>
    </row>
    <row r="210" spans="1:4" x14ac:dyDescent="0.25">
      <c r="A210">
        <f>IF(ISNUMBER(SEARCH('PRP LA trend tool 2015-23'!$F$3,B210)),MAX($A$1:A209)+1,0)</f>
        <v>209</v>
      </c>
      <c r="B210" s="187" t="s">
        <v>499</v>
      </c>
      <c r="D210" t="str">
        <f>IFERROR(VLOOKUP(ROWS($D$2:D210),$A$2:$B$1416,2,0),"")</f>
        <v>Rugby</v>
      </c>
    </row>
    <row r="211" spans="1:4" x14ac:dyDescent="0.25">
      <c r="A211">
        <f>IF(ISNUMBER(SEARCH('PRP LA trend tool 2015-23'!$F$3,B211)),MAX($A$1:A210)+1,0)</f>
        <v>210</v>
      </c>
      <c r="B211" s="187" t="s">
        <v>501</v>
      </c>
      <c r="D211" t="str">
        <f>IFERROR(VLOOKUP(ROWS($D$2:D211),$A$2:$B$1416,2,0),"")</f>
        <v>Runnymede</v>
      </c>
    </row>
    <row r="212" spans="1:4" x14ac:dyDescent="0.25">
      <c r="A212">
        <f>IF(ISNUMBER(SEARCH('PRP LA trend tool 2015-23'!$F$3,B212)),MAX($A$1:A211)+1,0)</f>
        <v>211</v>
      </c>
      <c r="B212" s="187" t="s">
        <v>503</v>
      </c>
      <c r="D212" t="str">
        <f>IFERROR(VLOOKUP(ROWS($D$2:D212),$A$2:$B$1416,2,0),"")</f>
        <v>Rushcliffe</v>
      </c>
    </row>
    <row r="213" spans="1:4" x14ac:dyDescent="0.25">
      <c r="A213">
        <f>IF(ISNUMBER(SEARCH('PRP LA trend tool 2015-23'!$F$3,B213)),MAX($A$1:A212)+1,0)</f>
        <v>212</v>
      </c>
      <c r="B213" s="187" t="s">
        <v>505</v>
      </c>
      <c r="D213" t="str">
        <f>IFERROR(VLOOKUP(ROWS($D$2:D213),$A$2:$B$1416,2,0),"")</f>
        <v>Rushmoor</v>
      </c>
    </row>
    <row r="214" spans="1:4" x14ac:dyDescent="0.25">
      <c r="A214">
        <f>IF(ISNUMBER(SEARCH('PRP LA trend tool 2015-23'!$F$3,B214)),MAX($A$1:A213)+1,0)</f>
        <v>213</v>
      </c>
      <c r="B214" s="187" t="s">
        <v>507</v>
      </c>
      <c r="D214" t="str">
        <f>IFERROR(VLOOKUP(ROWS($D$2:D214),$A$2:$B$1416,2,0),"")</f>
        <v>Rutland</v>
      </c>
    </row>
    <row r="215" spans="1:4" x14ac:dyDescent="0.25">
      <c r="A215">
        <f>IF(ISNUMBER(SEARCH('PRP LA trend tool 2015-23'!$F$3,B215)),MAX($A$1:A214)+1,0)</f>
        <v>214</v>
      </c>
      <c r="B215" s="187" t="s">
        <v>509</v>
      </c>
      <c r="D215" t="str">
        <f>IFERROR(VLOOKUP(ROWS($D$2:D215),$A$2:$B$1416,2,0),"")</f>
        <v>Ryedale</v>
      </c>
    </row>
    <row r="216" spans="1:4" x14ac:dyDescent="0.25">
      <c r="A216">
        <f>IF(ISNUMBER(SEARCH('PRP LA trend tool 2015-23'!$F$3,B216)),MAX($A$1:A215)+1,0)</f>
        <v>215</v>
      </c>
      <c r="B216" s="187" t="s">
        <v>511</v>
      </c>
      <c r="D216" t="str">
        <f>IFERROR(VLOOKUP(ROWS($D$2:D216),$A$2:$B$1416,2,0),"")</f>
        <v>Salford</v>
      </c>
    </row>
    <row r="217" spans="1:4" x14ac:dyDescent="0.25">
      <c r="A217">
        <f>IF(ISNUMBER(SEARCH('PRP LA trend tool 2015-23'!$F$3,B217)),MAX($A$1:A216)+1,0)</f>
        <v>216</v>
      </c>
      <c r="B217" s="187" t="s">
        <v>513</v>
      </c>
      <c r="D217" t="str">
        <f>IFERROR(VLOOKUP(ROWS($D$2:D217),$A$2:$B$1416,2,0),"")</f>
        <v>Sandwell</v>
      </c>
    </row>
    <row r="218" spans="1:4" x14ac:dyDescent="0.25">
      <c r="A218">
        <f>IF(ISNUMBER(SEARCH('PRP LA trend tool 2015-23'!$F$3,B218)),MAX($A$1:A217)+1,0)</f>
        <v>217</v>
      </c>
      <c r="B218" s="187" t="s">
        <v>515</v>
      </c>
      <c r="D218" t="str">
        <f>IFERROR(VLOOKUP(ROWS($D$2:D218),$A$2:$B$1416,2,0),"")</f>
        <v>Scarborough</v>
      </c>
    </row>
    <row r="219" spans="1:4" x14ac:dyDescent="0.25">
      <c r="A219">
        <f>IF(ISNUMBER(SEARCH('PRP LA trend tool 2015-23'!$F$3,B219)),MAX($A$1:A218)+1,0)</f>
        <v>218</v>
      </c>
      <c r="B219" s="187" t="s">
        <v>517</v>
      </c>
      <c r="D219" t="str">
        <f>IFERROR(VLOOKUP(ROWS($D$2:D219),$A$2:$B$1416,2,0),"")</f>
        <v>Sedgemoor</v>
      </c>
    </row>
    <row r="220" spans="1:4" x14ac:dyDescent="0.25">
      <c r="A220">
        <f>IF(ISNUMBER(SEARCH('PRP LA trend tool 2015-23'!$F$3,B220)),MAX($A$1:A219)+1,0)</f>
        <v>219</v>
      </c>
      <c r="B220" s="187" t="s">
        <v>519</v>
      </c>
      <c r="D220" t="str">
        <f>IFERROR(VLOOKUP(ROWS($D$2:D220),$A$2:$B$1416,2,0),"")</f>
        <v>Sefton</v>
      </c>
    </row>
    <row r="221" spans="1:4" x14ac:dyDescent="0.25">
      <c r="A221">
        <f>IF(ISNUMBER(SEARCH('PRP LA trend tool 2015-23'!$F$3,B221)),MAX($A$1:A220)+1,0)</f>
        <v>220</v>
      </c>
      <c r="B221" s="187" t="s">
        <v>521</v>
      </c>
      <c r="D221" t="str">
        <f>IFERROR(VLOOKUP(ROWS($D$2:D221),$A$2:$B$1416,2,0),"")</f>
        <v>Selby</v>
      </c>
    </row>
    <row r="222" spans="1:4" x14ac:dyDescent="0.25">
      <c r="A222">
        <f>IF(ISNUMBER(SEARCH('PRP LA trend tool 2015-23'!$F$3,B222)),MAX($A$1:A221)+1,0)</f>
        <v>221</v>
      </c>
      <c r="B222" s="187" t="s">
        <v>523</v>
      </c>
      <c r="D222" t="str">
        <f>IFERROR(VLOOKUP(ROWS($D$2:D222),$A$2:$B$1416,2,0),"")</f>
        <v>Sevenoaks</v>
      </c>
    </row>
    <row r="223" spans="1:4" x14ac:dyDescent="0.25">
      <c r="A223">
        <f>IF(ISNUMBER(SEARCH('PRP LA trend tool 2015-23'!$F$3,B223)),MAX($A$1:A222)+1,0)</f>
        <v>222</v>
      </c>
      <c r="B223" s="187" t="s">
        <v>525</v>
      </c>
      <c r="D223" t="str">
        <f>IFERROR(VLOOKUP(ROWS($D$2:D223),$A$2:$B$1416,2,0),"")</f>
        <v>Sheffield</v>
      </c>
    </row>
    <row r="224" spans="1:4" x14ac:dyDescent="0.25">
      <c r="A224">
        <f>IF(ISNUMBER(SEARCH('PRP LA trend tool 2015-23'!$F$3,B224)),MAX($A$1:A223)+1,0)</f>
        <v>223</v>
      </c>
      <c r="B224" s="187" t="s">
        <v>527</v>
      </c>
      <c r="D224" t="str">
        <f>IFERROR(VLOOKUP(ROWS($D$2:D224),$A$2:$B$1416,2,0),"")</f>
        <v>Shropshire</v>
      </c>
    </row>
    <row r="225" spans="1:4" x14ac:dyDescent="0.25">
      <c r="A225">
        <f>IF(ISNUMBER(SEARCH('PRP LA trend tool 2015-23'!$F$3,B225)),MAX($A$1:A224)+1,0)</f>
        <v>224</v>
      </c>
      <c r="B225" s="187" t="s">
        <v>529</v>
      </c>
      <c r="D225" t="str">
        <f>IFERROR(VLOOKUP(ROWS($D$2:D225),$A$2:$B$1416,2,0),"")</f>
        <v>Slough</v>
      </c>
    </row>
    <row r="226" spans="1:4" x14ac:dyDescent="0.25">
      <c r="A226">
        <f>IF(ISNUMBER(SEARCH('PRP LA trend tool 2015-23'!$F$3,B226)),MAX($A$1:A225)+1,0)</f>
        <v>225</v>
      </c>
      <c r="B226" s="187" t="s">
        <v>531</v>
      </c>
      <c r="D226" t="str">
        <f>IFERROR(VLOOKUP(ROWS($D$2:D226),$A$2:$B$1416,2,0),"")</f>
        <v>Solihull</v>
      </c>
    </row>
    <row r="227" spans="1:4" x14ac:dyDescent="0.25">
      <c r="A227">
        <f>IF(ISNUMBER(SEARCH('PRP LA trend tool 2015-23'!$F$3,B227)),MAX($A$1:A226)+1,0)</f>
        <v>226</v>
      </c>
      <c r="B227" s="187" t="s">
        <v>533</v>
      </c>
      <c r="D227" t="str">
        <f>IFERROR(VLOOKUP(ROWS($D$2:D227),$A$2:$B$1416,2,0),"")</f>
        <v>Somerset West and Taunton</v>
      </c>
    </row>
    <row r="228" spans="1:4" x14ac:dyDescent="0.25">
      <c r="A228">
        <f>IF(ISNUMBER(SEARCH('PRP LA trend tool 2015-23'!$F$3,B228)),MAX($A$1:A227)+1,0)</f>
        <v>227</v>
      </c>
      <c r="B228" s="187" t="s">
        <v>535</v>
      </c>
      <c r="D228" t="str">
        <f>IFERROR(VLOOKUP(ROWS($D$2:D228),$A$2:$B$1416,2,0),"")</f>
        <v>South Cambridgeshire</v>
      </c>
    </row>
    <row r="229" spans="1:4" x14ac:dyDescent="0.25">
      <c r="A229">
        <f>IF(ISNUMBER(SEARCH('PRP LA trend tool 2015-23'!$F$3,B229)),MAX($A$1:A228)+1,0)</f>
        <v>228</v>
      </c>
      <c r="B229" s="187" t="s">
        <v>537</v>
      </c>
      <c r="D229" t="str">
        <f>IFERROR(VLOOKUP(ROWS($D$2:D229),$A$2:$B$1416,2,0),"")</f>
        <v>South Derbyshire</v>
      </c>
    </row>
    <row r="230" spans="1:4" x14ac:dyDescent="0.25">
      <c r="A230">
        <f>IF(ISNUMBER(SEARCH('PRP LA trend tool 2015-23'!$F$3,B230)),MAX($A$1:A229)+1,0)</f>
        <v>229</v>
      </c>
      <c r="B230" s="187" t="s">
        <v>539</v>
      </c>
      <c r="D230" t="str">
        <f>IFERROR(VLOOKUP(ROWS($D$2:D230),$A$2:$B$1416,2,0),"")</f>
        <v>South Gloucestershire</v>
      </c>
    </row>
    <row r="231" spans="1:4" x14ac:dyDescent="0.25">
      <c r="A231">
        <f>IF(ISNUMBER(SEARCH('PRP LA trend tool 2015-23'!$F$3,B231)),MAX($A$1:A230)+1,0)</f>
        <v>230</v>
      </c>
      <c r="B231" s="187" t="s">
        <v>541</v>
      </c>
      <c r="D231" t="str">
        <f>IFERROR(VLOOKUP(ROWS($D$2:D231),$A$2:$B$1416,2,0),"")</f>
        <v>South Hams</v>
      </c>
    </row>
    <row r="232" spans="1:4" x14ac:dyDescent="0.25">
      <c r="A232">
        <f>IF(ISNUMBER(SEARCH('PRP LA trend tool 2015-23'!$F$3,B232)),MAX($A$1:A231)+1,0)</f>
        <v>231</v>
      </c>
      <c r="B232" s="187" t="s">
        <v>543</v>
      </c>
      <c r="D232" t="str">
        <f>IFERROR(VLOOKUP(ROWS($D$2:D232),$A$2:$B$1416,2,0),"")</f>
        <v>South Holland</v>
      </c>
    </row>
    <row r="233" spans="1:4" x14ac:dyDescent="0.25">
      <c r="A233">
        <f>IF(ISNUMBER(SEARCH('PRP LA trend tool 2015-23'!$F$3,B233)),MAX($A$1:A232)+1,0)</f>
        <v>232</v>
      </c>
      <c r="B233" s="187" t="s">
        <v>545</v>
      </c>
      <c r="D233" t="str">
        <f>IFERROR(VLOOKUP(ROWS($D$2:D233),$A$2:$B$1416,2,0),"")</f>
        <v>South Kesteven</v>
      </c>
    </row>
    <row r="234" spans="1:4" x14ac:dyDescent="0.25">
      <c r="A234">
        <f>IF(ISNUMBER(SEARCH('PRP LA trend tool 2015-23'!$F$3,B234)),MAX($A$1:A233)+1,0)</f>
        <v>233</v>
      </c>
      <c r="B234" s="187" t="s">
        <v>547</v>
      </c>
      <c r="D234" t="str">
        <f>IFERROR(VLOOKUP(ROWS($D$2:D234),$A$2:$B$1416,2,0),"")</f>
        <v>South Lakeland</v>
      </c>
    </row>
    <row r="235" spans="1:4" x14ac:dyDescent="0.25">
      <c r="A235">
        <f>IF(ISNUMBER(SEARCH('PRP LA trend tool 2015-23'!$F$3,B235)),MAX($A$1:A234)+1,0)</f>
        <v>234</v>
      </c>
      <c r="B235" s="187" t="s">
        <v>549</v>
      </c>
      <c r="D235" t="str">
        <f>IFERROR(VLOOKUP(ROWS($D$2:D235),$A$2:$B$1416,2,0),"")</f>
        <v>South Norfolk</v>
      </c>
    </row>
    <row r="236" spans="1:4" x14ac:dyDescent="0.25">
      <c r="A236">
        <f>IF(ISNUMBER(SEARCH('PRP LA trend tool 2015-23'!$F$3,B236)),MAX($A$1:A235)+1,0)</f>
        <v>235</v>
      </c>
      <c r="B236" s="187" t="s">
        <v>551</v>
      </c>
      <c r="D236" t="str">
        <f>IFERROR(VLOOKUP(ROWS($D$2:D236),$A$2:$B$1416,2,0),"")</f>
        <v>South Oxfordshire</v>
      </c>
    </row>
    <row r="237" spans="1:4" x14ac:dyDescent="0.25">
      <c r="A237">
        <f>IF(ISNUMBER(SEARCH('PRP LA trend tool 2015-23'!$F$3,B237)),MAX($A$1:A236)+1,0)</f>
        <v>236</v>
      </c>
      <c r="B237" s="187" t="s">
        <v>553</v>
      </c>
      <c r="D237" t="str">
        <f>IFERROR(VLOOKUP(ROWS($D$2:D237),$A$2:$B$1416,2,0),"")</f>
        <v>South Ribble</v>
      </c>
    </row>
    <row r="238" spans="1:4" x14ac:dyDescent="0.25">
      <c r="A238">
        <f>IF(ISNUMBER(SEARCH('PRP LA trend tool 2015-23'!$F$3,B238)),MAX($A$1:A237)+1,0)</f>
        <v>237</v>
      </c>
      <c r="B238" s="187" t="s">
        <v>555</v>
      </c>
      <c r="D238" t="str">
        <f>IFERROR(VLOOKUP(ROWS($D$2:D238),$A$2:$B$1416,2,0),"")</f>
        <v>South Somerset</v>
      </c>
    </row>
    <row r="239" spans="1:4" x14ac:dyDescent="0.25">
      <c r="A239">
        <f>IF(ISNUMBER(SEARCH('PRP LA trend tool 2015-23'!$F$3,B239)),MAX($A$1:A238)+1,0)</f>
        <v>238</v>
      </c>
      <c r="B239" s="187" t="s">
        <v>557</v>
      </c>
      <c r="D239" t="str">
        <f>IFERROR(VLOOKUP(ROWS($D$2:D239),$A$2:$B$1416,2,0),"")</f>
        <v>South Staffordshire</v>
      </c>
    </row>
    <row r="240" spans="1:4" x14ac:dyDescent="0.25">
      <c r="A240">
        <f>IF(ISNUMBER(SEARCH('PRP LA trend tool 2015-23'!$F$3,B240)),MAX($A$1:A239)+1,0)</f>
        <v>239</v>
      </c>
      <c r="B240" s="187" t="s">
        <v>559</v>
      </c>
      <c r="D240" t="str">
        <f>IFERROR(VLOOKUP(ROWS($D$2:D240),$A$2:$B$1416,2,0),"")</f>
        <v>South Tyneside</v>
      </c>
    </row>
    <row r="241" spans="1:4" x14ac:dyDescent="0.25">
      <c r="A241">
        <f>IF(ISNUMBER(SEARCH('PRP LA trend tool 2015-23'!$F$3,B241)),MAX($A$1:A240)+1,0)</f>
        <v>240</v>
      </c>
      <c r="B241" s="187" t="s">
        <v>561</v>
      </c>
      <c r="D241" t="str">
        <f>IFERROR(VLOOKUP(ROWS($D$2:D241),$A$2:$B$1416,2,0),"")</f>
        <v>Southampton</v>
      </c>
    </row>
    <row r="242" spans="1:4" x14ac:dyDescent="0.25">
      <c r="A242">
        <f>IF(ISNUMBER(SEARCH('PRP LA trend tool 2015-23'!$F$3,B242)),MAX($A$1:A241)+1,0)</f>
        <v>241</v>
      </c>
      <c r="B242" s="187" t="s">
        <v>563</v>
      </c>
      <c r="D242" t="str">
        <f>IFERROR(VLOOKUP(ROWS($D$2:D242),$A$2:$B$1416,2,0),"")</f>
        <v>Southend-on-Sea</v>
      </c>
    </row>
    <row r="243" spans="1:4" x14ac:dyDescent="0.25">
      <c r="A243">
        <f>IF(ISNUMBER(SEARCH('PRP LA trend tool 2015-23'!$F$3,B243)),MAX($A$1:A242)+1,0)</f>
        <v>242</v>
      </c>
      <c r="B243" s="187" t="s">
        <v>565</v>
      </c>
      <c r="D243" t="str">
        <f>IFERROR(VLOOKUP(ROWS($D$2:D243),$A$2:$B$1416,2,0),"")</f>
        <v>Southwark</v>
      </c>
    </row>
    <row r="244" spans="1:4" x14ac:dyDescent="0.25">
      <c r="A244">
        <f>IF(ISNUMBER(SEARCH('PRP LA trend tool 2015-23'!$F$3,B244)),MAX($A$1:A243)+1,0)</f>
        <v>243</v>
      </c>
      <c r="B244" s="187" t="s">
        <v>567</v>
      </c>
      <c r="D244" t="str">
        <f>IFERROR(VLOOKUP(ROWS($D$2:D244),$A$2:$B$1416,2,0),"")</f>
        <v>Spelthorne</v>
      </c>
    </row>
    <row r="245" spans="1:4" x14ac:dyDescent="0.25">
      <c r="A245">
        <f>IF(ISNUMBER(SEARCH('PRP LA trend tool 2015-23'!$F$3,B245)),MAX($A$1:A244)+1,0)</f>
        <v>244</v>
      </c>
      <c r="B245" s="187" t="s">
        <v>569</v>
      </c>
      <c r="D245" t="str">
        <f>IFERROR(VLOOKUP(ROWS($D$2:D245),$A$2:$B$1416,2,0),"")</f>
        <v>St Albans</v>
      </c>
    </row>
    <row r="246" spans="1:4" x14ac:dyDescent="0.25">
      <c r="A246">
        <f>IF(ISNUMBER(SEARCH('PRP LA trend tool 2015-23'!$F$3,B246)),MAX($A$1:A245)+1,0)</f>
        <v>245</v>
      </c>
      <c r="B246" s="187" t="s">
        <v>571</v>
      </c>
      <c r="D246" t="str">
        <f>IFERROR(VLOOKUP(ROWS($D$2:D246),$A$2:$B$1416,2,0),"")</f>
        <v>St. Helens</v>
      </c>
    </row>
    <row r="247" spans="1:4" x14ac:dyDescent="0.25">
      <c r="A247">
        <f>IF(ISNUMBER(SEARCH('PRP LA trend tool 2015-23'!$F$3,B247)),MAX($A$1:A246)+1,0)</f>
        <v>246</v>
      </c>
      <c r="B247" s="187" t="s">
        <v>573</v>
      </c>
      <c r="D247" t="str">
        <f>IFERROR(VLOOKUP(ROWS($D$2:D247),$A$2:$B$1416,2,0),"")</f>
        <v>Stafford</v>
      </c>
    </row>
    <row r="248" spans="1:4" x14ac:dyDescent="0.25">
      <c r="A248">
        <f>IF(ISNUMBER(SEARCH('PRP LA trend tool 2015-23'!$F$3,B248)),MAX($A$1:A247)+1,0)</f>
        <v>247</v>
      </c>
      <c r="B248" s="187" t="s">
        <v>575</v>
      </c>
      <c r="D248" t="str">
        <f>IFERROR(VLOOKUP(ROWS($D$2:D248),$A$2:$B$1416,2,0),"")</f>
        <v>Staffordshire Moorlands</v>
      </c>
    </row>
    <row r="249" spans="1:4" x14ac:dyDescent="0.25">
      <c r="A249">
        <f>IF(ISNUMBER(SEARCH('PRP LA trend tool 2015-23'!$F$3,B249)),MAX($A$1:A248)+1,0)</f>
        <v>248</v>
      </c>
      <c r="B249" s="187" t="s">
        <v>577</v>
      </c>
      <c r="D249" t="str">
        <f>IFERROR(VLOOKUP(ROWS($D$2:D249),$A$2:$B$1416,2,0),"")</f>
        <v>Stevenage</v>
      </c>
    </row>
    <row r="250" spans="1:4" x14ac:dyDescent="0.25">
      <c r="A250">
        <f>IF(ISNUMBER(SEARCH('PRP LA trend tool 2015-23'!$F$3,B250)),MAX($A$1:A249)+1,0)</f>
        <v>249</v>
      </c>
      <c r="B250" s="187" t="s">
        <v>579</v>
      </c>
      <c r="D250" t="str">
        <f>IFERROR(VLOOKUP(ROWS($D$2:D250),$A$2:$B$1416,2,0),"")</f>
        <v>Stockport</v>
      </c>
    </row>
    <row r="251" spans="1:4" x14ac:dyDescent="0.25">
      <c r="A251">
        <f>IF(ISNUMBER(SEARCH('PRP LA trend tool 2015-23'!$F$3,B251)),MAX($A$1:A250)+1,0)</f>
        <v>250</v>
      </c>
      <c r="B251" s="187" t="s">
        <v>581</v>
      </c>
      <c r="D251" t="str">
        <f>IFERROR(VLOOKUP(ROWS($D$2:D251),$A$2:$B$1416,2,0),"")</f>
        <v>Stockton-on-Tees</v>
      </c>
    </row>
    <row r="252" spans="1:4" x14ac:dyDescent="0.25">
      <c r="A252">
        <f>IF(ISNUMBER(SEARCH('PRP LA trend tool 2015-23'!$F$3,B252)),MAX($A$1:A251)+1,0)</f>
        <v>251</v>
      </c>
      <c r="B252" s="187" t="s">
        <v>583</v>
      </c>
      <c r="D252" t="str">
        <f>IFERROR(VLOOKUP(ROWS($D$2:D252),$A$2:$B$1416,2,0),"")</f>
        <v>Stoke-on-Trent</v>
      </c>
    </row>
    <row r="253" spans="1:4" x14ac:dyDescent="0.25">
      <c r="A253">
        <f>IF(ISNUMBER(SEARCH('PRP LA trend tool 2015-23'!$F$3,B253)),MAX($A$1:A252)+1,0)</f>
        <v>252</v>
      </c>
      <c r="B253" s="187" t="s">
        <v>585</v>
      </c>
      <c r="D253" t="str">
        <f>IFERROR(VLOOKUP(ROWS($D$2:D253),$A$2:$B$1416,2,0),"")</f>
        <v>Stratford-on-Avon</v>
      </c>
    </row>
    <row r="254" spans="1:4" x14ac:dyDescent="0.25">
      <c r="A254">
        <f>IF(ISNUMBER(SEARCH('PRP LA trend tool 2015-23'!$F$3,B254)),MAX($A$1:A253)+1,0)</f>
        <v>253</v>
      </c>
      <c r="B254" s="187" t="s">
        <v>587</v>
      </c>
      <c r="D254" t="str">
        <f>IFERROR(VLOOKUP(ROWS($D$2:D254),$A$2:$B$1416,2,0),"")</f>
        <v>Stroud</v>
      </c>
    </row>
    <row r="255" spans="1:4" x14ac:dyDescent="0.25">
      <c r="A255">
        <f>IF(ISNUMBER(SEARCH('PRP LA trend tool 2015-23'!$F$3,B255)),MAX($A$1:A254)+1,0)</f>
        <v>254</v>
      </c>
      <c r="B255" s="187" t="s">
        <v>589</v>
      </c>
      <c r="D255" t="str">
        <f>IFERROR(VLOOKUP(ROWS($D$2:D255),$A$2:$B$1416,2,0),"")</f>
        <v>Sunderland</v>
      </c>
    </row>
    <row r="256" spans="1:4" x14ac:dyDescent="0.25">
      <c r="A256">
        <f>IF(ISNUMBER(SEARCH('PRP LA trend tool 2015-23'!$F$3,B256)),MAX($A$1:A255)+1,0)</f>
        <v>255</v>
      </c>
      <c r="B256" s="187" t="s">
        <v>591</v>
      </c>
      <c r="D256" t="str">
        <f>IFERROR(VLOOKUP(ROWS($D$2:D256),$A$2:$B$1416,2,0),"")</f>
        <v>Surrey Heath</v>
      </c>
    </row>
    <row r="257" spans="1:4" x14ac:dyDescent="0.25">
      <c r="A257">
        <f>IF(ISNUMBER(SEARCH('PRP LA trend tool 2015-23'!$F$3,B257)),MAX($A$1:A256)+1,0)</f>
        <v>256</v>
      </c>
      <c r="B257" s="187" t="s">
        <v>593</v>
      </c>
      <c r="D257" t="str">
        <f>IFERROR(VLOOKUP(ROWS($D$2:D257),$A$2:$B$1416,2,0),"")</f>
        <v>Sutton</v>
      </c>
    </row>
    <row r="258" spans="1:4" x14ac:dyDescent="0.25">
      <c r="A258">
        <f>IF(ISNUMBER(SEARCH('PRP LA trend tool 2015-23'!$F$3,B258)),MAX($A$1:A257)+1,0)</f>
        <v>257</v>
      </c>
      <c r="B258" s="187" t="s">
        <v>595</v>
      </c>
      <c r="D258" t="str">
        <f>IFERROR(VLOOKUP(ROWS($D$2:D258),$A$2:$B$1416,2,0),"")</f>
        <v>Swale</v>
      </c>
    </row>
    <row r="259" spans="1:4" x14ac:dyDescent="0.25">
      <c r="A259">
        <f>IF(ISNUMBER(SEARCH('PRP LA trend tool 2015-23'!$F$3,B259)),MAX($A$1:A258)+1,0)</f>
        <v>258</v>
      </c>
      <c r="B259" s="187" t="s">
        <v>597</v>
      </c>
      <c r="D259" t="str">
        <f>IFERROR(VLOOKUP(ROWS($D$2:D259),$A$2:$B$1416,2,0),"")</f>
        <v>Swindon</v>
      </c>
    </row>
    <row r="260" spans="1:4" x14ac:dyDescent="0.25">
      <c r="A260">
        <f>IF(ISNUMBER(SEARCH('PRP LA trend tool 2015-23'!$F$3,B260)),MAX($A$1:A259)+1,0)</f>
        <v>259</v>
      </c>
      <c r="B260" s="187" t="s">
        <v>599</v>
      </c>
      <c r="D260" t="str">
        <f>IFERROR(VLOOKUP(ROWS($D$2:D260),$A$2:$B$1416,2,0),"")</f>
        <v>Tameside</v>
      </c>
    </row>
    <row r="261" spans="1:4" x14ac:dyDescent="0.25">
      <c r="A261">
        <f>IF(ISNUMBER(SEARCH('PRP LA trend tool 2015-23'!$F$3,B261)),MAX($A$1:A260)+1,0)</f>
        <v>260</v>
      </c>
      <c r="B261" s="187" t="s">
        <v>601</v>
      </c>
      <c r="D261" t="str">
        <f>IFERROR(VLOOKUP(ROWS($D$2:D261),$A$2:$B$1416,2,0),"")</f>
        <v>Tamworth</v>
      </c>
    </row>
    <row r="262" spans="1:4" x14ac:dyDescent="0.25">
      <c r="A262">
        <f>IF(ISNUMBER(SEARCH('PRP LA trend tool 2015-23'!$F$3,B262)),MAX($A$1:A261)+1,0)</f>
        <v>261</v>
      </c>
      <c r="B262" s="187" t="s">
        <v>603</v>
      </c>
      <c r="D262" t="str">
        <f>IFERROR(VLOOKUP(ROWS($D$2:D262),$A$2:$B$1416,2,0),"")</f>
        <v>Tandridge</v>
      </c>
    </row>
    <row r="263" spans="1:4" x14ac:dyDescent="0.25">
      <c r="A263">
        <f>IF(ISNUMBER(SEARCH('PRP LA trend tool 2015-23'!$F$3,B263)),MAX($A$1:A262)+1,0)</f>
        <v>262</v>
      </c>
      <c r="B263" s="187" t="s">
        <v>605</v>
      </c>
      <c r="D263" t="str">
        <f>IFERROR(VLOOKUP(ROWS($D$2:D263),$A$2:$B$1416,2,0),"")</f>
        <v>Teignbridge</v>
      </c>
    </row>
    <row r="264" spans="1:4" x14ac:dyDescent="0.25">
      <c r="A264">
        <f>IF(ISNUMBER(SEARCH('PRP LA trend tool 2015-23'!$F$3,B264)),MAX($A$1:A263)+1,0)</f>
        <v>263</v>
      </c>
      <c r="B264" s="187" t="s">
        <v>607</v>
      </c>
      <c r="D264" t="str">
        <f>IFERROR(VLOOKUP(ROWS($D$2:D264),$A$2:$B$1416,2,0),"")</f>
        <v>Telford and Wrekin</v>
      </c>
    </row>
    <row r="265" spans="1:4" x14ac:dyDescent="0.25">
      <c r="A265">
        <f>IF(ISNUMBER(SEARCH('PRP LA trend tool 2015-23'!$F$3,B265)),MAX($A$1:A264)+1,0)</f>
        <v>264</v>
      </c>
      <c r="B265" s="187" t="s">
        <v>609</v>
      </c>
      <c r="D265" t="str">
        <f>IFERROR(VLOOKUP(ROWS($D$2:D265),$A$2:$B$1416,2,0),"")</f>
        <v>Tendring</v>
      </c>
    </row>
    <row r="266" spans="1:4" x14ac:dyDescent="0.25">
      <c r="A266">
        <f>IF(ISNUMBER(SEARCH('PRP LA trend tool 2015-23'!$F$3,B266)),MAX($A$1:A265)+1,0)</f>
        <v>265</v>
      </c>
      <c r="B266" s="187" t="s">
        <v>611</v>
      </c>
      <c r="D266" t="str">
        <f>IFERROR(VLOOKUP(ROWS($D$2:D266),$A$2:$B$1416,2,0),"")</f>
        <v>Test Valley</v>
      </c>
    </row>
    <row r="267" spans="1:4" x14ac:dyDescent="0.25">
      <c r="A267">
        <f>IF(ISNUMBER(SEARCH('PRP LA trend tool 2015-23'!$F$3,B267)),MAX($A$1:A266)+1,0)</f>
        <v>266</v>
      </c>
      <c r="B267" s="187" t="s">
        <v>613</v>
      </c>
      <c r="D267" t="str">
        <f>IFERROR(VLOOKUP(ROWS($D$2:D267),$A$2:$B$1416,2,0),"")</f>
        <v>Tewkesbury</v>
      </c>
    </row>
    <row r="268" spans="1:4" x14ac:dyDescent="0.25">
      <c r="A268">
        <f>IF(ISNUMBER(SEARCH('PRP LA trend tool 2015-23'!$F$3,B268)),MAX($A$1:A267)+1,0)</f>
        <v>267</v>
      </c>
      <c r="B268" s="187" t="s">
        <v>615</v>
      </c>
      <c r="D268" t="str">
        <f>IFERROR(VLOOKUP(ROWS($D$2:D268),$A$2:$B$1416,2,0),"")</f>
        <v>Thanet</v>
      </c>
    </row>
    <row r="269" spans="1:4" x14ac:dyDescent="0.25">
      <c r="A269">
        <f>IF(ISNUMBER(SEARCH('PRP LA trend tool 2015-23'!$F$3,B269)),MAX($A$1:A268)+1,0)</f>
        <v>268</v>
      </c>
      <c r="B269" s="187" t="s">
        <v>617</v>
      </c>
      <c r="D269" t="str">
        <f>IFERROR(VLOOKUP(ROWS($D$2:D269),$A$2:$B$1416,2,0),"")</f>
        <v>Three Rivers</v>
      </c>
    </row>
    <row r="270" spans="1:4" x14ac:dyDescent="0.25">
      <c r="A270">
        <f>IF(ISNUMBER(SEARCH('PRP LA trend tool 2015-23'!$F$3,B270)),MAX($A$1:A269)+1,0)</f>
        <v>269</v>
      </c>
      <c r="B270" s="187" t="s">
        <v>619</v>
      </c>
      <c r="D270" t="str">
        <f>IFERROR(VLOOKUP(ROWS($D$2:D270),$A$2:$B$1416,2,0),"")</f>
        <v>Thurrock</v>
      </c>
    </row>
    <row r="271" spans="1:4" x14ac:dyDescent="0.25">
      <c r="A271">
        <f>IF(ISNUMBER(SEARCH('PRP LA trend tool 2015-23'!$F$3,B271)),MAX($A$1:A270)+1,0)</f>
        <v>270</v>
      </c>
      <c r="B271" s="187" t="s">
        <v>621</v>
      </c>
      <c r="D271" t="str">
        <f>IFERROR(VLOOKUP(ROWS($D$2:D271),$A$2:$B$1416,2,0),"")</f>
        <v>Tonbridge and Malling</v>
      </c>
    </row>
    <row r="272" spans="1:4" x14ac:dyDescent="0.25">
      <c r="A272">
        <f>IF(ISNUMBER(SEARCH('PRP LA trend tool 2015-23'!$F$3,B272)),MAX($A$1:A271)+1,0)</f>
        <v>271</v>
      </c>
      <c r="B272" s="187" t="s">
        <v>623</v>
      </c>
      <c r="D272" t="str">
        <f>IFERROR(VLOOKUP(ROWS($D$2:D272),$A$2:$B$1416,2,0),"")</f>
        <v>Torbay</v>
      </c>
    </row>
    <row r="273" spans="1:4" x14ac:dyDescent="0.25">
      <c r="A273">
        <f>IF(ISNUMBER(SEARCH('PRP LA trend tool 2015-23'!$F$3,B273)),MAX($A$1:A272)+1,0)</f>
        <v>272</v>
      </c>
      <c r="B273" s="187" t="s">
        <v>625</v>
      </c>
      <c r="D273" t="str">
        <f>IFERROR(VLOOKUP(ROWS($D$2:D273),$A$2:$B$1416,2,0),"")</f>
        <v>Torridge</v>
      </c>
    </row>
    <row r="274" spans="1:4" x14ac:dyDescent="0.25">
      <c r="A274">
        <f>IF(ISNUMBER(SEARCH('PRP LA trend tool 2015-23'!$F$3,B274)),MAX($A$1:A273)+1,0)</f>
        <v>273</v>
      </c>
      <c r="B274" s="187" t="s">
        <v>627</v>
      </c>
      <c r="D274" t="str">
        <f>IFERROR(VLOOKUP(ROWS($D$2:D274),$A$2:$B$1416,2,0),"")</f>
        <v>Tower Hamlets</v>
      </c>
    </row>
    <row r="275" spans="1:4" x14ac:dyDescent="0.25">
      <c r="A275">
        <f>IF(ISNUMBER(SEARCH('PRP LA trend tool 2015-23'!$F$3,B275)),MAX($A$1:A274)+1,0)</f>
        <v>274</v>
      </c>
      <c r="B275" s="187" t="s">
        <v>629</v>
      </c>
      <c r="D275" t="str">
        <f>IFERROR(VLOOKUP(ROWS($D$2:D275),$A$2:$B$1416,2,0),"")</f>
        <v>Trafford</v>
      </c>
    </row>
    <row r="276" spans="1:4" x14ac:dyDescent="0.25">
      <c r="A276">
        <f>IF(ISNUMBER(SEARCH('PRP LA trend tool 2015-23'!$F$3,B276)),MAX($A$1:A275)+1,0)</f>
        <v>275</v>
      </c>
      <c r="B276" s="187" t="s">
        <v>631</v>
      </c>
      <c r="D276" t="str">
        <f>IFERROR(VLOOKUP(ROWS($D$2:D276),$A$2:$B$1416,2,0),"")</f>
        <v>Tunbridge Wells</v>
      </c>
    </row>
    <row r="277" spans="1:4" x14ac:dyDescent="0.25">
      <c r="A277">
        <f>IF(ISNUMBER(SEARCH('PRP LA trend tool 2015-23'!$F$3,B277)),MAX($A$1:A276)+1,0)</f>
        <v>276</v>
      </c>
      <c r="B277" s="187" t="s">
        <v>633</v>
      </c>
      <c r="D277" t="str">
        <f>IFERROR(VLOOKUP(ROWS($D$2:D277),$A$2:$B$1416,2,0),"")</f>
        <v>Uttlesford</v>
      </c>
    </row>
    <row r="278" spans="1:4" x14ac:dyDescent="0.25">
      <c r="A278">
        <f>IF(ISNUMBER(SEARCH('PRP LA trend tool 2015-23'!$F$3,B278)),MAX($A$1:A277)+1,0)</f>
        <v>277</v>
      </c>
      <c r="B278" s="187" t="s">
        <v>635</v>
      </c>
      <c r="D278" t="str">
        <f>IFERROR(VLOOKUP(ROWS($D$2:D278),$A$2:$B$1416,2,0),"")</f>
        <v>Vale of White Horse</v>
      </c>
    </row>
    <row r="279" spans="1:4" x14ac:dyDescent="0.25">
      <c r="A279">
        <f>IF(ISNUMBER(SEARCH('PRP LA trend tool 2015-23'!$F$3,B279)),MAX($A$1:A278)+1,0)</f>
        <v>278</v>
      </c>
      <c r="B279" s="187" t="s">
        <v>637</v>
      </c>
      <c r="D279" t="str">
        <f>IFERROR(VLOOKUP(ROWS($D$2:D279),$A$2:$B$1416,2,0),"")</f>
        <v>Wakefield</v>
      </c>
    </row>
    <row r="280" spans="1:4" x14ac:dyDescent="0.25">
      <c r="A280">
        <f>IF(ISNUMBER(SEARCH('PRP LA trend tool 2015-23'!$F$3,B280)),MAX($A$1:A279)+1,0)</f>
        <v>279</v>
      </c>
      <c r="B280" s="187" t="s">
        <v>639</v>
      </c>
      <c r="D280" t="str">
        <f>IFERROR(VLOOKUP(ROWS($D$2:D280),$A$2:$B$1416,2,0),"")</f>
        <v>Walsall</v>
      </c>
    </row>
    <row r="281" spans="1:4" x14ac:dyDescent="0.25">
      <c r="A281">
        <f>IF(ISNUMBER(SEARCH('PRP LA trend tool 2015-23'!$F$3,B281)),MAX($A$1:A280)+1,0)</f>
        <v>280</v>
      </c>
      <c r="B281" s="187" t="s">
        <v>641</v>
      </c>
      <c r="D281" t="str">
        <f>IFERROR(VLOOKUP(ROWS($D$2:D281),$A$2:$B$1416,2,0),"")</f>
        <v>Waltham Forest</v>
      </c>
    </row>
    <row r="282" spans="1:4" x14ac:dyDescent="0.25">
      <c r="A282">
        <f>IF(ISNUMBER(SEARCH('PRP LA trend tool 2015-23'!$F$3,B282)),MAX($A$1:A281)+1,0)</f>
        <v>281</v>
      </c>
      <c r="B282" s="187" t="s">
        <v>643</v>
      </c>
      <c r="D282" t="str">
        <f>IFERROR(VLOOKUP(ROWS($D$2:D282),$A$2:$B$1416,2,0),"")</f>
        <v>Wandsworth</v>
      </c>
    </row>
    <row r="283" spans="1:4" x14ac:dyDescent="0.25">
      <c r="A283">
        <f>IF(ISNUMBER(SEARCH('PRP LA trend tool 2015-23'!$F$3,B283)),MAX($A$1:A282)+1,0)</f>
        <v>282</v>
      </c>
      <c r="B283" s="187" t="s">
        <v>645</v>
      </c>
      <c r="D283" t="str">
        <f>IFERROR(VLOOKUP(ROWS($D$2:D283),$A$2:$B$1416,2,0),"")</f>
        <v>Warrington</v>
      </c>
    </row>
    <row r="284" spans="1:4" x14ac:dyDescent="0.25">
      <c r="A284">
        <f>IF(ISNUMBER(SEARCH('PRP LA trend tool 2015-23'!$F$3,B284)),MAX($A$1:A283)+1,0)</f>
        <v>283</v>
      </c>
      <c r="B284" s="187" t="s">
        <v>647</v>
      </c>
      <c r="D284" t="str">
        <f>IFERROR(VLOOKUP(ROWS($D$2:D284),$A$2:$B$1416,2,0),"")</f>
        <v>Warwick</v>
      </c>
    </row>
    <row r="285" spans="1:4" x14ac:dyDescent="0.25">
      <c r="A285">
        <f>IF(ISNUMBER(SEARCH('PRP LA trend tool 2015-23'!$F$3,B285)),MAX($A$1:A284)+1,0)</f>
        <v>284</v>
      </c>
      <c r="B285" s="187" t="s">
        <v>649</v>
      </c>
      <c r="D285" t="str">
        <f>IFERROR(VLOOKUP(ROWS($D$2:D285),$A$2:$B$1416,2,0),"")</f>
        <v>Watford</v>
      </c>
    </row>
    <row r="286" spans="1:4" x14ac:dyDescent="0.25">
      <c r="A286">
        <f>IF(ISNUMBER(SEARCH('PRP LA trend tool 2015-23'!$F$3,B286)),MAX($A$1:A285)+1,0)</f>
        <v>285</v>
      </c>
      <c r="B286" s="187" t="s">
        <v>651</v>
      </c>
      <c r="D286" t="str">
        <f>IFERROR(VLOOKUP(ROWS($D$2:D286),$A$2:$B$1416,2,0),"")</f>
        <v>Waverley</v>
      </c>
    </row>
    <row r="287" spans="1:4" x14ac:dyDescent="0.25">
      <c r="A287">
        <f>IF(ISNUMBER(SEARCH('PRP LA trend tool 2015-23'!$F$3,B287)),MAX($A$1:A286)+1,0)</f>
        <v>286</v>
      </c>
      <c r="B287" s="187" t="s">
        <v>653</v>
      </c>
      <c r="D287" t="str">
        <f>IFERROR(VLOOKUP(ROWS($D$2:D287),$A$2:$B$1416,2,0),"")</f>
        <v>Wealden</v>
      </c>
    </row>
    <row r="288" spans="1:4" x14ac:dyDescent="0.25">
      <c r="A288">
        <f>IF(ISNUMBER(SEARCH('PRP LA trend tool 2015-23'!$F$3,B288)),MAX($A$1:A287)+1,0)</f>
        <v>287</v>
      </c>
      <c r="B288" s="187" t="s">
        <v>655</v>
      </c>
      <c r="D288" t="str">
        <f>IFERROR(VLOOKUP(ROWS($D$2:D288),$A$2:$B$1416,2,0),"")</f>
        <v>Welwyn Hatfield</v>
      </c>
    </row>
    <row r="289" spans="1:4" x14ac:dyDescent="0.25">
      <c r="A289">
        <f>IF(ISNUMBER(SEARCH('PRP LA trend tool 2015-23'!$F$3,B289)),MAX($A$1:A288)+1,0)</f>
        <v>288</v>
      </c>
      <c r="B289" s="187" t="s">
        <v>657</v>
      </c>
      <c r="D289" t="str">
        <f>IFERROR(VLOOKUP(ROWS($D$2:D289),$A$2:$B$1416,2,0),"")</f>
        <v>West Berkshire</v>
      </c>
    </row>
    <row r="290" spans="1:4" x14ac:dyDescent="0.25">
      <c r="A290">
        <f>IF(ISNUMBER(SEARCH('PRP LA trend tool 2015-23'!$F$3,B290)),MAX($A$1:A289)+1,0)</f>
        <v>289</v>
      </c>
      <c r="B290" s="187" t="s">
        <v>659</v>
      </c>
      <c r="D290" t="str">
        <f>IFERROR(VLOOKUP(ROWS($D$2:D290),$A$2:$B$1416,2,0),"")</f>
        <v>West Devon</v>
      </c>
    </row>
    <row r="291" spans="1:4" x14ac:dyDescent="0.25">
      <c r="A291">
        <f>IF(ISNUMBER(SEARCH('PRP LA trend tool 2015-23'!$F$3,B291)),MAX($A$1:A290)+1,0)</f>
        <v>290</v>
      </c>
      <c r="B291" s="187" t="s">
        <v>661</v>
      </c>
      <c r="D291" t="str">
        <f>IFERROR(VLOOKUP(ROWS($D$2:D291),$A$2:$B$1416,2,0),"")</f>
        <v>West Lancashire</v>
      </c>
    </row>
    <row r="292" spans="1:4" x14ac:dyDescent="0.25">
      <c r="A292">
        <f>IF(ISNUMBER(SEARCH('PRP LA trend tool 2015-23'!$F$3,B292)),MAX($A$1:A291)+1,0)</f>
        <v>291</v>
      </c>
      <c r="B292" s="187" t="s">
        <v>663</v>
      </c>
      <c r="D292" t="str">
        <f>IFERROR(VLOOKUP(ROWS($D$2:D292),$A$2:$B$1416,2,0),"")</f>
        <v>West Lindsey</v>
      </c>
    </row>
    <row r="293" spans="1:4" x14ac:dyDescent="0.25">
      <c r="A293">
        <f>IF(ISNUMBER(SEARCH('PRP LA trend tool 2015-23'!$F$3,B293)),MAX($A$1:A292)+1,0)</f>
        <v>292</v>
      </c>
      <c r="B293" s="187" t="s">
        <v>798</v>
      </c>
      <c r="D293" t="str">
        <f>IFERROR(VLOOKUP(ROWS($D$2:D293),$A$2:$B$1416,2,0),"")</f>
        <v>West Northamptonshire</v>
      </c>
    </row>
    <row r="294" spans="1:4" x14ac:dyDescent="0.25">
      <c r="A294">
        <f>IF(ISNUMBER(SEARCH('PRP LA trend tool 2015-23'!$F$3,B294)),MAX($A$1:A293)+1,0)</f>
        <v>293</v>
      </c>
      <c r="B294" s="187" t="s">
        <v>665</v>
      </c>
      <c r="D294" t="str">
        <f>IFERROR(VLOOKUP(ROWS($D$2:D294),$A$2:$B$1416,2,0),"")</f>
        <v>West Oxfordshire</v>
      </c>
    </row>
    <row r="295" spans="1:4" x14ac:dyDescent="0.25">
      <c r="A295">
        <f>IF(ISNUMBER(SEARCH('PRP LA trend tool 2015-23'!$F$3,B295)),MAX($A$1:A294)+1,0)</f>
        <v>294</v>
      </c>
      <c r="B295" s="187" t="s">
        <v>667</v>
      </c>
      <c r="D295" t="str">
        <f>IFERROR(VLOOKUP(ROWS($D$2:D295),$A$2:$B$1416,2,0),"")</f>
        <v>West Suffolk</v>
      </c>
    </row>
    <row r="296" spans="1:4" x14ac:dyDescent="0.25">
      <c r="A296">
        <f>IF(ISNUMBER(SEARCH('PRP LA trend tool 2015-23'!$F$3,B296)),MAX($A$1:A295)+1,0)</f>
        <v>295</v>
      </c>
      <c r="B296" s="187" t="s">
        <v>669</v>
      </c>
      <c r="D296" t="str">
        <f>IFERROR(VLOOKUP(ROWS($D$2:D296),$A$2:$B$1416,2,0),"")</f>
        <v>Westminster</v>
      </c>
    </row>
    <row r="297" spans="1:4" x14ac:dyDescent="0.25">
      <c r="A297">
        <f>IF(ISNUMBER(SEARCH('PRP LA trend tool 2015-23'!$F$3,B297)),MAX($A$1:A296)+1,0)</f>
        <v>296</v>
      </c>
      <c r="B297" s="187" t="s">
        <v>671</v>
      </c>
      <c r="D297" t="str">
        <f>IFERROR(VLOOKUP(ROWS($D$2:D297),$A$2:$B$1416,2,0),"")</f>
        <v>Wigan</v>
      </c>
    </row>
    <row r="298" spans="1:4" x14ac:dyDescent="0.25">
      <c r="A298">
        <f>IF(ISNUMBER(SEARCH('PRP LA trend tool 2015-23'!$F$3,B298)),MAX($A$1:A297)+1,0)</f>
        <v>297</v>
      </c>
      <c r="B298" s="187" t="s">
        <v>673</v>
      </c>
      <c r="D298" t="str">
        <f>IFERROR(VLOOKUP(ROWS($D$2:D298),$A$2:$B$1416,2,0),"")</f>
        <v>Wiltshire</v>
      </c>
    </row>
    <row r="299" spans="1:4" x14ac:dyDescent="0.25">
      <c r="A299">
        <f>IF(ISNUMBER(SEARCH('PRP LA trend tool 2015-23'!$F$3,B299)),MAX($A$1:A298)+1,0)</f>
        <v>298</v>
      </c>
      <c r="B299" s="187" t="s">
        <v>675</v>
      </c>
      <c r="D299" t="str">
        <f>IFERROR(VLOOKUP(ROWS($D$2:D299),$A$2:$B$1416,2,0),"")</f>
        <v>Winchester</v>
      </c>
    </row>
    <row r="300" spans="1:4" x14ac:dyDescent="0.25">
      <c r="A300">
        <f>IF(ISNUMBER(SEARCH('PRP LA trend tool 2015-23'!$F$3,B300)),MAX($A$1:A299)+1,0)</f>
        <v>299</v>
      </c>
      <c r="B300" s="187" t="s">
        <v>677</v>
      </c>
      <c r="D300" t="str">
        <f>IFERROR(VLOOKUP(ROWS($D$2:D300),$A$2:$B$1416,2,0),"")</f>
        <v>Windsor and Maidenhead</v>
      </c>
    </row>
    <row r="301" spans="1:4" x14ac:dyDescent="0.25">
      <c r="A301">
        <f>IF(ISNUMBER(SEARCH('PRP LA trend tool 2015-23'!$F$3,B301)),MAX($A$1:A300)+1,0)</f>
        <v>300</v>
      </c>
      <c r="B301" s="187" t="s">
        <v>679</v>
      </c>
      <c r="D301" t="str">
        <f>IFERROR(VLOOKUP(ROWS($D$2:D301),$A$2:$B$1416,2,0),"")</f>
        <v>Wirral</v>
      </c>
    </row>
    <row r="302" spans="1:4" x14ac:dyDescent="0.25">
      <c r="A302">
        <f>IF(ISNUMBER(SEARCH('PRP LA trend tool 2015-23'!$F$3,B302)),MAX($A$1:A301)+1,0)</f>
        <v>301</v>
      </c>
      <c r="B302" s="187" t="s">
        <v>681</v>
      </c>
      <c r="D302" t="str">
        <f>IFERROR(VLOOKUP(ROWS($D$2:D302),$A$2:$B$1416,2,0),"")</f>
        <v>Woking</v>
      </c>
    </row>
    <row r="303" spans="1:4" x14ac:dyDescent="0.25">
      <c r="A303">
        <f>IF(ISNUMBER(SEARCH('PRP LA trend tool 2015-23'!$F$3,B303)),MAX($A$1:A302)+1,0)</f>
        <v>302</v>
      </c>
      <c r="B303" s="187" t="s">
        <v>683</v>
      </c>
      <c r="D303" t="str">
        <f>IFERROR(VLOOKUP(ROWS($D$2:D303),$A$2:$B$1416,2,0),"")</f>
        <v>Wokingham</v>
      </c>
    </row>
    <row r="304" spans="1:4" x14ac:dyDescent="0.25">
      <c r="A304">
        <f>IF(ISNUMBER(SEARCH('PRP LA trend tool 2015-23'!$F$3,B304)),MAX($A$1:A303)+1,0)</f>
        <v>303</v>
      </c>
      <c r="B304" s="187" t="s">
        <v>685</v>
      </c>
      <c r="D304" t="str">
        <f>IFERROR(VLOOKUP(ROWS($D$2:D304),$A$2:$B$1416,2,0),"")</f>
        <v>Wolverhampton</v>
      </c>
    </row>
    <row r="305" spans="1:4" x14ac:dyDescent="0.25">
      <c r="A305">
        <f>IF(ISNUMBER(SEARCH('PRP LA trend tool 2015-23'!$F$3,B305)),MAX($A$1:A304)+1,0)</f>
        <v>304</v>
      </c>
      <c r="B305" s="187" t="s">
        <v>687</v>
      </c>
      <c r="D305" t="str">
        <f>IFERROR(VLOOKUP(ROWS($D$2:D305),$A$2:$B$1416,2,0),"")</f>
        <v>Worcester</v>
      </c>
    </row>
    <row r="306" spans="1:4" x14ac:dyDescent="0.25">
      <c r="A306">
        <f>IF(ISNUMBER(SEARCH('PRP LA trend tool 2015-23'!$F$3,B306)),MAX($A$1:A305)+1,0)</f>
        <v>305</v>
      </c>
      <c r="B306" s="187" t="s">
        <v>689</v>
      </c>
      <c r="D306" t="str">
        <f>IFERROR(VLOOKUP(ROWS($D$2:D306),$A$2:$B$1416,2,0),"")</f>
        <v>Worthing</v>
      </c>
    </row>
    <row r="307" spans="1:4" x14ac:dyDescent="0.25">
      <c r="A307">
        <f>IF(ISNUMBER(SEARCH('PRP LA trend tool 2015-23'!$F$3,B307)),MAX($A$1:A306)+1,0)</f>
        <v>306</v>
      </c>
      <c r="B307" s="187" t="s">
        <v>691</v>
      </c>
      <c r="D307" t="str">
        <f>IFERROR(VLOOKUP(ROWS($D$2:D307),$A$2:$B$1416,2,0),"")</f>
        <v>Wychavon</v>
      </c>
    </row>
    <row r="308" spans="1:4" x14ac:dyDescent="0.25">
      <c r="A308">
        <f>IF(ISNUMBER(SEARCH('PRP LA trend tool 2015-23'!$F$3,B308)),MAX($A$1:A307)+1,0)</f>
        <v>307</v>
      </c>
      <c r="B308" s="187" t="s">
        <v>693</v>
      </c>
      <c r="D308" t="str">
        <f>IFERROR(VLOOKUP(ROWS($D$2:D308),$A$2:$B$1416,2,0),"")</f>
        <v>Wyre</v>
      </c>
    </row>
    <row r="309" spans="1:4" x14ac:dyDescent="0.25">
      <c r="A309">
        <f>IF(ISNUMBER(SEARCH('PRP LA trend tool 2015-23'!$F$3,B309)),MAX($A$1:A308)+1,0)</f>
        <v>308</v>
      </c>
      <c r="B309" s="187" t="s">
        <v>695</v>
      </c>
      <c r="D309" t="str">
        <f>IFERROR(VLOOKUP(ROWS($D$2:D309),$A$2:$B$1416,2,0),"")</f>
        <v>Wyre Forest</v>
      </c>
    </row>
    <row r="310" spans="1:4" x14ac:dyDescent="0.25">
      <c r="A310">
        <f>IF(ISNUMBER(SEARCH('PRP LA trend tool 2015-23'!$F$3,B310)),MAX($A$1:A309)+1,0)</f>
        <v>309</v>
      </c>
      <c r="B310" s="187" t="s">
        <v>697</v>
      </c>
      <c r="D310" t="str">
        <f>IFERROR(VLOOKUP(ROWS($D$2:D310),$A$2:$B$1416,2,0),"")</f>
        <v>York</v>
      </c>
    </row>
  </sheetData>
  <pageMargins left="0.7" right="0.7" top="0.75" bottom="0.75" header="0.3" footer="0.3"/>
  <pageSetup paperSize="9" orientation="portrait" r:id="rId1"/>
  <headerFooter>
    <oddFooter>&amp;C&amp;1#&amp;"Calibri"&amp;12&amp;K0078D7OFFICIAL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D9C48-35FA-431D-9C0D-86AFC225CC93}">
  <sheetPr codeName="Sheet9">
    <tabColor rgb="FF59468D"/>
  </sheetPr>
  <dimension ref="A1:D73"/>
  <sheetViews>
    <sheetView zoomScaleNormal="100" workbookViewId="0">
      <selection activeCell="B8" sqref="B8"/>
    </sheetView>
  </sheetViews>
  <sheetFormatPr defaultColWidth="0" defaultRowHeight="12.75" customHeight="1" zeroHeight="1" x14ac:dyDescent="0.25"/>
  <cols>
    <col min="1" max="1" width="9.140625" style="170" customWidth="1"/>
    <col min="2" max="2" width="124.7109375" style="170" customWidth="1"/>
    <col min="3" max="3" width="12.140625" style="170" customWidth="1"/>
    <col min="4" max="4" width="4.28515625" style="170" customWidth="1"/>
    <col min="5" max="16384" width="9.140625" style="187" hidden="1"/>
  </cols>
  <sheetData>
    <row r="1" spans="1:3" ht="23.25" customHeight="1" x14ac:dyDescent="0.25"/>
    <row r="2" spans="1:3" ht="23.25" customHeight="1" x14ac:dyDescent="0.4">
      <c r="C2" s="263" t="s">
        <v>803</v>
      </c>
    </row>
    <row r="3" spans="1:3" ht="23.25" customHeight="1" x14ac:dyDescent="0.35">
      <c r="A3" s="264"/>
    </row>
    <row r="4" spans="1:3" ht="23.25" customHeight="1" x14ac:dyDescent="0.35">
      <c r="A4" s="264"/>
    </row>
    <row r="5" spans="1:3" ht="23.25" customHeight="1" x14ac:dyDescent="0.25"/>
    <row r="6" spans="1:3" ht="23.25" x14ac:dyDescent="0.35">
      <c r="B6" s="265" t="s">
        <v>719</v>
      </c>
    </row>
    <row r="7" spans="1:3" ht="23.25" x14ac:dyDescent="0.35">
      <c r="B7" s="265"/>
    </row>
    <row r="8" spans="1:3" ht="60" x14ac:dyDescent="0.25">
      <c r="B8" s="266" t="s">
        <v>813</v>
      </c>
    </row>
    <row r="9" spans="1:3" ht="15" x14ac:dyDescent="0.25">
      <c r="B9" s="267"/>
    </row>
    <row r="10" spans="1:3" ht="15" x14ac:dyDescent="0.25">
      <c r="B10" s="267"/>
    </row>
    <row r="11" spans="1:3" ht="15.75" x14ac:dyDescent="0.25">
      <c r="B11" s="268" t="s">
        <v>731</v>
      </c>
    </row>
    <row r="12" spans="1:3" ht="79.5" customHeight="1" x14ac:dyDescent="0.25">
      <c r="B12" s="269" t="s">
        <v>732</v>
      </c>
    </row>
    <row r="13" spans="1:3" ht="15" x14ac:dyDescent="0.25">
      <c r="B13" s="269"/>
    </row>
    <row r="14" spans="1:3" ht="15.75" x14ac:dyDescent="0.25">
      <c r="B14" s="268" t="s">
        <v>779</v>
      </c>
    </row>
    <row r="15" spans="1:3" ht="15" x14ac:dyDescent="0.25">
      <c r="B15" s="269" t="s">
        <v>780</v>
      </c>
    </row>
    <row r="16" spans="1:3" ht="15" x14ac:dyDescent="0.25">
      <c r="B16" s="269"/>
    </row>
    <row r="17" spans="2:2" ht="15.75" x14ac:dyDescent="0.25">
      <c r="B17" s="268" t="s">
        <v>784</v>
      </c>
    </row>
    <row r="18" spans="2:2" ht="30" x14ac:dyDescent="0.25">
      <c r="B18" s="269" t="s">
        <v>783</v>
      </c>
    </row>
    <row r="19" spans="2:2" ht="15" x14ac:dyDescent="0.25">
      <c r="B19" s="269"/>
    </row>
    <row r="20" spans="2:2" ht="15.75" x14ac:dyDescent="0.25">
      <c r="B20" s="268" t="s">
        <v>733</v>
      </c>
    </row>
    <row r="21" spans="2:2" ht="30.95" customHeight="1" x14ac:dyDescent="0.25">
      <c r="B21" s="269" t="s">
        <v>734</v>
      </c>
    </row>
    <row r="22" spans="2:2" ht="15" x14ac:dyDescent="0.25">
      <c r="B22" s="269"/>
    </row>
    <row r="23" spans="2:2" ht="15.75" x14ac:dyDescent="0.25">
      <c r="B23" s="268" t="s">
        <v>24</v>
      </c>
    </row>
    <row r="24" spans="2:2" ht="15" x14ac:dyDescent="0.25">
      <c r="B24" s="269" t="s">
        <v>735</v>
      </c>
    </row>
    <row r="25" spans="2:2" ht="15" x14ac:dyDescent="0.25">
      <c r="B25" s="269"/>
    </row>
    <row r="26" spans="2:2" ht="15.75" x14ac:dyDescent="0.25">
      <c r="B26" s="268" t="s">
        <v>736</v>
      </c>
    </row>
    <row r="27" spans="2:2" ht="15" x14ac:dyDescent="0.25">
      <c r="B27" s="269" t="s">
        <v>781</v>
      </c>
    </row>
    <row r="28" spans="2:2" ht="15" x14ac:dyDescent="0.25">
      <c r="B28" s="269"/>
    </row>
    <row r="29" spans="2:2" ht="15.75" x14ac:dyDescent="0.25">
      <c r="B29" s="268" t="s">
        <v>737</v>
      </c>
    </row>
    <row r="30" spans="2:2" ht="30" x14ac:dyDescent="0.25">
      <c r="B30" s="269" t="s">
        <v>738</v>
      </c>
    </row>
    <row r="31" spans="2:2" ht="15" x14ac:dyDescent="0.25">
      <c r="B31" s="269"/>
    </row>
    <row r="32" spans="2:2" ht="15.75" x14ac:dyDescent="0.25">
      <c r="B32" s="268" t="s">
        <v>739</v>
      </c>
    </row>
    <row r="33" spans="2:2" ht="60" x14ac:dyDescent="0.25">
      <c r="B33" s="269" t="s">
        <v>790</v>
      </c>
    </row>
    <row r="34" spans="2:2" ht="15" x14ac:dyDescent="0.25">
      <c r="B34" s="269"/>
    </row>
    <row r="35" spans="2:2" ht="15.75" x14ac:dyDescent="0.25">
      <c r="B35" s="268" t="s">
        <v>11</v>
      </c>
    </row>
    <row r="36" spans="2:2" ht="45" x14ac:dyDescent="0.25">
      <c r="B36" s="269" t="s">
        <v>740</v>
      </c>
    </row>
    <row r="37" spans="2:2" ht="60" x14ac:dyDescent="0.25">
      <c r="B37" s="269" t="s">
        <v>741</v>
      </c>
    </row>
    <row r="38" spans="2:2" ht="30" x14ac:dyDescent="0.25">
      <c r="B38" s="269" t="s">
        <v>742</v>
      </c>
    </row>
    <row r="39" spans="2:2" ht="15" x14ac:dyDescent="0.25">
      <c r="B39" s="269"/>
    </row>
    <row r="40" spans="2:2" ht="15.75" x14ac:dyDescent="0.25">
      <c r="B40" s="268" t="s">
        <v>7</v>
      </c>
    </row>
    <row r="41" spans="2:2" ht="60" x14ac:dyDescent="0.25">
      <c r="B41" s="269" t="s">
        <v>743</v>
      </c>
    </row>
    <row r="42" spans="2:2" ht="15" x14ac:dyDescent="0.25">
      <c r="B42" s="269"/>
    </row>
    <row r="43" spans="2:2" ht="15.75" x14ac:dyDescent="0.25">
      <c r="B43" s="268" t="s">
        <v>18</v>
      </c>
    </row>
    <row r="44" spans="2:2" ht="15" x14ac:dyDescent="0.25">
      <c r="B44" s="269" t="s">
        <v>744</v>
      </c>
    </row>
    <row r="45" spans="2:2" ht="15" x14ac:dyDescent="0.25">
      <c r="B45" s="269"/>
    </row>
    <row r="46" spans="2:2" ht="15.75" x14ac:dyDescent="0.25">
      <c r="B46" s="268" t="s">
        <v>745</v>
      </c>
    </row>
    <row r="47" spans="2:2" ht="45" x14ac:dyDescent="0.25">
      <c r="B47" s="269" t="s">
        <v>746</v>
      </c>
    </row>
    <row r="48" spans="2:2" ht="15" x14ac:dyDescent="0.25">
      <c r="B48" s="269"/>
    </row>
    <row r="49" spans="2:2" ht="15.75" x14ac:dyDescent="0.25">
      <c r="B49" s="268" t="s">
        <v>747</v>
      </c>
    </row>
    <row r="50" spans="2:2" ht="30" x14ac:dyDescent="0.25">
      <c r="B50" s="269" t="s">
        <v>748</v>
      </c>
    </row>
    <row r="51" spans="2:2" ht="15" x14ac:dyDescent="0.25">
      <c r="B51" s="269"/>
    </row>
    <row r="52" spans="2:2" ht="15.75" x14ac:dyDescent="0.25">
      <c r="B52" s="268" t="s">
        <v>749</v>
      </c>
    </row>
    <row r="53" spans="2:2" ht="30" x14ac:dyDescent="0.25">
      <c r="B53" s="269" t="s">
        <v>787</v>
      </c>
    </row>
    <row r="54" spans="2:2" ht="15" x14ac:dyDescent="0.25">
      <c r="B54" s="269"/>
    </row>
    <row r="55" spans="2:2" ht="15.75" x14ac:dyDescent="0.25">
      <c r="B55" s="268" t="s">
        <v>750</v>
      </c>
    </row>
    <row r="56" spans="2:2" ht="75" x14ac:dyDescent="0.25">
      <c r="B56" s="269" t="s">
        <v>751</v>
      </c>
    </row>
    <row r="57" spans="2:2" ht="15" x14ac:dyDescent="0.25">
      <c r="B57" s="269"/>
    </row>
    <row r="58" spans="2:2" ht="15.75" x14ac:dyDescent="0.25">
      <c r="B58" s="268" t="s">
        <v>752</v>
      </c>
    </row>
    <row r="59" spans="2:2" ht="60.75" customHeight="1" x14ac:dyDescent="0.25">
      <c r="B59" s="269" t="s">
        <v>753</v>
      </c>
    </row>
    <row r="60" spans="2:2" ht="15" x14ac:dyDescent="0.25">
      <c r="B60" s="269"/>
    </row>
    <row r="61" spans="2:2" ht="15.75" x14ac:dyDescent="0.25">
      <c r="B61" s="268" t="s">
        <v>754</v>
      </c>
    </row>
    <row r="62" spans="2:2" ht="15" x14ac:dyDescent="0.25">
      <c r="B62" s="269" t="s">
        <v>755</v>
      </c>
    </row>
    <row r="63" spans="2:2" ht="15" x14ac:dyDescent="0.25">
      <c r="B63" s="269"/>
    </row>
    <row r="64" spans="2:2" ht="15.75" x14ac:dyDescent="0.25">
      <c r="B64" s="268" t="s">
        <v>756</v>
      </c>
    </row>
    <row r="65" spans="2:2" ht="30" x14ac:dyDescent="0.25">
      <c r="B65" s="269" t="s">
        <v>757</v>
      </c>
    </row>
    <row r="66" spans="2:2" ht="15" x14ac:dyDescent="0.25">
      <c r="B66" s="269"/>
    </row>
    <row r="67" spans="2:2" ht="15.75" x14ac:dyDescent="0.25">
      <c r="B67" s="268" t="s">
        <v>758</v>
      </c>
    </row>
    <row r="68" spans="2:2" ht="45" x14ac:dyDescent="0.25">
      <c r="B68" s="269" t="s">
        <v>759</v>
      </c>
    </row>
    <row r="69" spans="2:2" ht="15" x14ac:dyDescent="0.25">
      <c r="B69" s="269"/>
    </row>
    <row r="70" spans="2:2" ht="15.75" x14ac:dyDescent="0.25">
      <c r="B70" s="268" t="s">
        <v>9</v>
      </c>
    </row>
    <row r="71" spans="2:2" ht="34.5" customHeight="1" x14ac:dyDescent="0.25">
      <c r="B71" s="269" t="s">
        <v>782</v>
      </c>
    </row>
    <row r="72" spans="2:2" ht="15" x14ac:dyDescent="0.25">
      <c r="B72" s="269"/>
    </row>
    <row r="73" spans="2:2" ht="15" hidden="1" x14ac:dyDescent="0.25"/>
  </sheetData>
  <sheetProtection algorithmName="SHA-512" hashValue="54TGsH8eTGkDgj7BdeRuYPYOKve8Bt/DAwiX9D/BLkn+56dIIz9saHcp9RDlxKWfarMvXZ/Fj/wdeRH0glPj2A==" saltValue="lDh8DuAALoueRI80Jbw2yw==" spinCount="100000" sheet="1" formatColumns="0" formatRows="0"/>
  <hyperlinks>
    <hyperlink ref="B33" r:id="rId1" display="https://www.london.gov.uk/what-we-do/housing-and-land/homes-londoners-affordable-homes-programmes/homes-londoners-affordable-homes-programme-2016-2023" xr:uid="{D292F584-AD15-4C72-9699-093481857E1B}"/>
  </hyperlinks>
  <pageMargins left="0.70866141732283472" right="0.70866141732283472" top="0.74803149606299213" bottom="0.74803149606299213" header="0.31496062992125984" footer="0.31496062992125984"/>
  <pageSetup paperSize="9" scale="59" fitToHeight="2" orientation="portrait" r:id="rId2"/>
  <headerFooter>
    <oddFooter>&amp;C&amp;1#&amp;"Calibri"&amp;12&amp;K0078D7OFFICIAL</oddFooter>
  </headerFooter>
  <rowBreaks count="1" manualBreakCount="1">
    <brk id="51"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970D8-B3EA-4CBA-AEBC-AFC4A0313915}">
  <sheetPr codeName="Sheet10">
    <tabColor rgb="FF59468D"/>
    <pageSetUpPr fitToPage="1"/>
  </sheetPr>
  <dimension ref="A1:V28"/>
  <sheetViews>
    <sheetView workbookViewId="0">
      <selection activeCell="C8" sqref="C8"/>
    </sheetView>
  </sheetViews>
  <sheetFormatPr defaultColWidth="0" defaultRowHeight="15" x14ac:dyDescent="0.25"/>
  <cols>
    <col min="1" max="1" width="1.5703125" style="170" customWidth="1"/>
    <col min="2" max="2" width="11" style="284" customWidth="1"/>
    <col min="3" max="3" width="24.5703125" style="281" customWidth="1"/>
    <col min="4" max="4" width="113.85546875" style="281" customWidth="1"/>
    <col min="5" max="5" width="4.5703125" style="281" customWidth="1"/>
    <col min="6" max="22" width="0" style="281" hidden="1" customWidth="1"/>
    <col min="23" max="16384" width="9.140625" style="281" hidden="1"/>
  </cols>
  <sheetData>
    <row r="1" spans="1:21" s="270" customFormat="1" ht="23.25" x14ac:dyDescent="0.35">
      <c r="B1" s="440"/>
      <c r="C1" s="440"/>
      <c r="D1" s="440"/>
      <c r="E1" s="271"/>
      <c r="F1" s="271"/>
      <c r="G1" s="271"/>
      <c r="H1" s="271"/>
      <c r="I1" s="271"/>
      <c r="J1" s="271"/>
      <c r="K1" s="271"/>
      <c r="L1" s="271"/>
      <c r="M1" s="271"/>
      <c r="N1" s="271"/>
      <c r="O1" s="271"/>
      <c r="P1" s="271"/>
      <c r="Q1" s="271"/>
      <c r="R1" s="271"/>
      <c r="S1" s="271"/>
      <c r="T1" s="271"/>
    </row>
    <row r="2" spans="1:21" s="270" customFormat="1" ht="30" x14ac:dyDescent="0.4">
      <c r="B2" s="272"/>
      <c r="C2" s="272"/>
      <c r="D2" s="263" t="s">
        <v>803</v>
      </c>
      <c r="E2" s="170"/>
      <c r="F2" s="170"/>
      <c r="G2" s="170"/>
      <c r="H2" s="170"/>
      <c r="I2" s="170"/>
      <c r="J2" s="170"/>
      <c r="K2" s="170"/>
      <c r="L2" s="170"/>
      <c r="M2" s="170"/>
      <c r="N2" s="170"/>
      <c r="O2" s="170"/>
      <c r="P2" s="170"/>
      <c r="Q2" s="170"/>
      <c r="R2" s="170"/>
      <c r="S2" s="170"/>
      <c r="T2" s="170"/>
    </row>
    <row r="3" spans="1:21" s="270" customFormat="1" ht="30" x14ac:dyDescent="0.4">
      <c r="B3" s="272"/>
      <c r="C3" s="272"/>
      <c r="D3" s="263"/>
      <c r="E3" s="170"/>
      <c r="F3" s="170"/>
      <c r="G3" s="170"/>
      <c r="H3" s="170"/>
      <c r="I3" s="170"/>
      <c r="J3" s="170"/>
      <c r="K3" s="170"/>
      <c r="L3" s="170"/>
      <c r="M3" s="170"/>
      <c r="N3" s="170"/>
      <c r="O3" s="170"/>
      <c r="P3" s="170"/>
      <c r="Q3" s="170"/>
      <c r="R3" s="170"/>
      <c r="S3" s="170"/>
      <c r="T3" s="170"/>
    </row>
    <row r="4" spans="1:21" s="270" customFormat="1" ht="23.25" x14ac:dyDescent="0.35">
      <c r="B4" s="272"/>
      <c r="C4" s="272"/>
      <c r="D4" s="272"/>
      <c r="E4" s="170"/>
      <c r="F4" s="170"/>
      <c r="G4" s="170"/>
      <c r="H4" s="170"/>
      <c r="I4" s="170"/>
      <c r="J4" s="170"/>
      <c r="K4" s="170"/>
      <c r="L4" s="170"/>
      <c r="M4" s="170"/>
      <c r="N4" s="170"/>
      <c r="O4" s="170"/>
      <c r="P4" s="170"/>
      <c r="Q4" s="170"/>
      <c r="R4" s="170"/>
      <c r="S4" s="170"/>
      <c r="T4" s="170"/>
    </row>
    <row r="5" spans="1:21" s="270" customFormat="1" ht="23.25" x14ac:dyDescent="0.35">
      <c r="B5" s="272"/>
      <c r="C5" s="272"/>
      <c r="D5" s="272"/>
      <c r="E5" s="170"/>
      <c r="F5" s="170"/>
      <c r="G5" s="170"/>
      <c r="H5" s="170"/>
      <c r="I5" s="170"/>
      <c r="J5" s="170"/>
      <c r="K5" s="170"/>
      <c r="L5" s="170"/>
      <c r="M5" s="170"/>
      <c r="N5" s="170"/>
      <c r="O5" s="170"/>
      <c r="P5" s="170"/>
      <c r="Q5" s="170"/>
      <c r="R5" s="170"/>
      <c r="S5" s="170"/>
      <c r="T5" s="170"/>
    </row>
    <row r="6" spans="1:21" s="273" customFormat="1" ht="15.75" x14ac:dyDescent="0.25">
      <c r="B6" s="274"/>
      <c r="C6" s="275"/>
      <c r="D6" s="275"/>
      <c r="E6" s="276"/>
      <c r="F6" s="276"/>
      <c r="G6" s="276"/>
      <c r="H6" s="276"/>
      <c r="I6" s="277"/>
      <c r="J6" s="277"/>
      <c r="K6" s="278"/>
      <c r="L6" s="276"/>
      <c r="M6" s="276"/>
      <c r="N6" s="277"/>
      <c r="O6" s="278"/>
      <c r="P6" s="276"/>
      <c r="Q6" s="277"/>
      <c r="R6" s="278"/>
      <c r="S6" s="276"/>
      <c r="T6" s="279"/>
      <c r="U6" s="280"/>
    </row>
    <row r="7" spans="1:21" ht="15.75" x14ac:dyDescent="0.25">
      <c r="A7" s="325"/>
      <c r="B7" s="326" t="s">
        <v>760</v>
      </c>
      <c r="C7" s="282" t="s">
        <v>761</v>
      </c>
      <c r="D7" s="283" t="s">
        <v>762</v>
      </c>
      <c r="E7" s="284"/>
    </row>
    <row r="8" spans="1:21" x14ac:dyDescent="0.25">
      <c r="A8" s="281"/>
      <c r="B8" s="285">
        <v>1</v>
      </c>
      <c r="C8" s="286" t="s">
        <v>812</v>
      </c>
      <c r="D8" s="287" t="s">
        <v>763</v>
      </c>
      <c r="E8" s="284"/>
    </row>
    <row r="9" spans="1:21" x14ac:dyDescent="0.25">
      <c r="A9" s="281"/>
      <c r="B9" s="288"/>
      <c r="C9" s="286"/>
      <c r="D9" s="287"/>
      <c r="E9" s="284"/>
    </row>
    <row r="10" spans="1:21" x14ac:dyDescent="0.25">
      <c r="A10" s="281"/>
      <c r="B10" s="288"/>
      <c r="C10" s="289"/>
      <c r="D10" s="290"/>
      <c r="E10" s="284"/>
    </row>
    <row r="11" spans="1:21" ht="15.75" x14ac:dyDescent="0.25">
      <c r="A11" s="281"/>
      <c r="B11" s="288"/>
      <c r="C11" s="291"/>
      <c r="D11" s="292"/>
      <c r="E11" s="284"/>
    </row>
    <row r="12" spans="1:21" ht="15.75" x14ac:dyDescent="0.25">
      <c r="A12" s="281"/>
      <c r="B12" s="293"/>
      <c r="C12" s="294"/>
      <c r="D12" s="295"/>
      <c r="E12" s="284"/>
    </row>
    <row r="13" spans="1:21" ht="15.75" x14ac:dyDescent="0.25">
      <c r="A13" s="281"/>
      <c r="B13" s="296"/>
      <c r="C13" s="294"/>
      <c r="D13" s="292"/>
      <c r="E13" s="284"/>
    </row>
    <row r="14" spans="1:21" ht="15.75" x14ac:dyDescent="0.25">
      <c r="A14" s="281"/>
      <c r="B14" s="297"/>
      <c r="C14" s="298"/>
      <c r="D14" s="299"/>
      <c r="E14" s="284"/>
    </row>
    <row r="15" spans="1:21" ht="15.75" x14ac:dyDescent="0.25">
      <c r="A15" s="281"/>
      <c r="B15" s="300"/>
      <c r="C15" s="294"/>
      <c r="D15" s="294"/>
    </row>
    <row r="16" spans="1:21" ht="15.75" x14ac:dyDescent="0.25">
      <c r="A16" s="281"/>
      <c r="B16" s="300"/>
      <c r="C16" s="294"/>
      <c r="D16" s="294"/>
    </row>
    <row r="17" spans="1:4" ht="15.75" x14ac:dyDescent="0.25">
      <c r="B17" s="300"/>
      <c r="C17" s="294"/>
      <c r="D17" s="294"/>
    </row>
    <row r="18" spans="1:4" ht="15.75" x14ac:dyDescent="0.25">
      <c r="B18" s="300"/>
      <c r="C18" s="294"/>
      <c r="D18" s="294"/>
    </row>
    <row r="19" spans="1:4" ht="15.75" x14ac:dyDescent="0.25">
      <c r="B19" s="301" t="s">
        <v>764</v>
      </c>
      <c r="C19" s="294"/>
      <c r="D19" s="294"/>
    </row>
    <row r="20" spans="1:4" s="304" customFormat="1" ht="15.75" x14ac:dyDescent="0.25">
      <c r="A20" s="170"/>
      <c r="B20" s="302" t="s">
        <v>765</v>
      </c>
      <c r="C20" s="303"/>
      <c r="D20" s="303"/>
    </row>
    <row r="21" spans="1:4" s="304" customFormat="1" ht="15.75" x14ac:dyDescent="0.25">
      <c r="A21" s="170"/>
      <c r="B21" s="189" t="s">
        <v>730</v>
      </c>
      <c r="C21" s="303"/>
      <c r="D21" s="303"/>
    </row>
    <row r="22" spans="1:4" s="304" customFormat="1" ht="15.75" x14ac:dyDescent="0.25">
      <c r="A22" s="170"/>
      <c r="B22" s="302"/>
      <c r="C22" s="303"/>
      <c r="D22" s="303"/>
    </row>
    <row r="23" spans="1:4" s="304" customFormat="1" ht="15.75" x14ac:dyDescent="0.25">
      <c r="A23" s="170"/>
      <c r="B23" s="305" t="s">
        <v>810</v>
      </c>
      <c r="C23" s="303"/>
      <c r="D23" s="303"/>
    </row>
    <row r="24" spans="1:4" ht="15.75" x14ac:dyDescent="0.25">
      <c r="B24" s="306" t="s">
        <v>766</v>
      </c>
      <c r="C24" s="294"/>
      <c r="D24" s="294"/>
    </row>
    <row r="25" spans="1:4" ht="15.75" x14ac:dyDescent="0.25">
      <c r="B25" s="186"/>
      <c r="C25" s="294"/>
      <c r="D25" s="294"/>
    </row>
    <row r="26" spans="1:4" ht="15.75" x14ac:dyDescent="0.25">
      <c r="B26" s="300"/>
      <c r="C26" s="294"/>
      <c r="D26" s="294"/>
    </row>
    <row r="27" spans="1:4" ht="15.75" x14ac:dyDescent="0.25">
      <c r="B27" s="300"/>
      <c r="C27" s="294"/>
      <c r="D27" s="294"/>
    </row>
    <row r="28" spans="1:4" ht="15.75" x14ac:dyDescent="0.25">
      <c r="B28" s="300"/>
      <c r="C28" s="294"/>
      <c r="D28" s="294"/>
    </row>
  </sheetData>
  <sheetProtection algorithmName="SHA-512" hashValue="+hwiXvTnwcJgnV0rYeD9SddD/zQrkBGaJTxGdYpsJAOrOBcvRNw42+6PHNgmnpVKJA+lOsXgXhQ+k08EeTzXYA==" saltValue="gkAncM0XBx9MfEzSJvv61w==" spinCount="100000" sheet="1" objects="1" scenarios="1"/>
  <mergeCells count="1">
    <mergeCell ref="B1:D1"/>
  </mergeCells>
  <hyperlinks>
    <hyperlink ref="B21" r:id="rId1" xr:uid="{E037EC53-BDA5-4A04-A946-55541148C434}"/>
  </hyperlinks>
  <pageMargins left="0.70866141732283472" right="0.70866141732283472" top="0.74803149606299213" bottom="0.74803149606299213" header="0.31496062992125984" footer="0.31496062992125984"/>
  <pageSetup paperSize="9" scale="84" orientation="landscape" r:id="rId2"/>
  <headerFooter>
    <oddFooter>&amp;C&amp;1#&amp;"Calibri"&amp;12&amp;K0078D7OFFICIAL</oddFooter>
  </headerFooter>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D4704-AE0F-4707-8E38-D014C09AECC6}">
  <sheetPr codeName="Sheet1">
    <tabColor rgb="FFAECFE6"/>
  </sheetPr>
  <dimension ref="A1:BD371"/>
  <sheetViews>
    <sheetView showGridLines="0" zoomScaleNormal="100" workbookViewId="0">
      <pane ySplit="5" topLeftCell="A6" activePane="bottomLeft" state="frozen"/>
      <selection pane="bottomLeft" activeCell="F3" sqref="F3:H3"/>
    </sheetView>
  </sheetViews>
  <sheetFormatPr defaultColWidth="0" defaultRowHeight="15" zeroHeight="1" x14ac:dyDescent="0.25"/>
  <cols>
    <col min="1" max="1" width="11.5703125" style="322" customWidth="1"/>
    <col min="2" max="13" width="11.5703125" style="1" customWidth="1"/>
    <col min="14" max="14" width="11.5703125" style="394" customWidth="1"/>
    <col min="15" max="15" width="12.5703125" style="1" hidden="1" customWidth="1"/>
    <col min="16" max="20" width="8.85546875" style="1" hidden="1" customWidth="1"/>
    <col min="21" max="21" width="6.85546875" style="1" hidden="1" customWidth="1"/>
    <col min="22" max="27" width="8.85546875" style="1" hidden="1" customWidth="1"/>
    <col min="28" max="39" width="8.85546875" style="158" hidden="1" customWidth="1"/>
    <col min="40" max="49" width="8.85546875" hidden="1" customWidth="1"/>
    <col min="50" max="50" width="9.5703125" hidden="1" customWidth="1"/>
    <col min="51" max="56" width="8.85546875" hidden="1" customWidth="1"/>
    <col min="57" max="16384" width="8.85546875" style="1" hidden="1"/>
  </cols>
  <sheetData>
    <row r="1" spans="1:56" ht="35.25" x14ac:dyDescent="0.5">
      <c r="B1" s="462" t="s">
        <v>803</v>
      </c>
      <c r="C1" s="462"/>
      <c r="D1" s="462"/>
      <c r="E1" s="462"/>
      <c r="F1" s="462"/>
      <c r="G1" s="462"/>
      <c r="H1" s="462"/>
      <c r="I1" s="462"/>
      <c r="J1" s="462"/>
      <c r="K1" s="462"/>
      <c r="L1" s="462"/>
      <c r="M1" s="462"/>
      <c r="N1" s="409"/>
      <c r="O1" s="380"/>
      <c r="P1" s="380"/>
      <c r="Q1" s="380"/>
      <c r="R1" s="380"/>
      <c r="S1" s="380"/>
      <c r="T1" s="380"/>
      <c r="U1" s="380"/>
      <c r="V1" s="380"/>
      <c r="W1" s="380"/>
      <c r="X1" s="380"/>
      <c r="Y1" s="2"/>
    </row>
    <row r="2" spans="1:56" ht="15.75" thickBot="1" x14ac:dyDescent="0.3">
      <c r="AF2" s="435"/>
      <c r="AG2" s="435"/>
      <c r="AH2" s="435"/>
      <c r="AI2" s="435"/>
      <c r="AJ2" s="435"/>
      <c r="AK2" s="435"/>
      <c r="AL2" s="435"/>
      <c r="AM2" s="435"/>
    </row>
    <row r="3" spans="1:56" ht="15.75" thickBot="1" x14ac:dyDescent="0.3">
      <c r="B3" s="324"/>
      <c r="C3" s="377"/>
      <c r="D3" s="324"/>
      <c r="E3" s="324" t="s">
        <v>769</v>
      </c>
      <c r="F3" s="465"/>
      <c r="G3" s="466"/>
      <c r="H3" s="467"/>
      <c r="I3" s="3"/>
      <c r="J3" s="469" t="s">
        <v>777</v>
      </c>
      <c r="K3" s="469"/>
      <c r="L3" s="469"/>
      <c r="R3" s="195"/>
      <c r="AF3" s="429"/>
      <c r="AG3" s="429"/>
      <c r="AH3" s="429"/>
      <c r="AI3" s="429"/>
      <c r="AJ3" s="429"/>
      <c r="AK3" s="429"/>
      <c r="AL3" s="429"/>
      <c r="AM3" s="429"/>
    </row>
    <row r="4" spans="1:56" x14ac:dyDescent="0.25">
      <c r="B4" s="4"/>
      <c r="C4" s="4"/>
      <c r="D4" s="468" t="s">
        <v>1</v>
      </c>
      <c r="E4" s="468"/>
      <c r="F4" s="309" t="str">
        <f>IF($F$3="","Please select an LA area in the box above",IFERROR(VLOOKUP($F$3,PRP_Counts!$B$5:$C$313,2,0),""))</f>
        <v>Please select an LA area in the box above</v>
      </c>
      <c r="G4" s="310"/>
      <c r="H4" s="311"/>
      <c r="I4" s="5"/>
      <c r="R4" s="195"/>
      <c r="AB4" s="159"/>
      <c r="AC4" s="159"/>
      <c r="AF4" s="159"/>
      <c r="AG4" s="159"/>
      <c r="AH4" s="159"/>
      <c r="AI4" s="159"/>
      <c r="AJ4" s="159"/>
      <c r="AK4" s="430"/>
      <c r="AL4" s="430"/>
      <c r="AM4" s="430"/>
    </row>
    <row r="5" spans="1:56" x14ac:dyDescent="0.25">
      <c r="R5" s="195"/>
      <c r="AB5" s="431"/>
      <c r="AC5" s="432"/>
      <c r="AD5" s="159"/>
      <c r="AE5" s="159"/>
      <c r="AF5" s="433"/>
      <c r="AG5" s="433"/>
      <c r="AH5" s="434"/>
      <c r="AI5" s="434"/>
      <c r="AJ5" s="434"/>
      <c r="AK5" s="433"/>
      <c r="AL5" s="433"/>
      <c r="AM5" s="433"/>
      <c r="AW5" s="144"/>
    </row>
    <row r="6" spans="1:56" x14ac:dyDescent="0.25">
      <c r="AB6" s="432"/>
      <c r="AC6" s="432"/>
      <c r="AF6" s="433"/>
      <c r="AG6" s="433"/>
      <c r="AH6" s="433"/>
      <c r="AI6" s="433"/>
      <c r="AJ6" s="433"/>
      <c r="AK6" s="433"/>
      <c r="AL6" s="433"/>
      <c r="AM6" s="433"/>
      <c r="AW6" s="187"/>
      <c r="AX6" s="187"/>
      <c r="AY6" s="187"/>
      <c r="AZ6" s="187"/>
      <c r="BA6" s="187"/>
      <c r="BB6" s="187"/>
      <c r="BC6" s="187"/>
      <c r="BD6" s="187"/>
    </row>
    <row r="7" spans="1:56" x14ac:dyDescent="0.25">
      <c r="B7" s="193"/>
      <c r="C7" s="194"/>
      <c r="D7" s="194"/>
      <c r="E7" s="168">
        <v>2015</v>
      </c>
      <c r="F7" s="168">
        <v>2023</v>
      </c>
      <c r="G7" s="169" t="s">
        <v>0</v>
      </c>
      <c r="I7" s="193"/>
      <c r="J7" s="194"/>
      <c r="K7" s="168">
        <v>2015</v>
      </c>
      <c r="L7" s="168">
        <v>2023</v>
      </c>
      <c r="M7" s="169" t="s">
        <v>0</v>
      </c>
      <c r="AB7" s="432"/>
      <c r="AC7" s="432"/>
      <c r="AF7" s="433"/>
      <c r="AG7" s="433"/>
      <c r="AH7" s="433"/>
      <c r="AI7" s="433"/>
      <c r="AJ7" s="433"/>
      <c r="AK7" s="433"/>
      <c r="AL7" s="433"/>
      <c r="AM7" s="433"/>
      <c r="AW7" s="187"/>
      <c r="AX7" s="187"/>
      <c r="AY7" s="187"/>
      <c r="AZ7" s="187"/>
      <c r="BA7" s="187"/>
      <c r="BB7" s="187"/>
      <c r="BC7" s="187"/>
      <c r="BD7" s="187"/>
    </row>
    <row r="8" spans="1:56" x14ac:dyDescent="0.25">
      <c r="B8" s="190" t="s">
        <v>2</v>
      </c>
      <c r="C8" s="196"/>
      <c r="D8" s="196"/>
      <c r="E8" s="197" t="str">
        <f>IFERROR(VLOOKUP($F$3,PRPcounts,4,0),"")</f>
        <v/>
      </c>
      <c r="F8" s="197" t="str">
        <f>IFERROR(VLOOKUP($F$3,PRPcounts,7,0),"")</f>
        <v/>
      </c>
      <c r="G8" s="198" t="str">
        <f>IFERROR(F8-E8,"-")</f>
        <v>-</v>
      </c>
      <c r="I8" s="192" t="s">
        <v>3</v>
      </c>
      <c r="J8" s="199"/>
      <c r="K8" s="199" t="str">
        <f>IFERROR(VLOOKUP($F$3,PRPcounts,3,0),"")</f>
        <v/>
      </c>
      <c r="L8" s="199" t="str">
        <f>IFERROR(VLOOKUP($F$3,PRPcounts,6,0),"")</f>
        <v/>
      </c>
      <c r="M8" s="200" t="str">
        <f>IFERROR(L8-K8,"-")</f>
        <v>-</v>
      </c>
      <c r="AB8" s="432"/>
      <c r="AC8" s="432"/>
      <c r="AF8" s="433"/>
      <c r="AG8" s="433"/>
      <c r="AH8" s="433"/>
      <c r="AI8" s="433"/>
      <c r="AJ8" s="433"/>
      <c r="AK8" s="433"/>
      <c r="AL8" s="433"/>
      <c r="AM8" s="433"/>
      <c r="AW8" s="187"/>
      <c r="AX8" s="187"/>
      <c r="AY8" s="187"/>
      <c r="AZ8" s="187"/>
      <c r="BA8" s="187"/>
      <c r="BB8" s="187"/>
      <c r="BC8" s="187"/>
      <c r="BD8" s="187"/>
    </row>
    <row r="9" spans="1:56" x14ac:dyDescent="0.25">
      <c r="B9" s="191" t="s">
        <v>4</v>
      </c>
      <c r="C9" s="201"/>
      <c r="D9" s="201"/>
      <c r="E9" s="202" t="str">
        <f>IFERROR(VLOOKUP($F$4,PRPcounts,4,0),"")</f>
        <v/>
      </c>
      <c r="F9" s="202" t="str">
        <f>IFERROR(VLOOKUP($F$4,PRPcounts,7,0),"")</f>
        <v/>
      </c>
      <c r="G9" s="203" t="str">
        <f>IFERROR(F9-E9,"-")</f>
        <v>-</v>
      </c>
      <c r="I9" s="191" t="s">
        <v>5</v>
      </c>
      <c r="J9" s="201"/>
      <c r="K9" s="201" t="str">
        <f>IFERROR(VLOOKUP($F$3,PRPcounts,2,0),"")</f>
        <v/>
      </c>
      <c r="L9" s="201" t="str">
        <f>IFERROR(VLOOKUP($F$3,PRPcounts,5,0),"")</f>
        <v/>
      </c>
      <c r="M9" s="204" t="str">
        <f>IFERROR(L9-K9,"-")</f>
        <v>-</v>
      </c>
      <c r="AB9" s="432"/>
      <c r="AC9" s="432"/>
      <c r="AF9" s="433"/>
      <c r="AG9" s="433"/>
      <c r="AH9" s="433"/>
      <c r="AI9" s="433"/>
      <c r="AJ9" s="433"/>
      <c r="AK9" s="433"/>
      <c r="AL9" s="433"/>
      <c r="AM9" s="433"/>
      <c r="AW9" s="187"/>
      <c r="AX9" s="187"/>
      <c r="AY9" s="187"/>
      <c r="AZ9" s="187"/>
      <c r="BA9" s="187"/>
      <c r="BB9" s="187"/>
      <c r="BC9" s="187"/>
      <c r="BD9" s="187"/>
    </row>
    <row r="10" spans="1:56" x14ac:dyDescent="0.25">
      <c r="AB10" s="432"/>
      <c r="AC10" s="432"/>
      <c r="AF10" s="433"/>
      <c r="AG10" s="433"/>
      <c r="AH10" s="433"/>
      <c r="AI10" s="433"/>
      <c r="AJ10" s="433"/>
      <c r="AK10" s="433"/>
      <c r="AL10" s="433"/>
      <c r="AM10" s="433"/>
      <c r="AW10" s="187"/>
      <c r="AX10" s="187"/>
      <c r="AY10" s="187"/>
      <c r="AZ10" s="187"/>
      <c r="BA10" s="187"/>
      <c r="BB10" s="187"/>
      <c r="BC10" s="187"/>
      <c r="BD10" s="187"/>
    </row>
    <row r="11" spans="1:56" x14ac:dyDescent="0.25">
      <c r="A11" s="441">
        <v>1</v>
      </c>
      <c r="AB11" s="432"/>
      <c r="AC11" s="432"/>
      <c r="AF11" s="433"/>
      <c r="AG11" s="433"/>
      <c r="AH11" s="433"/>
      <c r="AI11" s="433"/>
      <c r="AJ11" s="433"/>
      <c r="AK11" s="433"/>
      <c r="AL11" s="433"/>
      <c r="AM11" s="433"/>
      <c r="AW11" s="187"/>
      <c r="AX11" s="187"/>
      <c r="AY11" s="187"/>
      <c r="AZ11" s="187"/>
      <c r="BA11" s="187"/>
      <c r="BB11" s="187"/>
      <c r="BC11" s="187"/>
      <c r="BD11" s="187"/>
    </row>
    <row r="12" spans="1:56" x14ac:dyDescent="0.25">
      <c r="A12" s="442"/>
      <c r="AB12" s="432"/>
      <c r="AC12" s="432"/>
      <c r="AF12" s="434"/>
      <c r="AG12" s="434"/>
      <c r="AH12" s="434"/>
      <c r="AI12" s="434"/>
      <c r="AJ12" s="434"/>
      <c r="AK12" s="434"/>
      <c r="AL12" s="434"/>
      <c r="AM12" s="434"/>
      <c r="AW12" s="187"/>
      <c r="AX12" s="187"/>
      <c r="AY12" s="187"/>
      <c r="AZ12" s="187"/>
      <c r="BA12" s="187"/>
      <c r="BB12" s="187"/>
      <c r="BC12" s="187"/>
      <c r="BD12" s="187"/>
    </row>
    <row r="13" spans="1:56" x14ac:dyDescent="0.25">
      <c r="AB13" s="432"/>
      <c r="AC13" s="432"/>
      <c r="AF13" s="434"/>
      <c r="AG13" s="434"/>
      <c r="AH13" s="434"/>
      <c r="AI13" s="434"/>
      <c r="AJ13" s="434"/>
      <c r="AK13" s="434"/>
      <c r="AL13" s="434"/>
      <c r="AM13" s="434"/>
      <c r="AW13" s="187"/>
      <c r="AX13" s="187"/>
      <c r="AY13" s="187"/>
      <c r="AZ13" s="187"/>
      <c r="BA13" s="187"/>
      <c r="BB13" s="187"/>
      <c r="BC13" s="187"/>
      <c r="BD13" s="187"/>
    </row>
    <row r="14" spans="1:56" x14ac:dyDescent="0.25">
      <c r="AB14" s="432"/>
      <c r="AC14" s="432"/>
      <c r="AF14" s="434"/>
      <c r="AG14" s="434"/>
      <c r="AH14" s="434"/>
      <c r="AI14" s="434"/>
      <c r="AJ14" s="434"/>
      <c r="AK14" s="434"/>
      <c r="AL14" s="434"/>
      <c r="AM14" s="434"/>
      <c r="AW14" s="187"/>
      <c r="AX14" s="187"/>
      <c r="AY14" s="187"/>
      <c r="AZ14" s="187"/>
      <c r="BA14" s="187"/>
      <c r="BB14" s="187"/>
      <c r="BC14" s="187"/>
      <c r="BD14" s="187"/>
    </row>
    <row r="15" spans="1:56" x14ac:dyDescent="0.25">
      <c r="AB15" s="432"/>
      <c r="AC15" s="432"/>
      <c r="AF15" s="434"/>
      <c r="AG15" s="434"/>
      <c r="AH15" s="434"/>
      <c r="AI15" s="434"/>
      <c r="AJ15" s="434"/>
      <c r="AK15" s="434"/>
      <c r="AL15" s="434"/>
      <c r="AM15" s="434"/>
      <c r="AW15" s="187"/>
      <c r="AX15" s="187"/>
      <c r="AY15" s="187"/>
      <c r="AZ15" s="187"/>
      <c r="BA15" s="187"/>
      <c r="BB15" s="187"/>
      <c r="BC15" s="187"/>
      <c r="BD15" s="187"/>
    </row>
    <row r="16" spans="1:56" x14ac:dyDescent="0.25">
      <c r="AB16" s="432"/>
      <c r="AC16" s="432"/>
      <c r="AF16" s="434"/>
      <c r="AG16" s="434"/>
      <c r="AH16" s="434"/>
      <c r="AI16" s="434"/>
      <c r="AJ16" s="434"/>
      <c r="AK16" s="434"/>
      <c r="AL16" s="434"/>
      <c r="AM16" s="434"/>
      <c r="AW16" s="187"/>
      <c r="AX16" s="187"/>
      <c r="AY16" s="187"/>
      <c r="AZ16" s="187"/>
      <c r="BA16" s="187"/>
      <c r="BB16" s="187"/>
      <c r="BC16" s="187"/>
      <c r="BD16" s="187"/>
    </row>
    <row r="17" spans="28:56" x14ac:dyDescent="0.25">
      <c r="AB17" s="432"/>
      <c r="AC17" s="432"/>
      <c r="AF17" s="434"/>
      <c r="AG17" s="434"/>
      <c r="AH17" s="434"/>
      <c r="AI17" s="434"/>
      <c r="AJ17" s="434"/>
      <c r="AK17" s="434"/>
      <c r="AL17" s="434"/>
      <c r="AM17" s="434"/>
      <c r="AW17" s="187"/>
      <c r="AX17" s="187"/>
      <c r="AY17" s="187"/>
      <c r="AZ17" s="187"/>
      <c r="BA17" s="187"/>
      <c r="BB17" s="187"/>
      <c r="BC17" s="187"/>
      <c r="BD17" s="187"/>
    </row>
    <row r="18" spans="28:56" x14ac:dyDescent="0.25">
      <c r="AB18" s="432"/>
      <c r="AC18" s="432"/>
      <c r="AF18" s="434"/>
      <c r="AG18" s="434"/>
      <c r="AH18" s="434"/>
      <c r="AI18" s="434"/>
      <c r="AJ18" s="434"/>
      <c r="AK18" s="434"/>
      <c r="AL18" s="434"/>
      <c r="AM18" s="434"/>
      <c r="AW18" s="187"/>
      <c r="AX18" s="187"/>
      <c r="AY18" s="187"/>
      <c r="AZ18" s="187"/>
      <c r="BA18" s="187"/>
      <c r="BB18" s="187"/>
      <c r="BC18" s="187"/>
      <c r="BD18" s="187"/>
    </row>
    <row r="19" spans="28:56" x14ac:dyDescent="0.25">
      <c r="AB19" s="432"/>
      <c r="AC19" s="432"/>
      <c r="AF19" s="434"/>
      <c r="AG19" s="434"/>
      <c r="AH19" s="434"/>
      <c r="AI19" s="434"/>
      <c r="AJ19" s="434"/>
      <c r="AK19" s="434"/>
      <c r="AL19" s="434"/>
      <c r="AM19" s="434"/>
      <c r="AW19" s="187"/>
      <c r="AX19" s="187"/>
      <c r="AY19" s="187"/>
      <c r="AZ19" s="187"/>
      <c r="BA19" s="187"/>
      <c r="BB19" s="187"/>
      <c r="BC19" s="187"/>
      <c r="BD19" s="187"/>
    </row>
    <row r="20" spans="28:56" x14ac:dyDescent="0.25">
      <c r="AB20" s="432"/>
      <c r="AC20" s="432"/>
      <c r="AF20" s="434"/>
      <c r="AG20" s="434"/>
      <c r="AH20" s="434"/>
      <c r="AI20" s="434"/>
      <c r="AJ20" s="434"/>
      <c r="AK20" s="434"/>
      <c r="AL20" s="434"/>
      <c r="AM20" s="434"/>
      <c r="AW20" s="187"/>
      <c r="AX20" s="187"/>
      <c r="AY20" s="187"/>
      <c r="AZ20" s="187"/>
      <c r="BA20" s="187"/>
      <c r="BB20" s="187"/>
      <c r="BC20" s="187"/>
      <c r="BD20" s="187"/>
    </row>
    <row r="21" spans="28:56" x14ac:dyDescent="0.25">
      <c r="AB21" s="432"/>
      <c r="AC21" s="432"/>
      <c r="AF21" s="434"/>
      <c r="AG21" s="434"/>
      <c r="AH21" s="434"/>
      <c r="AI21" s="434"/>
      <c r="AJ21" s="434"/>
      <c r="AK21" s="434"/>
      <c r="AL21" s="434"/>
      <c r="AM21" s="434"/>
      <c r="AW21" s="187"/>
      <c r="AX21" s="187"/>
      <c r="AY21" s="187"/>
      <c r="AZ21" s="187"/>
      <c r="BA21" s="187"/>
      <c r="BB21" s="187"/>
      <c r="BC21" s="187"/>
      <c r="BD21" s="187"/>
    </row>
    <row r="22" spans="28:56" x14ac:dyDescent="0.25">
      <c r="AB22" s="432"/>
      <c r="AC22" s="432"/>
      <c r="AF22" s="434"/>
      <c r="AG22" s="434"/>
      <c r="AH22" s="434"/>
      <c r="AI22" s="434"/>
      <c r="AJ22" s="434"/>
      <c r="AK22" s="434"/>
      <c r="AL22" s="434"/>
      <c r="AM22" s="434"/>
      <c r="AW22" s="187"/>
      <c r="AX22" s="187"/>
      <c r="AY22" s="187"/>
      <c r="AZ22" s="187"/>
      <c r="BA22" s="187"/>
      <c r="BB22" s="187"/>
      <c r="BC22" s="187"/>
      <c r="BD22" s="187"/>
    </row>
    <row r="23" spans="28:56" x14ac:dyDescent="0.25">
      <c r="AB23" s="432"/>
      <c r="AC23" s="432"/>
      <c r="AF23" s="434"/>
      <c r="AG23" s="434"/>
      <c r="AH23" s="434"/>
      <c r="AI23" s="434"/>
      <c r="AJ23" s="434"/>
      <c r="AK23" s="434"/>
      <c r="AL23" s="434"/>
      <c r="AM23" s="434"/>
      <c r="AW23" s="187"/>
      <c r="AX23" s="187"/>
      <c r="AY23" s="187"/>
      <c r="AZ23" s="187"/>
      <c r="BA23" s="187"/>
      <c r="BB23" s="187"/>
      <c r="BC23" s="187"/>
      <c r="BD23" s="187"/>
    </row>
    <row r="24" spans="28:56" x14ac:dyDescent="0.25">
      <c r="AB24" s="432"/>
      <c r="AC24" s="432"/>
      <c r="AF24" s="434"/>
      <c r="AG24" s="434"/>
      <c r="AH24" s="434"/>
      <c r="AI24" s="434"/>
      <c r="AJ24" s="434"/>
      <c r="AK24" s="434"/>
      <c r="AL24" s="434"/>
      <c r="AM24" s="434"/>
      <c r="AW24" s="187"/>
      <c r="AX24" s="187"/>
      <c r="AY24" s="187"/>
      <c r="AZ24" s="187"/>
      <c r="BA24" s="187"/>
      <c r="BB24" s="187"/>
      <c r="BC24" s="187"/>
      <c r="BD24" s="187"/>
    </row>
    <row r="25" spans="28:56" x14ac:dyDescent="0.25">
      <c r="AB25" s="432"/>
      <c r="AC25" s="432"/>
      <c r="AF25" s="434"/>
      <c r="AG25" s="434"/>
      <c r="AH25" s="434"/>
      <c r="AI25" s="434"/>
      <c r="AJ25" s="434"/>
      <c r="AK25" s="434"/>
      <c r="AL25" s="434"/>
      <c r="AM25" s="434"/>
      <c r="AW25" s="187"/>
      <c r="AX25" s="187"/>
      <c r="AY25" s="187"/>
      <c r="AZ25" s="187"/>
      <c r="BA25" s="187"/>
      <c r="BB25" s="187"/>
      <c r="BC25" s="187"/>
      <c r="BD25" s="187"/>
    </row>
    <row r="26" spans="28:56" x14ac:dyDescent="0.25">
      <c r="AB26" s="432"/>
      <c r="AC26" s="432"/>
      <c r="AF26" s="434"/>
      <c r="AG26" s="434"/>
      <c r="AH26" s="434"/>
      <c r="AI26" s="434"/>
      <c r="AJ26" s="434"/>
      <c r="AK26" s="434"/>
      <c r="AL26" s="434"/>
      <c r="AM26" s="434"/>
      <c r="AW26" s="187"/>
      <c r="AX26" s="187"/>
      <c r="AY26" s="187"/>
      <c r="AZ26" s="187"/>
      <c r="BA26" s="187"/>
      <c r="BB26" s="187"/>
      <c r="BC26" s="187"/>
      <c r="BD26" s="187"/>
    </row>
    <row r="27" spans="28:56" x14ac:dyDescent="0.25">
      <c r="AB27" s="432"/>
      <c r="AC27" s="432"/>
      <c r="AF27" s="434"/>
      <c r="AG27" s="434"/>
      <c r="AH27" s="434"/>
      <c r="AI27" s="434"/>
      <c r="AJ27" s="434"/>
      <c r="AK27" s="434"/>
      <c r="AL27" s="434"/>
      <c r="AM27" s="434"/>
      <c r="AW27" s="187"/>
      <c r="AX27" s="187"/>
      <c r="AY27" s="187"/>
      <c r="AZ27" s="187"/>
      <c r="BA27" s="187"/>
      <c r="BB27" s="187"/>
      <c r="BC27" s="187"/>
      <c r="BD27" s="187"/>
    </row>
    <row r="28" spans="28:56" x14ac:dyDescent="0.25">
      <c r="AB28" s="432"/>
      <c r="AC28" s="432"/>
      <c r="AF28" s="434"/>
      <c r="AG28" s="434"/>
      <c r="AH28" s="434"/>
      <c r="AI28" s="434"/>
      <c r="AJ28" s="434"/>
      <c r="AK28" s="434"/>
      <c r="AL28" s="434"/>
      <c r="AM28" s="434"/>
      <c r="AW28" s="187"/>
      <c r="AX28" s="187"/>
      <c r="AY28" s="187"/>
      <c r="AZ28" s="187"/>
      <c r="BA28" s="187"/>
      <c r="BB28" s="187"/>
      <c r="BC28" s="187"/>
      <c r="BD28" s="187"/>
    </row>
    <row r="29" spans="28:56" x14ac:dyDescent="0.25">
      <c r="AB29" s="432"/>
      <c r="AC29" s="432"/>
      <c r="AF29" s="434"/>
      <c r="AG29" s="434"/>
      <c r="AH29" s="434"/>
      <c r="AI29" s="434"/>
      <c r="AJ29" s="434"/>
      <c r="AK29" s="434"/>
      <c r="AL29" s="434"/>
      <c r="AM29" s="434"/>
      <c r="AW29" s="187"/>
      <c r="AX29" s="187"/>
      <c r="AY29" s="187"/>
      <c r="AZ29" s="187"/>
      <c r="BA29" s="187"/>
      <c r="BB29" s="187"/>
      <c r="BC29" s="187"/>
      <c r="BD29" s="187"/>
    </row>
    <row r="30" spans="28:56" x14ac:dyDescent="0.25">
      <c r="AB30" s="432"/>
      <c r="AC30" s="432"/>
      <c r="AF30" s="434"/>
      <c r="AG30" s="434"/>
      <c r="AH30" s="434"/>
      <c r="AI30" s="434"/>
      <c r="AJ30" s="434"/>
      <c r="AK30" s="434"/>
      <c r="AL30" s="434"/>
      <c r="AM30" s="434"/>
      <c r="AW30" s="187"/>
      <c r="AX30" s="187"/>
      <c r="AY30" s="187"/>
      <c r="AZ30" s="187"/>
      <c r="BA30" s="187"/>
      <c r="BB30" s="187"/>
      <c r="BC30" s="187"/>
      <c r="BD30" s="187"/>
    </row>
    <row r="31" spans="28:56" x14ac:dyDescent="0.25">
      <c r="AB31" s="432"/>
      <c r="AC31" s="432"/>
      <c r="AF31" s="434"/>
      <c r="AG31" s="434"/>
      <c r="AH31" s="434"/>
      <c r="AI31" s="434"/>
      <c r="AJ31" s="434"/>
      <c r="AK31" s="434"/>
      <c r="AL31" s="434"/>
      <c r="AM31" s="434"/>
      <c r="AW31" s="187"/>
      <c r="AX31" s="187"/>
      <c r="AY31" s="187"/>
      <c r="AZ31" s="187"/>
      <c r="BA31" s="187"/>
      <c r="BB31" s="187"/>
      <c r="BC31" s="187"/>
      <c r="BD31" s="187"/>
    </row>
    <row r="32" spans="28:56" x14ac:dyDescent="0.25">
      <c r="AB32" s="432"/>
      <c r="AC32" s="432"/>
      <c r="AF32" s="434"/>
      <c r="AG32" s="434"/>
      <c r="AH32" s="434"/>
      <c r="AI32" s="434"/>
      <c r="AJ32" s="434"/>
      <c r="AK32" s="434"/>
      <c r="AL32" s="434"/>
      <c r="AM32" s="434"/>
      <c r="AW32" s="187"/>
      <c r="AX32" s="187"/>
      <c r="AY32" s="187"/>
      <c r="AZ32" s="187"/>
      <c r="BA32" s="187"/>
      <c r="BB32" s="187"/>
      <c r="BC32" s="187"/>
      <c r="BD32" s="187"/>
    </row>
    <row r="33" spans="1:56" x14ac:dyDescent="0.25">
      <c r="AB33" s="432"/>
      <c r="AC33" s="432"/>
      <c r="AF33" s="434"/>
      <c r="AG33" s="434"/>
      <c r="AH33" s="434"/>
      <c r="AI33" s="434"/>
      <c r="AJ33" s="434"/>
      <c r="AK33" s="434"/>
      <c r="AL33" s="434"/>
      <c r="AM33" s="434"/>
      <c r="AW33" s="187"/>
      <c r="AX33" s="187"/>
      <c r="AY33" s="187"/>
      <c r="AZ33" s="187"/>
      <c r="BA33" s="187"/>
      <c r="BB33" s="187"/>
      <c r="BC33" s="187"/>
      <c r="BD33" s="187"/>
    </row>
    <row r="34" spans="1:56" x14ac:dyDescent="0.25">
      <c r="AB34" s="432"/>
      <c r="AC34" s="432"/>
      <c r="AF34" s="434"/>
      <c r="AG34" s="434"/>
      <c r="AH34" s="434"/>
      <c r="AI34" s="434"/>
      <c r="AJ34" s="434"/>
      <c r="AK34" s="434"/>
      <c r="AL34" s="434"/>
      <c r="AM34" s="434"/>
      <c r="AW34" s="187"/>
      <c r="AX34" s="187"/>
      <c r="AY34" s="187"/>
      <c r="AZ34" s="187"/>
      <c r="BA34" s="187"/>
      <c r="BB34" s="187"/>
      <c r="BC34" s="187"/>
      <c r="BD34" s="187"/>
    </row>
    <row r="35" spans="1:56" x14ac:dyDescent="0.25">
      <c r="AB35" s="432"/>
      <c r="AC35" s="432"/>
      <c r="AF35" s="434"/>
      <c r="AG35" s="434"/>
      <c r="AH35" s="434"/>
      <c r="AI35" s="434"/>
      <c r="AJ35" s="434"/>
      <c r="AK35" s="434"/>
      <c r="AL35" s="434"/>
      <c r="AM35" s="434"/>
      <c r="AW35" s="187"/>
      <c r="AX35" s="187"/>
      <c r="AY35" s="187"/>
      <c r="AZ35" s="187"/>
      <c r="BA35" s="187"/>
      <c r="BB35" s="187"/>
      <c r="BC35" s="187"/>
      <c r="BD35" s="187"/>
    </row>
    <row r="36" spans="1:56" x14ac:dyDescent="0.25">
      <c r="AB36" s="432"/>
      <c r="AC36" s="432"/>
      <c r="AF36" s="434"/>
      <c r="AG36" s="434"/>
      <c r="AH36" s="434"/>
      <c r="AI36" s="434"/>
      <c r="AJ36" s="434"/>
      <c r="AK36" s="434"/>
      <c r="AL36" s="434"/>
      <c r="AM36" s="434"/>
      <c r="AW36" s="187"/>
      <c r="AX36" s="187"/>
      <c r="AY36" s="187"/>
      <c r="AZ36" s="187"/>
      <c r="BA36" s="187"/>
      <c r="BB36" s="187"/>
      <c r="BC36" s="187"/>
      <c r="BD36" s="187"/>
    </row>
    <row r="37" spans="1:56" x14ac:dyDescent="0.25">
      <c r="AB37" s="432"/>
      <c r="AC37" s="432"/>
      <c r="AF37" s="434"/>
      <c r="AG37" s="434"/>
      <c r="AH37" s="434"/>
      <c r="AI37" s="434"/>
      <c r="AJ37" s="434"/>
      <c r="AK37" s="434"/>
      <c r="AL37" s="434"/>
      <c r="AM37" s="434"/>
      <c r="AN37" s="187"/>
      <c r="AO37" s="187"/>
      <c r="AP37" s="187"/>
      <c r="AQ37" s="187"/>
      <c r="AR37" s="187"/>
      <c r="AS37" s="187"/>
      <c r="AT37" s="187"/>
      <c r="AU37" s="187"/>
      <c r="AV37" s="187"/>
      <c r="AW37" s="187"/>
      <c r="AX37" s="187"/>
      <c r="AY37" s="187"/>
      <c r="AZ37" s="187"/>
      <c r="BA37" s="187"/>
      <c r="BB37" s="187"/>
      <c r="BC37" s="187"/>
      <c r="BD37" s="187"/>
    </row>
    <row r="38" spans="1:56" ht="15.75" x14ac:dyDescent="0.25">
      <c r="A38" s="450">
        <v>1</v>
      </c>
      <c r="B38" s="6" t="str">
        <f>IF(F3="", "Total social units by provision type","Total social units by provision type in "&amp;$F$3)</f>
        <v>Total social units by provision type</v>
      </c>
      <c r="C38" s="7"/>
      <c r="D38" s="7"/>
      <c r="E38" s="7"/>
      <c r="F38" s="8"/>
      <c r="G38" s="9"/>
      <c r="H38" s="9"/>
      <c r="I38" s="9"/>
      <c r="J38" s="9"/>
      <c r="K38" s="9"/>
      <c r="L38" s="9"/>
      <c r="M38" s="10"/>
      <c r="N38" s="410"/>
      <c r="AB38" s="432"/>
      <c r="AC38" s="432"/>
      <c r="AF38" s="434"/>
      <c r="AG38" s="434"/>
      <c r="AH38" s="434"/>
      <c r="AI38" s="434"/>
      <c r="AJ38" s="434"/>
      <c r="AK38" s="434"/>
      <c r="AL38" s="434"/>
      <c r="AM38" s="434"/>
    </row>
    <row r="39" spans="1:56" x14ac:dyDescent="0.25">
      <c r="A39" s="451"/>
      <c r="B39" s="14" t="s">
        <v>6</v>
      </c>
      <c r="C39" s="381"/>
      <c r="D39" s="11"/>
      <c r="E39" s="11"/>
      <c r="F39" s="12"/>
      <c r="G39" s="12"/>
      <c r="H39" s="12"/>
      <c r="I39" s="12"/>
      <c r="J39" s="12"/>
      <c r="K39" s="12"/>
      <c r="L39" s="12"/>
      <c r="M39" s="13"/>
      <c r="AB39" s="432"/>
      <c r="AC39" s="432"/>
      <c r="AF39" s="434"/>
      <c r="AG39" s="434"/>
      <c r="AH39" s="434"/>
      <c r="AI39" s="434"/>
      <c r="AJ39" s="434"/>
      <c r="AK39" s="434"/>
      <c r="AL39" s="434"/>
      <c r="AM39" s="434"/>
    </row>
    <row r="40" spans="1:56" ht="32.1" customHeight="1" x14ac:dyDescent="0.25">
      <c r="B40" s="14"/>
      <c r="C40" s="381"/>
      <c r="D40" s="331" t="s">
        <v>801</v>
      </c>
      <c r="E40" s="87">
        <v>2015</v>
      </c>
      <c r="F40" s="87">
        <v>2016</v>
      </c>
      <c r="G40" s="87">
        <v>2017</v>
      </c>
      <c r="H40" s="87">
        <v>2018</v>
      </c>
      <c r="I40" s="87">
        <v>2019</v>
      </c>
      <c r="J40" s="87">
        <v>2020</v>
      </c>
      <c r="K40" s="413">
        <v>2021</v>
      </c>
      <c r="L40" s="413">
        <v>2022</v>
      </c>
      <c r="M40" s="414">
        <v>2023</v>
      </c>
      <c r="AB40" s="432"/>
      <c r="AC40" s="432"/>
      <c r="AF40" s="434"/>
      <c r="AG40" s="434"/>
      <c r="AH40" s="434"/>
      <c r="AI40" s="434"/>
      <c r="AJ40" s="434"/>
      <c r="AK40" s="434"/>
      <c r="AL40" s="434"/>
      <c r="AM40" s="434"/>
    </row>
    <row r="41" spans="1:56" x14ac:dyDescent="0.25">
      <c r="B41" s="470" t="s">
        <v>7</v>
      </c>
      <c r="C41" s="214" t="s">
        <v>8</v>
      </c>
      <c r="D41" s="213"/>
      <c r="E41" s="205">
        <f>SUM($E$42:$E$43)</f>
        <v>0</v>
      </c>
      <c r="F41" s="205">
        <f>SUM($F$42:$F$43)</f>
        <v>0</v>
      </c>
      <c r="G41" s="205">
        <f>SUM($G$42:$G$43)</f>
        <v>0</v>
      </c>
      <c r="H41" s="205">
        <f>SUM($H$42:$H$43)</f>
        <v>0</v>
      </c>
      <c r="I41" s="205">
        <f>SUM($I$42:$I$43)</f>
        <v>0</v>
      </c>
      <c r="J41" s="205">
        <f>SUM($J$42:$J$43)</f>
        <v>0</v>
      </c>
      <c r="K41" s="205">
        <f>SUM($K$42:$K$43)</f>
        <v>0</v>
      </c>
      <c r="L41" s="205">
        <f>SUM($L$42:$L$43)</f>
        <v>0</v>
      </c>
      <c r="M41" s="206">
        <f>SUM($M$42:$M$43)</f>
        <v>0</v>
      </c>
      <c r="O41" s="15"/>
      <c r="P41" s="15"/>
      <c r="Q41" s="15"/>
      <c r="R41" s="15"/>
      <c r="AB41" s="432"/>
      <c r="AC41" s="432"/>
      <c r="AF41" s="434"/>
      <c r="AG41" s="434"/>
      <c r="AH41" s="434"/>
      <c r="AI41" s="434"/>
      <c r="AJ41" s="434"/>
      <c r="AK41" s="434"/>
      <c r="AL41" s="434"/>
      <c r="AM41" s="434"/>
    </row>
    <row r="42" spans="1:56" x14ac:dyDescent="0.25">
      <c r="B42" s="471"/>
      <c r="C42" s="443" t="s">
        <v>821</v>
      </c>
      <c r="D42" s="443"/>
      <c r="E42" s="417" t="str">
        <f>IFERROR(VLOOKUP($F$3,Y_1,2,0),"")</f>
        <v/>
      </c>
      <c r="F42" s="418" t="str">
        <f>IFERROR(VLOOKUP($F$3,Y_2,2,0),"")</f>
        <v/>
      </c>
      <c r="G42" s="418" t="str">
        <f>IFERROR(VLOOKUP($F$3,Y_3,2,0),"")</f>
        <v/>
      </c>
      <c r="H42" s="418" t="str">
        <f>IFERROR(VLOOKUP($F$3,Y_4,2,0),"")</f>
        <v/>
      </c>
      <c r="I42" s="418" t="str">
        <f>IFERROR(VLOOKUP($F$3,Y_5,2,0),"")</f>
        <v/>
      </c>
      <c r="J42" s="418" t="str">
        <f>IFERROR(VLOOKUP($F$3,Y_6,2,0),"")</f>
        <v/>
      </c>
      <c r="K42" s="418" t="str">
        <f>IFERROR(VLOOKUP($F$3,Y_7,2,0),"")</f>
        <v/>
      </c>
      <c r="L42" s="418" t="str">
        <f>IFERROR(VLOOKUP($F$3,Y_8,2,0),"")</f>
        <v/>
      </c>
      <c r="M42" s="419" t="str">
        <f>IFERROR(VLOOKUP($F$3,Y_9,2,0),"")</f>
        <v/>
      </c>
      <c r="O42" s="15"/>
      <c r="P42" s="15"/>
      <c r="Q42" s="15"/>
      <c r="R42" s="15"/>
      <c r="AB42" s="432"/>
      <c r="AC42" s="432"/>
      <c r="AF42" s="434"/>
      <c r="AG42" s="434"/>
      <c r="AH42" s="434"/>
      <c r="AI42" s="434"/>
      <c r="AJ42" s="434"/>
      <c r="AK42" s="434"/>
      <c r="AL42" s="434"/>
      <c r="AM42" s="434"/>
    </row>
    <row r="43" spans="1:56" ht="27.95" customHeight="1" x14ac:dyDescent="0.25">
      <c r="B43" s="471"/>
      <c r="C43" s="444" t="s">
        <v>820</v>
      </c>
      <c r="D43" s="445"/>
      <c r="E43" s="420" t="str">
        <f>IFERROR(VLOOKUP($F$3,Y_1,3,0),"")</f>
        <v/>
      </c>
      <c r="F43" s="420" t="str">
        <f>IFERROR(VLOOKUP($F$3,Y_2,3,0),"")</f>
        <v/>
      </c>
      <c r="G43" s="420" t="str">
        <f>IFERROR(VLOOKUP($F$3,Y_3,3,0),"")</f>
        <v/>
      </c>
      <c r="H43" s="420" t="str">
        <f>IFERROR(VLOOKUP($F$3,Y_4,3,0),"")</f>
        <v/>
      </c>
      <c r="I43" s="420" t="str">
        <f>IFERROR(VLOOKUP($F$3,Y_5,3,0),"")</f>
        <v/>
      </c>
      <c r="J43" s="420" t="str">
        <f>IFERROR(VLOOKUP($F$3,Y_6,3,0),"")</f>
        <v/>
      </c>
      <c r="K43" s="420" t="str">
        <f>IFERROR(VLOOKUP($F$3,Y_7,3,0),"")</f>
        <v/>
      </c>
      <c r="L43" s="420" t="str">
        <f>IFERROR(VLOOKUP($F$3,Y_8,3,0),"")</f>
        <v/>
      </c>
      <c r="M43" s="421" t="str">
        <f>IFERROR(VLOOKUP($F$3,Y_9,3,0),"")</f>
        <v/>
      </c>
      <c r="O43" s="15"/>
      <c r="P43" s="15"/>
      <c r="Q43" s="15"/>
      <c r="R43" s="15"/>
      <c r="AB43" s="432"/>
      <c r="AC43" s="432"/>
      <c r="AF43" s="434"/>
      <c r="AG43" s="434"/>
      <c r="AH43" s="434"/>
      <c r="AI43" s="434"/>
      <c r="AJ43" s="434"/>
      <c r="AK43" s="434"/>
      <c r="AL43" s="434"/>
      <c r="AM43" s="434"/>
    </row>
    <row r="44" spans="1:56" x14ac:dyDescent="0.25">
      <c r="B44" s="471"/>
      <c r="C44" s="416" t="s">
        <v>9</v>
      </c>
      <c r="E44" s="207" t="str">
        <f>IFERROR(VLOOKUP($F$3,Y_1,4,0),"")</f>
        <v/>
      </c>
      <c r="F44" s="207" t="str">
        <f>IFERROR(VLOOKUP($F$3,Y_2,4,0),"")</f>
        <v/>
      </c>
      <c r="G44" s="207" t="str">
        <f>IFERROR(VLOOKUP($F$3,Y_3,4,0),"")</f>
        <v/>
      </c>
      <c r="H44" s="207" t="str">
        <f>IFERROR(VLOOKUP($F$3,Y_4,4,0),"")</f>
        <v/>
      </c>
      <c r="I44" s="207" t="str">
        <f>IFERROR(VLOOKUP($F$3,Y_5,4,0),"")</f>
        <v/>
      </c>
      <c r="J44" s="207" t="str">
        <f>IFERROR(VLOOKUP($F$3,Y_6,4,0),"")</f>
        <v/>
      </c>
      <c r="K44" s="207" t="str">
        <f>IFERROR(VLOOKUP($F$3,Y_7,4,0),"")</f>
        <v/>
      </c>
      <c r="L44" s="207" t="str">
        <f>IFERROR(VLOOKUP($F$3,Y_8,4,0),"")</f>
        <v/>
      </c>
      <c r="M44" s="208" t="str">
        <f>IFERROR(VLOOKUP($F$3,Y_9,4,0),"")</f>
        <v/>
      </c>
      <c r="O44" s="15"/>
      <c r="P44" s="15"/>
      <c r="Q44" s="15"/>
      <c r="R44" s="15"/>
      <c r="AB44" s="432"/>
      <c r="AC44" s="432"/>
      <c r="AF44" s="434"/>
      <c r="AG44" s="434"/>
      <c r="AH44" s="434"/>
      <c r="AI44" s="434"/>
      <c r="AJ44" s="434"/>
      <c r="AK44" s="434"/>
      <c r="AL44" s="434"/>
      <c r="AM44" s="434"/>
    </row>
    <row r="45" spans="1:56" x14ac:dyDescent="0.25">
      <c r="B45" s="472"/>
      <c r="C45" s="416" t="s">
        <v>10</v>
      </c>
      <c r="E45" s="209" t="str">
        <f>IFERROR(VLOOKUP($F$3,Y_1,5,0),"")</f>
        <v/>
      </c>
      <c r="F45" s="209" t="str">
        <f>IFERROR(VLOOKUP($F$3,Y_2,5,0),"")</f>
        <v/>
      </c>
      <c r="G45" s="209" t="str">
        <f>IFERROR(VLOOKUP($F$3,Y_3,5,0),"")</f>
        <v/>
      </c>
      <c r="H45" s="209" t="str">
        <f>IFERROR(VLOOKUP($F$3,Y_4,5,0),"")</f>
        <v/>
      </c>
      <c r="I45" s="209" t="str">
        <f>IFERROR(VLOOKUP($F$3,Y_5,5,0),"")</f>
        <v/>
      </c>
      <c r="J45" s="209" t="str">
        <f>IFERROR(VLOOKUP($F$3,Y_6,5,0),"")</f>
        <v/>
      </c>
      <c r="K45" s="330" t="str">
        <f>IFERROR(VLOOKUP($F$3,Y_7,5,0),"")</f>
        <v/>
      </c>
      <c r="L45" s="330" t="str">
        <f>IFERROR(VLOOKUP($F$3,Y_8,5,0),"")</f>
        <v/>
      </c>
      <c r="M45" s="210" t="str">
        <f>IFERROR(VLOOKUP($F$3,Y_9,5,0),"")</f>
        <v/>
      </c>
      <c r="O45" s="15"/>
      <c r="P45" s="15"/>
      <c r="Q45" s="15"/>
      <c r="R45" s="15"/>
      <c r="AB45" s="432"/>
      <c r="AC45" s="432"/>
      <c r="AF45" s="434"/>
      <c r="AG45" s="434"/>
      <c r="AH45" s="434"/>
      <c r="AI45" s="434"/>
      <c r="AJ45" s="434"/>
      <c r="AK45" s="434"/>
      <c r="AL45" s="434"/>
      <c r="AM45" s="434"/>
    </row>
    <row r="46" spans="1:56" x14ac:dyDescent="0.25">
      <c r="B46" s="374" t="s">
        <v>11</v>
      </c>
      <c r="C46" s="214"/>
      <c r="D46" s="214"/>
      <c r="E46" s="205" t="str">
        <f>IFERROR(VLOOKUP($F$3,Y_1,6,0),"")</f>
        <v/>
      </c>
      <c r="F46" s="205" t="str">
        <f>IFERROR(VLOOKUP($F$3,Y_2,6,0),"")</f>
        <v/>
      </c>
      <c r="G46" s="205" t="str">
        <f>IFERROR(VLOOKUP($F$3,Y_3,6,0),"")</f>
        <v/>
      </c>
      <c r="H46" s="205" t="str">
        <f>IFERROR(VLOOKUP($F$3,Y_4,6,0),"")</f>
        <v/>
      </c>
      <c r="I46" s="205" t="str">
        <f>IFERROR(VLOOKUP($F$3,Y_5,6,0),"")</f>
        <v/>
      </c>
      <c r="J46" s="205" t="str">
        <f>IFERROR(VLOOKUP($F$3,Y_6,6,0),"")</f>
        <v/>
      </c>
      <c r="K46" s="205" t="str">
        <f>IFERROR(VLOOKUP($F$3,Y_7,6,0),"")</f>
        <v/>
      </c>
      <c r="L46" s="205" t="str">
        <f>IFERROR(VLOOKUP($F$3,Y_8,6,0),"")</f>
        <v/>
      </c>
      <c r="M46" s="206" t="str">
        <f>IFERROR(VLOOKUP($F$3,Y_9,6,0),"")</f>
        <v/>
      </c>
      <c r="O46" s="15"/>
      <c r="P46" s="15"/>
      <c r="Q46" s="15"/>
      <c r="R46" s="15"/>
      <c r="AB46" s="432"/>
      <c r="AC46" s="432"/>
      <c r="AF46" s="434"/>
      <c r="AG46" s="434"/>
      <c r="AH46" s="434"/>
      <c r="AI46" s="434"/>
      <c r="AJ46" s="434"/>
      <c r="AK46" s="434"/>
      <c r="AL46" s="434"/>
      <c r="AM46" s="434"/>
    </row>
    <row r="47" spans="1:56" x14ac:dyDescent="0.25">
      <c r="B47" s="16" t="s">
        <v>12</v>
      </c>
      <c r="C47" s="17"/>
      <c r="D47" s="17"/>
      <c r="E47" s="371" t="str">
        <f>IFERROR(VLOOKUP($F$3,Y_1,7,0),"")</f>
        <v/>
      </c>
      <c r="F47" s="371" t="str">
        <f>IFERROR(VLOOKUP($F$3,Y_2,7,0),"")</f>
        <v/>
      </c>
      <c r="G47" s="371" t="str">
        <f>IFERROR(VLOOKUP($F$3,Y_3,7,0),"")</f>
        <v/>
      </c>
      <c r="H47" s="371" t="str">
        <f>IFERROR(VLOOKUP($F$3,Y_4,7,0),"")</f>
        <v/>
      </c>
      <c r="I47" s="371" t="str">
        <f>IFERROR(VLOOKUP($F$3,Y_5,7,0),"")</f>
        <v/>
      </c>
      <c r="J47" s="371" t="str">
        <f>IFERROR(VLOOKUP($F$3,Y_6,7,0),"")</f>
        <v/>
      </c>
      <c r="K47" s="371" t="str">
        <f>IFERROR(VLOOKUP($F$3,Y_7,7,0),"")</f>
        <v/>
      </c>
      <c r="L47" s="371" t="str">
        <f>IFERROR(VLOOKUP($F$3,Y_8,7,0),"")</f>
        <v/>
      </c>
      <c r="M47" s="372" t="str">
        <f>IFERROR(VLOOKUP($F$3,Y_9,7,0),"")</f>
        <v/>
      </c>
      <c r="O47" s="15"/>
      <c r="P47" s="15"/>
      <c r="Q47" s="15"/>
      <c r="R47" s="15"/>
      <c r="AB47" s="432"/>
      <c r="AC47" s="432"/>
      <c r="AF47" s="434"/>
      <c r="AG47" s="434"/>
      <c r="AH47" s="434"/>
      <c r="AI47" s="434"/>
      <c r="AJ47" s="434"/>
      <c r="AK47" s="434"/>
      <c r="AL47" s="434"/>
      <c r="AM47" s="434"/>
    </row>
    <row r="48" spans="1:56" x14ac:dyDescent="0.25">
      <c r="B48" s="374" t="str">
        <f>IF($F$4="Please select an LA area in the box above","",$F$4)</f>
        <v/>
      </c>
      <c r="C48" s="382"/>
      <c r="D48" s="17"/>
      <c r="E48" s="211" t="str">
        <f>IFERROR(VLOOKUP($F$4,Y_1,7,0),"")</f>
        <v/>
      </c>
      <c r="F48" s="211" t="str">
        <f>IFERROR(VLOOKUP($F$4,Y_2,7,0),"")</f>
        <v/>
      </c>
      <c r="G48" s="211" t="str">
        <f>IFERROR(VLOOKUP($F$4,Y_3,7,0),"")</f>
        <v/>
      </c>
      <c r="H48" s="211" t="str">
        <f>IFERROR(VLOOKUP($F$4,Y_4,7,0),"")</f>
        <v/>
      </c>
      <c r="I48" s="211" t="str">
        <f>IFERROR(VLOOKUP($F$4,Y_5,7,0),"")</f>
        <v/>
      </c>
      <c r="J48" s="211" t="str">
        <f>IFERROR(VLOOKUP($F$4,Y_6,7,0),"")</f>
        <v/>
      </c>
      <c r="K48" s="211" t="str">
        <f>IFERROR(VLOOKUP($F$4,Y_7,7,0),"")</f>
        <v/>
      </c>
      <c r="L48" s="211" t="str">
        <f>IFERROR(VLOOKUP($F$4,Y_8,7,0),"")</f>
        <v/>
      </c>
      <c r="M48" s="212" t="str">
        <f>IFERROR(VLOOKUP($F$4,Y_9,7,0),"")</f>
        <v/>
      </c>
      <c r="O48" s="15"/>
      <c r="P48" s="15"/>
      <c r="Q48" s="15"/>
      <c r="R48" s="15"/>
      <c r="AB48" s="432"/>
      <c r="AC48" s="432"/>
      <c r="AF48" s="434"/>
      <c r="AG48" s="434"/>
      <c r="AH48" s="434"/>
      <c r="AI48" s="434"/>
      <c r="AJ48" s="434"/>
      <c r="AK48" s="434"/>
      <c r="AL48" s="434"/>
      <c r="AM48" s="434"/>
    </row>
    <row r="49" spans="1:39" x14ac:dyDescent="0.25">
      <c r="B49" s="213" t="s">
        <v>13</v>
      </c>
      <c r="C49" s="214"/>
      <c r="D49" s="18"/>
      <c r="E49" s="211">
        <f>IFERROR(VLOOKUP($B$49,Y_1,7,0),"")</f>
        <v>2608767</v>
      </c>
      <c r="F49" s="211">
        <f>IFERROR(VLOOKUP($B$49,Y_2,7,0),"")</f>
        <v>2655501</v>
      </c>
      <c r="G49" s="211">
        <f>IFERROR(VLOOKUP($B$49,Y_3,7,0),"")</f>
        <v>2672026</v>
      </c>
      <c r="H49" s="211">
        <f>IFERROR(VLOOKUP($B$49,Y_4,7,0),"")</f>
        <v>2708355</v>
      </c>
      <c r="I49" s="211">
        <f>IFERROR(VLOOKUP($B$49,Y_5,7,0),"")</f>
        <v>2741601</v>
      </c>
      <c r="J49" s="211">
        <f>IFERROR(VLOOKUP($B$49,Y_6,7,0),"")</f>
        <v>2777878</v>
      </c>
      <c r="K49" s="211">
        <f>IFERROR(VLOOKUP($B$49,Y_7,7,0),"")</f>
        <v>2804350</v>
      </c>
      <c r="L49" s="211">
        <f>IFERROR(VLOOKUP($B$49,Y_8,7,0),"")</f>
        <v>2842600</v>
      </c>
      <c r="M49" s="212">
        <f>IFERROR(VLOOKUP($B$49,Y_9,7,0),"")</f>
        <v>2882687</v>
      </c>
      <c r="AB49" s="432"/>
      <c r="AC49" s="432"/>
      <c r="AF49" s="434"/>
      <c r="AG49" s="434"/>
      <c r="AH49" s="434"/>
      <c r="AI49" s="434"/>
      <c r="AJ49" s="434"/>
      <c r="AK49" s="434"/>
      <c r="AL49" s="434"/>
      <c r="AM49" s="434"/>
    </row>
    <row r="50" spans="1:39" x14ac:dyDescent="0.25">
      <c r="AB50" s="432"/>
      <c r="AC50" s="432"/>
      <c r="AF50" s="434"/>
      <c r="AG50" s="434"/>
      <c r="AH50" s="434"/>
      <c r="AI50" s="434"/>
      <c r="AJ50" s="434"/>
      <c r="AK50" s="434"/>
      <c r="AL50" s="434"/>
      <c r="AM50" s="434"/>
    </row>
    <row r="51" spans="1:39" ht="15.75" x14ac:dyDescent="0.25">
      <c r="A51" s="450">
        <v>2</v>
      </c>
      <c r="B51" s="6" t="s">
        <v>14</v>
      </c>
      <c r="C51" s="7"/>
      <c r="D51" s="7"/>
      <c r="E51" s="7"/>
      <c r="F51" s="19"/>
      <c r="G51" s="19"/>
      <c r="H51" s="20"/>
      <c r="I51" s="20"/>
      <c r="J51" s="20"/>
      <c r="K51" s="20"/>
      <c r="L51" s="20"/>
      <c r="M51" s="21"/>
      <c r="AB51" s="432"/>
      <c r="AC51" s="432"/>
      <c r="AF51" s="434"/>
      <c r="AG51" s="434"/>
      <c r="AH51" s="434"/>
      <c r="AI51" s="434"/>
      <c r="AJ51" s="434"/>
      <c r="AK51" s="434"/>
      <c r="AL51" s="434"/>
      <c r="AM51" s="434"/>
    </row>
    <row r="52" spans="1:39" ht="32.1" customHeight="1" x14ac:dyDescent="0.25">
      <c r="A52" s="451"/>
      <c r="B52" s="215"/>
      <c r="C52" s="383"/>
      <c r="D52" s="22"/>
      <c r="E52" s="23">
        <v>2015</v>
      </c>
      <c r="F52" s="23">
        <v>2016</v>
      </c>
      <c r="G52" s="23">
        <v>2017</v>
      </c>
      <c r="H52" s="23">
        <v>2018</v>
      </c>
      <c r="I52" s="23">
        <v>2019</v>
      </c>
      <c r="J52" s="23">
        <v>2020</v>
      </c>
      <c r="K52" s="332">
        <v>2021</v>
      </c>
      <c r="L52" s="332">
        <v>2022</v>
      </c>
      <c r="M52" s="24">
        <v>2023</v>
      </c>
      <c r="AB52" s="432"/>
      <c r="AC52" s="432"/>
      <c r="AF52" s="434"/>
      <c r="AG52" s="434"/>
      <c r="AH52" s="434"/>
      <c r="AI52" s="434"/>
      <c r="AJ52" s="434"/>
      <c r="AK52" s="434"/>
      <c r="AL52" s="434"/>
      <c r="AM52" s="434"/>
    </row>
    <row r="53" spans="1:39" x14ac:dyDescent="0.25">
      <c r="B53" s="25">
        <f>$F$3</f>
        <v>0</v>
      </c>
      <c r="C53" s="26"/>
      <c r="D53" s="26"/>
      <c r="E53" s="216"/>
      <c r="F53" s="216"/>
      <c r="G53" s="216"/>
      <c r="H53" s="216"/>
      <c r="I53" s="216"/>
      <c r="J53" s="216"/>
      <c r="K53" s="216"/>
      <c r="L53" s="216"/>
      <c r="M53" s="217"/>
      <c r="AB53" s="432"/>
      <c r="AC53" s="432"/>
      <c r="AF53" s="434"/>
      <c r="AG53" s="434"/>
      <c r="AH53" s="434"/>
      <c r="AI53" s="434"/>
      <c r="AJ53" s="434"/>
      <c r="AK53" s="434"/>
      <c r="AL53" s="434"/>
      <c r="AM53" s="434"/>
    </row>
    <row r="54" spans="1:39" ht="29.1" customHeight="1" x14ac:dyDescent="0.25">
      <c r="B54" s="446" t="s">
        <v>15</v>
      </c>
      <c r="C54" s="447"/>
      <c r="D54" s="447"/>
      <c r="E54" s="422" t="str">
        <f>IFERROR(VLOOKUP($F$3,Y_1,8,0),"")</f>
        <v/>
      </c>
      <c r="F54" s="422" t="str">
        <f>IFERROR(VLOOKUP($F$3,Y_2,8,0),"")</f>
        <v/>
      </c>
      <c r="G54" s="422" t="str">
        <f>IFERROR(VLOOKUP($F$3,Y_3,8,0),"")</f>
        <v/>
      </c>
      <c r="H54" s="422" t="str">
        <f>IFERROR(VLOOKUP($F$3,Y_4,8,0),"")</f>
        <v/>
      </c>
      <c r="I54" s="422" t="str">
        <f>IFERROR(VLOOKUP($F$3,Y_5,8,0),"")</f>
        <v/>
      </c>
      <c r="J54" s="422" t="str">
        <f>IFERROR(VLOOKUP($F$3,Y_6,8,0),"")</f>
        <v/>
      </c>
      <c r="K54" s="422" t="str">
        <f>IFERROR(VLOOKUP($F$3,Y_7,8,0),"")</f>
        <v/>
      </c>
      <c r="L54" s="422" t="str">
        <f>IFERROR(VLOOKUP($F$3,Y_8,8,0),"")</f>
        <v/>
      </c>
      <c r="M54" s="423" t="str">
        <f>IFERROR(VLOOKUP($F$3,Y_9,8,0),"")</f>
        <v/>
      </c>
      <c r="AB54" s="432"/>
      <c r="AC54" s="432"/>
      <c r="AF54" s="434"/>
      <c r="AG54" s="434"/>
      <c r="AH54" s="434"/>
      <c r="AI54" s="434"/>
      <c r="AJ54" s="434"/>
      <c r="AK54" s="434"/>
      <c r="AL54" s="434"/>
      <c r="AM54" s="434"/>
    </row>
    <row r="55" spans="1:39" ht="29.1" customHeight="1" x14ac:dyDescent="0.25">
      <c r="B55" s="446" t="s">
        <v>16</v>
      </c>
      <c r="C55" s="447"/>
      <c r="D55" s="447"/>
      <c r="E55" s="422" t="str">
        <f>IFERROR(VLOOKUP($F$3,Y_1,9,0),"")</f>
        <v/>
      </c>
      <c r="F55" s="422" t="str">
        <f>IFERROR(VLOOKUP($F$3,Y_2,9,0),"")</f>
        <v/>
      </c>
      <c r="G55" s="422" t="str">
        <f>IFERROR(VLOOKUP($F$3,Y_3,9,0),"")</f>
        <v/>
      </c>
      <c r="H55" s="422" t="str">
        <f>IFERROR(VLOOKUP($F$3,Y_4,9,0),"")</f>
        <v/>
      </c>
      <c r="I55" s="422" t="str">
        <f>IFERROR(VLOOKUP($F$3,Y_5,9,0),"")</f>
        <v/>
      </c>
      <c r="J55" s="422" t="str">
        <f>IFERROR(VLOOKUP($F$3,Y_6,9,0),"")</f>
        <v/>
      </c>
      <c r="K55" s="422" t="str">
        <f>IFERROR(VLOOKUP($F$3,Y_7,9,0),"")</f>
        <v/>
      </c>
      <c r="L55" s="422" t="str">
        <f>IFERROR(VLOOKUP($F$3,Y_8,9,0),"")</f>
        <v/>
      </c>
      <c r="M55" s="423" t="str">
        <f>IFERROR(VLOOKUP($F$3,Y_9,9,0),"")</f>
        <v/>
      </c>
      <c r="AB55" s="432"/>
      <c r="AC55" s="432"/>
      <c r="AF55" s="434"/>
      <c r="AG55" s="434"/>
      <c r="AH55" s="434"/>
      <c r="AI55" s="434"/>
      <c r="AJ55" s="434"/>
      <c r="AK55" s="434"/>
      <c r="AL55" s="434"/>
      <c r="AM55" s="434"/>
    </row>
    <row r="56" spans="1:39" ht="29.1" customHeight="1" x14ac:dyDescent="0.25">
      <c r="B56" s="448" t="s">
        <v>17</v>
      </c>
      <c r="C56" s="449"/>
      <c r="D56" s="449"/>
      <c r="E56" s="27" t="str">
        <f>IFERROR(E55/E54,"-")</f>
        <v>-</v>
      </c>
      <c r="F56" s="27" t="str">
        <f t="shared" ref="F56:J56" si="0">IFERROR(F55/F54,"-")</f>
        <v>-</v>
      </c>
      <c r="G56" s="27" t="str">
        <f t="shared" si="0"/>
        <v>-</v>
      </c>
      <c r="H56" s="27" t="str">
        <f t="shared" si="0"/>
        <v>-</v>
      </c>
      <c r="I56" s="27" t="str">
        <f t="shared" si="0"/>
        <v>-</v>
      </c>
      <c r="J56" s="27" t="str">
        <f t="shared" si="0"/>
        <v>-</v>
      </c>
      <c r="K56" s="27" t="str">
        <f t="shared" ref="K56" si="1">IFERROR(K55/K54,"-")</f>
        <v>-</v>
      </c>
      <c r="L56" s="27" t="str">
        <f t="shared" ref="L56" si="2">IFERROR(L55/L54,"-")</f>
        <v>-</v>
      </c>
      <c r="M56" s="28" t="str">
        <f t="shared" ref="M56" si="3">IFERROR(M55/M54,"-")</f>
        <v>-</v>
      </c>
      <c r="AB56" s="432"/>
      <c r="AC56" s="432"/>
      <c r="AF56" s="434"/>
      <c r="AG56" s="434"/>
      <c r="AH56" s="434"/>
      <c r="AI56" s="434"/>
      <c r="AJ56" s="434"/>
      <c r="AK56" s="434"/>
      <c r="AL56" s="434"/>
      <c r="AM56" s="434"/>
    </row>
    <row r="57" spans="1:39" x14ac:dyDescent="0.25">
      <c r="B57" s="29" t="str">
        <f>$B$48</f>
        <v/>
      </c>
      <c r="C57" s="384"/>
      <c r="D57" s="30"/>
      <c r="E57" s="218"/>
      <c r="F57" s="218"/>
      <c r="G57" s="218"/>
      <c r="H57" s="218"/>
      <c r="I57" s="218"/>
      <c r="J57" s="218"/>
      <c r="K57" s="333"/>
      <c r="L57" s="333"/>
      <c r="M57" s="219"/>
      <c r="AB57" s="432"/>
      <c r="AC57" s="432"/>
      <c r="AF57" s="434"/>
      <c r="AG57" s="434"/>
      <c r="AH57" s="434"/>
      <c r="AI57" s="434"/>
      <c r="AJ57" s="434"/>
      <c r="AK57" s="434"/>
      <c r="AL57" s="434"/>
      <c r="AM57" s="434"/>
    </row>
    <row r="58" spans="1:39" ht="29.1" customHeight="1" x14ac:dyDescent="0.25">
      <c r="B58" s="446" t="s">
        <v>15</v>
      </c>
      <c r="C58" s="447"/>
      <c r="D58" s="447"/>
      <c r="E58" s="422" t="str">
        <f>IFERROR(VLOOKUP($F$4,Y_1,8,0),"")</f>
        <v/>
      </c>
      <c r="F58" s="422" t="str">
        <f>IFERROR(VLOOKUP($F$4,Y_2,8,0),"")</f>
        <v/>
      </c>
      <c r="G58" s="422" t="str">
        <f>IFERROR(VLOOKUP($F$4,Y_3,8,0),"")</f>
        <v/>
      </c>
      <c r="H58" s="422" t="str">
        <f>IFERROR(VLOOKUP($F$4,Y_4,8,0),"")</f>
        <v/>
      </c>
      <c r="I58" s="422" t="str">
        <f>IFERROR(VLOOKUP($F$4,Y_5,8,0),"")</f>
        <v/>
      </c>
      <c r="J58" s="422" t="str">
        <f>IFERROR(VLOOKUP($F$4,Y_6,8,0),"")</f>
        <v/>
      </c>
      <c r="K58" s="422" t="str">
        <f>IFERROR(VLOOKUP($F$4,Y_7,8,0),"")</f>
        <v/>
      </c>
      <c r="L58" s="422" t="str">
        <f>IFERROR(VLOOKUP($F$4,Y_8,8,0),"")</f>
        <v/>
      </c>
      <c r="M58" s="423" t="str">
        <f>IFERROR(VLOOKUP($F$4,Y_9,8,0),"")</f>
        <v/>
      </c>
      <c r="AB58" s="432"/>
      <c r="AC58" s="432"/>
      <c r="AF58" s="434"/>
      <c r="AG58" s="434"/>
      <c r="AH58" s="434"/>
      <c r="AI58" s="434"/>
      <c r="AJ58" s="434"/>
      <c r="AK58" s="434"/>
      <c r="AL58" s="434"/>
      <c r="AM58" s="434"/>
    </row>
    <row r="59" spans="1:39" ht="29.1" customHeight="1" x14ac:dyDescent="0.25">
      <c r="B59" s="446" t="s">
        <v>16</v>
      </c>
      <c r="C59" s="447"/>
      <c r="D59" s="447"/>
      <c r="E59" s="422" t="str">
        <f>IFERROR(VLOOKUP($F$4,Y_1,9,0),"")</f>
        <v/>
      </c>
      <c r="F59" s="422" t="str">
        <f>IFERROR(VLOOKUP($F$4,Y_2,9,0),"")</f>
        <v/>
      </c>
      <c r="G59" s="422" t="str">
        <f>IFERROR(VLOOKUP($F$4,Y_3,9,0),"")</f>
        <v/>
      </c>
      <c r="H59" s="422" t="str">
        <f>IFERROR(VLOOKUP($F$4,Y_4,9,0),"")</f>
        <v/>
      </c>
      <c r="I59" s="422" t="str">
        <f>IFERROR(VLOOKUP($F$4,Y_5,9,0),"")</f>
        <v/>
      </c>
      <c r="J59" s="422" t="str">
        <f>IFERROR(VLOOKUP($F$4,Y_6,9,0),"")</f>
        <v/>
      </c>
      <c r="K59" s="422" t="str">
        <f>IFERROR(VLOOKUP($F$4,Y_7,9,0),"")</f>
        <v/>
      </c>
      <c r="L59" s="422" t="str">
        <f>IFERROR(VLOOKUP($F$4,Y_8,9,0),"")</f>
        <v/>
      </c>
      <c r="M59" s="423" t="str">
        <f>IFERROR(VLOOKUP($F$4,Y_9,9,0),"")</f>
        <v/>
      </c>
      <c r="AB59" s="432"/>
      <c r="AC59" s="432"/>
      <c r="AF59" s="434"/>
      <c r="AG59" s="434"/>
      <c r="AH59" s="434"/>
      <c r="AI59" s="434"/>
      <c r="AJ59" s="434"/>
      <c r="AK59" s="434"/>
      <c r="AL59" s="434"/>
      <c r="AM59" s="434"/>
    </row>
    <row r="60" spans="1:39" ht="29.1" customHeight="1" x14ac:dyDescent="0.25">
      <c r="B60" s="446" t="s">
        <v>17</v>
      </c>
      <c r="C60" s="447"/>
      <c r="D60" s="447"/>
      <c r="E60" s="225" t="str">
        <f>IFERROR(E59/E58,"-")</f>
        <v>-</v>
      </c>
      <c r="F60" s="225" t="str">
        <f t="shared" ref="F60:J60" si="4">IFERROR(F59/F58,"-")</f>
        <v>-</v>
      </c>
      <c r="G60" s="225" t="str">
        <f t="shared" si="4"/>
        <v>-</v>
      </c>
      <c r="H60" s="225" t="str">
        <f t="shared" si="4"/>
        <v>-</v>
      </c>
      <c r="I60" s="225" t="str">
        <f t="shared" si="4"/>
        <v>-</v>
      </c>
      <c r="J60" s="225" t="str">
        <f t="shared" si="4"/>
        <v>-</v>
      </c>
      <c r="K60" s="225" t="str">
        <f t="shared" ref="K60" si="5">IFERROR(K59/K58,"-")</f>
        <v>-</v>
      </c>
      <c r="L60" s="225" t="str">
        <f t="shared" ref="L60" si="6">IFERROR(L59/L58,"-")</f>
        <v>-</v>
      </c>
      <c r="M60" s="226" t="str">
        <f t="shared" ref="M60" si="7">IFERROR(M59/M58,"-")</f>
        <v>-</v>
      </c>
      <c r="AB60" s="432"/>
      <c r="AC60" s="432"/>
      <c r="AF60" s="434"/>
      <c r="AG60" s="434"/>
      <c r="AH60" s="434"/>
      <c r="AI60" s="434"/>
      <c r="AJ60" s="434"/>
      <c r="AK60" s="434"/>
      <c r="AL60" s="434"/>
      <c r="AM60" s="434"/>
    </row>
    <row r="61" spans="1:39" x14ac:dyDescent="0.25">
      <c r="B61" s="29" t="s">
        <v>13</v>
      </c>
      <c r="C61" s="384"/>
      <c r="D61" s="30"/>
      <c r="E61" s="218"/>
      <c r="F61" s="218"/>
      <c r="G61" s="218"/>
      <c r="H61" s="218"/>
      <c r="I61" s="218"/>
      <c r="J61" s="218"/>
      <c r="K61" s="333"/>
      <c r="L61" s="333"/>
      <c r="M61" s="219"/>
      <c r="AB61" s="432"/>
      <c r="AC61" s="432"/>
      <c r="AF61" s="434"/>
      <c r="AG61" s="434"/>
      <c r="AH61" s="434"/>
      <c r="AI61" s="434"/>
      <c r="AJ61" s="434"/>
      <c r="AK61" s="434"/>
      <c r="AL61" s="434"/>
      <c r="AM61" s="434"/>
    </row>
    <row r="62" spans="1:39" ht="29.1" customHeight="1" x14ac:dyDescent="0.25">
      <c r="B62" s="446" t="s">
        <v>15</v>
      </c>
      <c r="C62" s="447"/>
      <c r="D62" s="447"/>
      <c r="E62" s="422">
        <f>IF($F$4&lt;&gt;"",VLOOKUP($B$49,Y_1,8,0),"")</f>
        <v>2451983</v>
      </c>
      <c r="F62" s="422">
        <f>IF($F$4&lt;&gt;"",VLOOKUP($B$49,Y_2,8,0),"")</f>
        <v>2493952</v>
      </c>
      <c r="G62" s="422">
        <f>IF($F$4&lt;&gt;"",VLOOKUP($B$49,Y_3,8,0),"")</f>
        <v>2511258</v>
      </c>
      <c r="H62" s="422">
        <f>IF($F$4&lt;&gt;"",VLOOKUP($B$49,Y_4,8,0),"")</f>
        <v>2539112</v>
      </c>
      <c r="I62" s="422">
        <f>IF($F$4&lt;&gt;"",VLOOKUP($B$49,Y_5,8,0),"")</f>
        <v>2560993</v>
      </c>
      <c r="J62" s="422">
        <f>IF($F$4&lt;&gt;"",VLOOKUP($B$49,Y_6,8,0),"")</f>
        <v>2583208</v>
      </c>
      <c r="K62" s="422">
        <f>IF($F$4&lt;&gt;"",VLOOKUP($B$49,Y_7,8,0),"")</f>
        <v>2598546</v>
      </c>
      <c r="L62" s="422">
        <f>IF($F$4&lt;&gt;"",VLOOKUP($B$49,Y_8,8,0),"")</f>
        <v>2619054</v>
      </c>
      <c r="M62" s="423">
        <f>IF($F$4&lt;&gt;"",VLOOKUP($B$49,Y_9,8,0),"")</f>
        <v>2645328</v>
      </c>
      <c r="AB62" s="432"/>
      <c r="AC62" s="432"/>
      <c r="AF62" s="434"/>
      <c r="AG62" s="434"/>
      <c r="AH62" s="434"/>
      <c r="AI62" s="434"/>
      <c r="AJ62" s="434"/>
      <c r="AK62" s="434"/>
      <c r="AL62" s="434"/>
      <c r="AM62" s="434"/>
    </row>
    <row r="63" spans="1:39" ht="29.1" customHeight="1" x14ac:dyDescent="0.25">
      <c r="B63" s="446" t="s">
        <v>16</v>
      </c>
      <c r="C63" s="447"/>
      <c r="D63" s="447"/>
      <c r="E63" s="422">
        <f>IF($F$4&lt;&gt;"",VLOOKUP($B$49,Y_1,9,0),"")</f>
        <v>16474</v>
      </c>
      <c r="F63" s="422">
        <f>IF($F$4&lt;&gt;"",VLOOKUP($B$49,Y_2,9,0),"")</f>
        <v>8053</v>
      </c>
      <c r="G63" s="422">
        <f>IF($F$4&lt;&gt;"",VLOOKUP($B$49,Y_3,9,0),"")</f>
        <v>11479</v>
      </c>
      <c r="H63" s="422">
        <f>IF($F$4&lt;&gt;"",VLOOKUP($B$49,Y_4,9,0),"")</f>
        <v>9610</v>
      </c>
      <c r="I63" s="422">
        <f>IF($F$4&lt;&gt;"",VLOOKUP($B$49,Y_5,9,0),"")</f>
        <v>8896</v>
      </c>
      <c r="J63" s="422">
        <f>IF($F$4&lt;&gt;"",VLOOKUP($B$49,Y_6,9,0),"")</f>
        <v>7788</v>
      </c>
      <c r="K63" s="422">
        <f>IF($F$4&lt;&gt;"",VLOOKUP($B$49,Y_7,9,0),"")</f>
        <v>10772</v>
      </c>
      <c r="L63" s="422">
        <f>IF($F$4&lt;&gt;"",VLOOKUP($B$49,Y_8,9,0),"")</f>
        <v>6692</v>
      </c>
      <c r="M63" s="423">
        <f>IF($F$4&lt;&gt;"",VLOOKUP($B$49,Y_9,9,0),"")</f>
        <v>15497</v>
      </c>
      <c r="AB63" s="432"/>
      <c r="AC63" s="432"/>
      <c r="AF63" s="434"/>
      <c r="AG63" s="434"/>
      <c r="AH63" s="434"/>
      <c r="AI63" s="434"/>
      <c r="AJ63" s="434"/>
      <c r="AK63" s="434"/>
      <c r="AL63" s="434"/>
      <c r="AM63" s="434"/>
    </row>
    <row r="64" spans="1:39" ht="29.1" customHeight="1" x14ac:dyDescent="0.25">
      <c r="B64" s="446" t="s">
        <v>17</v>
      </c>
      <c r="C64" s="447"/>
      <c r="D64" s="447"/>
      <c r="E64" s="225">
        <f>IFERROR(E63/E62,"-")</f>
        <v>6.7186436447561016E-3</v>
      </c>
      <c r="F64" s="225">
        <f t="shared" ref="F64:J64" si="8">IFERROR(F63/F62,"-")</f>
        <v>3.2290116249230139E-3</v>
      </c>
      <c r="G64" s="225">
        <f t="shared" si="8"/>
        <v>4.5710158016420456E-3</v>
      </c>
      <c r="H64" s="225">
        <f t="shared" si="8"/>
        <v>3.7847877525686146E-3</v>
      </c>
      <c r="I64" s="225">
        <f t="shared" si="8"/>
        <v>3.4736526027208977E-3</v>
      </c>
      <c r="J64" s="225">
        <f t="shared" si="8"/>
        <v>3.0148559465594717E-3</v>
      </c>
      <c r="K64" s="225">
        <f t="shared" ref="K64" si="9">IFERROR(K63/K62,"-")</f>
        <v>4.1453951555985536E-3</v>
      </c>
      <c r="L64" s="225">
        <f t="shared" ref="L64" si="10">IFERROR(L63/L62,"-")</f>
        <v>2.5551210475232662E-3</v>
      </c>
      <c r="M64" s="226">
        <f t="shared" ref="M64" si="11">IFERROR(M63/M62,"-")</f>
        <v>5.8582527384127793E-3</v>
      </c>
      <c r="AB64" s="432"/>
      <c r="AC64" s="432"/>
      <c r="AF64" s="434"/>
      <c r="AG64" s="434"/>
      <c r="AH64" s="434"/>
      <c r="AI64" s="434"/>
      <c r="AJ64" s="434"/>
      <c r="AK64" s="434"/>
      <c r="AL64" s="434"/>
      <c r="AM64" s="434"/>
    </row>
    <row r="65" spans="1:56" x14ac:dyDescent="0.25">
      <c r="B65" s="378"/>
      <c r="C65" s="378"/>
      <c r="D65" s="378"/>
      <c r="E65" s="166"/>
      <c r="F65" s="166"/>
      <c r="G65" s="166"/>
      <c r="H65" s="166"/>
      <c r="I65" s="166"/>
      <c r="J65" s="166"/>
      <c r="K65" s="166"/>
      <c r="L65" s="166"/>
      <c r="M65" s="166"/>
      <c r="AB65" s="432"/>
      <c r="AC65" s="432"/>
      <c r="AF65" s="434"/>
      <c r="AG65" s="434"/>
      <c r="AH65" s="434"/>
      <c r="AI65" s="434"/>
      <c r="AJ65" s="434"/>
      <c r="AK65" s="434"/>
      <c r="AL65" s="434"/>
      <c r="AM65" s="434"/>
      <c r="AW65" s="187"/>
      <c r="AX65" s="187"/>
      <c r="AY65" s="187"/>
      <c r="AZ65" s="187"/>
      <c r="BA65" s="187"/>
      <c r="BB65" s="187"/>
      <c r="BC65" s="187"/>
      <c r="BD65" s="187"/>
    </row>
    <row r="66" spans="1:56" s="322" customFormat="1" x14ac:dyDescent="0.25">
      <c r="A66" s="450">
        <v>3</v>
      </c>
      <c r="B66" s="392"/>
      <c r="C66" s="392"/>
      <c r="D66" s="392"/>
      <c r="E66" s="393"/>
      <c r="F66" s="393"/>
      <c r="G66" s="393"/>
      <c r="H66" s="393"/>
      <c r="I66" s="393"/>
      <c r="J66" s="393"/>
      <c r="K66" s="393"/>
      <c r="L66" s="393"/>
      <c r="M66" s="393"/>
      <c r="N66" s="394"/>
      <c r="AB66" s="432"/>
      <c r="AC66" s="432"/>
      <c r="AD66" s="158"/>
      <c r="AE66" s="158"/>
      <c r="AF66" s="434"/>
      <c r="AG66" s="434"/>
      <c r="AH66" s="434"/>
      <c r="AI66" s="434"/>
      <c r="AJ66" s="434"/>
      <c r="AK66" s="434"/>
      <c r="AL66" s="434"/>
      <c r="AM66" s="434"/>
      <c r="AN66" s="396"/>
      <c r="AO66" s="396"/>
      <c r="AP66" s="396"/>
      <c r="AQ66" s="396"/>
      <c r="AR66" s="396"/>
      <c r="AS66" s="396"/>
      <c r="AT66" s="396"/>
      <c r="AU66" s="396"/>
      <c r="AV66" s="396"/>
      <c r="AW66" s="396"/>
      <c r="AX66" s="396"/>
      <c r="AY66" s="396"/>
      <c r="AZ66" s="396"/>
      <c r="BA66" s="396"/>
      <c r="BB66" s="396"/>
      <c r="BC66" s="396"/>
      <c r="BD66" s="396"/>
    </row>
    <row r="67" spans="1:56" s="322" customFormat="1" x14ac:dyDescent="0.25">
      <c r="A67" s="451"/>
      <c r="B67" s="392"/>
      <c r="C67" s="392"/>
      <c r="D67" s="392"/>
      <c r="E67" s="393"/>
      <c r="F67" s="393"/>
      <c r="G67" s="393"/>
      <c r="H67" s="393"/>
      <c r="I67" s="393"/>
      <c r="J67" s="393"/>
      <c r="K67" s="393"/>
      <c r="L67" s="393"/>
      <c r="M67" s="393"/>
      <c r="N67" s="394"/>
      <c r="AB67" s="432"/>
      <c r="AC67" s="432"/>
      <c r="AD67" s="158"/>
      <c r="AE67" s="158"/>
      <c r="AF67" s="434"/>
      <c r="AG67" s="434"/>
      <c r="AH67" s="434"/>
      <c r="AI67" s="434"/>
      <c r="AJ67" s="434"/>
      <c r="AK67" s="434"/>
      <c r="AL67" s="434"/>
      <c r="AM67" s="434"/>
      <c r="AN67" s="396"/>
      <c r="AO67" s="396"/>
      <c r="AP67" s="396"/>
      <c r="AQ67" s="396"/>
      <c r="AR67" s="396"/>
      <c r="AS67" s="396"/>
      <c r="AT67" s="396"/>
      <c r="AU67" s="396"/>
      <c r="AV67" s="396"/>
      <c r="AW67" s="396"/>
      <c r="AX67" s="396"/>
      <c r="AY67" s="396"/>
      <c r="AZ67" s="396"/>
      <c r="BA67" s="396"/>
      <c r="BB67" s="396"/>
      <c r="BC67" s="396"/>
      <c r="BD67" s="396"/>
    </row>
    <row r="68" spans="1:56" s="322" customFormat="1" x14ac:dyDescent="0.25">
      <c r="B68" s="392"/>
      <c r="C68" s="392"/>
      <c r="D68" s="392"/>
      <c r="E68" s="393"/>
      <c r="F68" s="393"/>
      <c r="G68" s="393"/>
      <c r="H68" s="393"/>
      <c r="I68" s="393"/>
      <c r="J68" s="393"/>
      <c r="K68" s="393"/>
      <c r="L68" s="393"/>
      <c r="M68" s="393"/>
      <c r="N68" s="394"/>
      <c r="AB68" s="432"/>
      <c r="AC68" s="432"/>
      <c r="AD68" s="158"/>
      <c r="AE68" s="158"/>
      <c r="AF68" s="434"/>
      <c r="AG68" s="434"/>
      <c r="AH68" s="434"/>
      <c r="AI68" s="434"/>
      <c r="AJ68" s="434"/>
      <c r="AK68" s="434"/>
      <c r="AL68" s="434"/>
      <c r="AM68" s="434"/>
      <c r="AN68" s="396"/>
      <c r="AO68" s="396"/>
      <c r="AP68" s="396"/>
      <c r="AQ68" s="396"/>
      <c r="AR68" s="396"/>
      <c r="AS68" s="396"/>
      <c r="AT68" s="396"/>
      <c r="AU68" s="396"/>
      <c r="AV68" s="396"/>
      <c r="AW68" s="396"/>
      <c r="AX68" s="396"/>
      <c r="AY68" s="396"/>
      <c r="AZ68" s="396"/>
      <c r="BA68" s="396"/>
      <c r="BB68" s="396"/>
      <c r="BC68" s="396"/>
      <c r="BD68" s="396"/>
    </row>
    <row r="69" spans="1:56" s="322" customFormat="1" x14ac:dyDescent="0.25">
      <c r="B69" s="392"/>
      <c r="C69" s="392"/>
      <c r="D69" s="392"/>
      <c r="E69" s="393"/>
      <c r="F69" s="393"/>
      <c r="G69" s="393"/>
      <c r="H69" s="393"/>
      <c r="I69" s="393"/>
      <c r="J69" s="393"/>
      <c r="K69" s="393"/>
      <c r="L69" s="393"/>
      <c r="M69" s="393"/>
      <c r="N69" s="394"/>
      <c r="AB69" s="432"/>
      <c r="AC69" s="432"/>
      <c r="AD69" s="158"/>
      <c r="AE69" s="158"/>
      <c r="AF69" s="434"/>
      <c r="AG69" s="434"/>
      <c r="AH69" s="434"/>
      <c r="AI69" s="434"/>
      <c r="AJ69" s="434"/>
      <c r="AK69" s="434"/>
      <c r="AL69" s="434"/>
      <c r="AM69" s="434"/>
      <c r="AN69" s="396"/>
      <c r="AO69" s="396"/>
      <c r="AP69" s="396"/>
      <c r="AQ69" s="396"/>
      <c r="AR69" s="396"/>
      <c r="AS69" s="396"/>
      <c r="AT69" s="396"/>
      <c r="AU69" s="396"/>
      <c r="AV69" s="396"/>
      <c r="AW69" s="396"/>
      <c r="AX69" s="396"/>
      <c r="AY69" s="396"/>
      <c r="AZ69" s="396"/>
      <c r="BA69" s="396"/>
      <c r="BB69" s="396"/>
      <c r="BC69" s="396"/>
      <c r="BD69" s="396"/>
    </row>
    <row r="70" spans="1:56" s="322" customFormat="1" x14ac:dyDescent="0.25">
      <c r="B70" s="392"/>
      <c r="C70" s="392"/>
      <c r="D70" s="392"/>
      <c r="E70" s="393"/>
      <c r="F70" s="393"/>
      <c r="G70" s="393"/>
      <c r="H70" s="393"/>
      <c r="I70" s="393"/>
      <c r="J70" s="393"/>
      <c r="K70" s="393"/>
      <c r="L70" s="393"/>
      <c r="M70" s="393"/>
      <c r="N70" s="394"/>
      <c r="AB70" s="432"/>
      <c r="AC70" s="432"/>
      <c r="AD70" s="158"/>
      <c r="AE70" s="158"/>
      <c r="AF70" s="434"/>
      <c r="AG70" s="434"/>
      <c r="AH70" s="434"/>
      <c r="AI70" s="434"/>
      <c r="AJ70" s="434"/>
      <c r="AK70" s="434"/>
      <c r="AL70" s="434"/>
      <c r="AM70" s="434"/>
      <c r="AN70" s="396"/>
      <c r="AO70" s="396"/>
      <c r="AP70" s="396"/>
      <c r="AQ70" s="396"/>
      <c r="AR70" s="396"/>
      <c r="AS70" s="396"/>
      <c r="AT70" s="396"/>
      <c r="AU70" s="396"/>
      <c r="AV70" s="396"/>
      <c r="AW70" s="396"/>
      <c r="AX70" s="396"/>
      <c r="AY70" s="396"/>
      <c r="AZ70" s="396"/>
      <c r="BA70" s="396"/>
      <c r="BB70" s="396"/>
      <c r="BC70" s="396"/>
      <c r="BD70" s="396"/>
    </row>
    <row r="71" spans="1:56" s="322" customFormat="1" x14ac:dyDescent="0.25">
      <c r="B71" s="392"/>
      <c r="C71" s="392"/>
      <c r="D71" s="392"/>
      <c r="E71" s="393"/>
      <c r="F71" s="393"/>
      <c r="G71" s="393"/>
      <c r="H71" s="393"/>
      <c r="I71" s="393"/>
      <c r="J71" s="393"/>
      <c r="K71" s="393"/>
      <c r="L71" s="393"/>
      <c r="M71" s="393"/>
      <c r="N71" s="394"/>
      <c r="AB71" s="432"/>
      <c r="AC71" s="432"/>
      <c r="AD71" s="158"/>
      <c r="AE71" s="158"/>
      <c r="AF71" s="434"/>
      <c r="AG71" s="434"/>
      <c r="AH71" s="434"/>
      <c r="AI71" s="434"/>
      <c r="AJ71" s="434"/>
      <c r="AK71" s="434"/>
      <c r="AL71" s="434"/>
      <c r="AM71" s="434"/>
      <c r="AN71" s="396"/>
      <c r="AO71" s="396"/>
      <c r="AP71" s="396"/>
      <c r="AQ71" s="396"/>
      <c r="AR71" s="396"/>
      <c r="AS71" s="396"/>
      <c r="AT71" s="396"/>
      <c r="AU71" s="396"/>
      <c r="AV71" s="396"/>
      <c r="AW71" s="396"/>
      <c r="AX71" s="396"/>
      <c r="AY71" s="396"/>
      <c r="AZ71" s="396"/>
      <c r="BA71" s="396"/>
      <c r="BB71" s="396"/>
      <c r="BC71" s="396"/>
      <c r="BD71" s="396"/>
    </row>
    <row r="72" spans="1:56" s="322" customFormat="1" x14ac:dyDescent="0.25">
      <c r="B72" s="392"/>
      <c r="C72" s="392"/>
      <c r="D72" s="392"/>
      <c r="E72" s="393"/>
      <c r="F72" s="393"/>
      <c r="G72" s="393"/>
      <c r="H72" s="393"/>
      <c r="I72" s="393"/>
      <c r="J72" s="393"/>
      <c r="K72" s="393"/>
      <c r="L72" s="393"/>
      <c r="M72" s="393"/>
      <c r="N72" s="394"/>
      <c r="AB72" s="432"/>
      <c r="AC72" s="432"/>
      <c r="AD72" s="158"/>
      <c r="AE72" s="158"/>
      <c r="AF72" s="434"/>
      <c r="AG72" s="434"/>
      <c r="AH72" s="434"/>
      <c r="AI72" s="434"/>
      <c r="AJ72" s="434"/>
      <c r="AK72" s="434"/>
      <c r="AL72" s="434"/>
      <c r="AM72" s="434"/>
      <c r="AN72" s="396"/>
      <c r="AO72" s="396"/>
      <c r="AP72" s="396"/>
      <c r="AQ72" s="396"/>
      <c r="AR72" s="396"/>
      <c r="AS72" s="396"/>
      <c r="AT72" s="396"/>
      <c r="AU72" s="396"/>
      <c r="AV72" s="396"/>
      <c r="AW72" s="396"/>
      <c r="AX72" s="396"/>
      <c r="AY72" s="396"/>
      <c r="AZ72" s="396"/>
      <c r="BA72" s="396"/>
      <c r="BB72" s="396"/>
      <c r="BC72" s="396"/>
      <c r="BD72" s="396"/>
    </row>
    <row r="73" spans="1:56" s="322" customFormat="1" x14ac:dyDescent="0.25">
      <c r="B73" s="392"/>
      <c r="C73" s="392"/>
      <c r="D73" s="392"/>
      <c r="E73" s="393"/>
      <c r="F73" s="393"/>
      <c r="G73" s="393"/>
      <c r="H73" s="393"/>
      <c r="I73" s="393"/>
      <c r="J73" s="393"/>
      <c r="K73" s="393"/>
      <c r="L73" s="393"/>
      <c r="M73" s="393"/>
      <c r="N73" s="394"/>
      <c r="AB73" s="432"/>
      <c r="AC73" s="432"/>
      <c r="AD73" s="158"/>
      <c r="AE73" s="158"/>
      <c r="AF73" s="434"/>
      <c r="AG73" s="434"/>
      <c r="AH73" s="434"/>
      <c r="AI73" s="434"/>
      <c r="AJ73" s="434"/>
      <c r="AK73" s="434"/>
      <c r="AL73" s="434"/>
      <c r="AM73" s="434"/>
      <c r="AN73" s="396"/>
      <c r="AO73" s="396"/>
      <c r="AP73" s="396"/>
      <c r="AQ73" s="396"/>
      <c r="AR73" s="396"/>
      <c r="AS73" s="396"/>
      <c r="AT73" s="396"/>
      <c r="AU73" s="396"/>
      <c r="AV73" s="396"/>
      <c r="AW73" s="396"/>
      <c r="AX73" s="396"/>
      <c r="AY73" s="396"/>
      <c r="AZ73" s="396"/>
      <c r="BA73" s="396"/>
      <c r="BB73" s="396"/>
      <c r="BC73" s="396"/>
      <c r="BD73" s="396"/>
    </row>
    <row r="74" spans="1:56" s="322" customFormat="1" x14ac:dyDescent="0.25">
      <c r="B74" s="392"/>
      <c r="C74" s="392"/>
      <c r="D74" s="392"/>
      <c r="E74" s="393"/>
      <c r="F74" s="393"/>
      <c r="G74" s="393"/>
      <c r="H74" s="393"/>
      <c r="I74" s="393"/>
      <c r="J74" s="393"/>
      <c r="K74" s="393"/>
      <c r="L74" s="393"/>
      <c r="M74" s="393"/>
      <c r="N74" s="394"/>
      <c r="AB74" s="432"/>
      <c r="AC74" s="432"/>
      <c r="AD74" s="158"/>
      <c r="AE74" s="158"/>
      <c r="AF74" s="434"/>
      <c r="AG74" s="434"/>
      <c r="AH74" s="434"/>
      <c r="AI74" s="434"/>
      <c r="AJ74" s="434"/>
      <c r="AK74" s="434"/>
      <c r="AL74" s="434"/>
      <c r="AM74" s="434"/>
      <c r="AN74" s="396"/>
      <c r="AO74" s="396"/>
      <c r="AP74" s="396"/>
      <c r="AQ74" s="396"/>
      <c r="AR74" s="396"/>
      <c r="AS74" s="396"/>
      <c r="AT74" s="396"/>
      <c r="AU74" s="396"/>
      <c r="AV74" s="396"/>
      <c r="AW74" s="396"/>
      <c r="AX74" s="396"/>
      <c r="AY74" s="396"/>
      <c r="AZ74" s="396"/>
      <c r="BA74" s="396"/>
      <c r="BB74" s="396"/>
      <c r="BC74" s="396"/>
      <c r="BD74" s="396"/>
    </row>
    <row r="75" spans="1:56" s="322" customFormat="1" x14ac:dyDescent="0.25">
      <c r="B75" s="392"/>
      <c r="C75" s="392"/>
      <c r="D75" s="392"/>
      <c r="E75" s="393"/>
      <c r="F75" s="393"/>
      <c r="G75" s="393"/>
      <c r="H75" s="393"/>
      <c r="I75" s="393"/>
      <c r="J75" s="393"/>
      <c r="K75" s="393"/>
      <c r="L75" s="393"/>
      <c r="M75" s="393"/>
      <c r="N75" s="394"/>
      <c r="AB75" s="432"/>
      <c r="AC75" s="432"/>
      <c r="AD75" s="158"/>
      <c r="AE75" s="158"/>
      <c r="AF75" s="434"/>
      <c r="AG75" s="434"/>
      <c r="AH75" s="434"/>
      <c r="AI75" s="434"/>
      <c r="AJ75" s="434"/>
      <c r="AK75" s="434"/>
      <c r="AL75" s="434"/>
      <c r="AM75" s="434"/>
      <c r="AN75" s="396"/>
      <c r="AO75" s="396"/>
      <c r="AP75" s="396"/>
      <c r="AQ75" s="396"/>
      <c r="AR75" s="396"/>
      <c r="AS75" s="396"/>
      <c r="AT75" s="396"/>
      <c r="AU75" s="396"/>
      <c r="AV75" s="396"/>
      <c r="AW75" s="396"/>
      <c r="AX75" s="396"/>
      <c r="AY75" s="396"/>
      <c r="AZ75" s="396"/>
      <c r="BA75" s="396"/>
      <c r="BB75" s="396"/>
      <c r="BC75" s="396"/>
      <c r="BD75" s="396"/>
    </row>
    <row r="76" spans="1:56" s="322" customFormat="1" x14ac:dyDescent="0.25">
      <c r="B76" s="392"/>
      <c r="C76" s="392"/>
      <c r="D76" s="392"/>
      <c r="E76" s="393"/>
      <c r="F76" s="393"/>
      <c r="G76" s="393"/>
      <c r="H76" s="393"/>
      <c r="I76" s="393"/>
      <c r="J76" s="393"/>
      <c r="K76" s="393"/>
      <c r="L76" s="393"/>
      <c r="M76" s="393"/>
      <c r="N76" s="394"/>
      <c r="AB76" s="432"/>
      <c r="AC76" s="432"/>
      <c r="AD76" s="158"/>
      <c r="AE76" s="158"/>
      <c r="AF76" s="434"/>
      <c r="AG76" s="434"/>
      <c r="AH76" s="434"/>
      <c r="AI76" s="434"/>
      <c r="AJ76" s="434"/>
      <c r="AK76" s="434"/>
      <c r="AL76" s="434"/>
      <c r="AM76" s="434"/>
      <c r="AN76" s="396"/>
      <c r="AO76" s="396"/>
      <c r="AP76" s="396"/>
      <c r="AQ76" s="396"/>
      <c r="AR76" s="396"/>
      <c r="AS76" s="396"/>
      <c r="AT76" s="396"/>
      <c r="AU76" s="396"/>
      <c r="AV76" s="396"/>
      <c r="AW76" s="396"/>
      <c r="AX76" s="396"/>
      <c r="AY76" s="396"/>
      <c r="AZ76" s="396"/>
      <c r="BA76" s="396"/>
      <c r="BB76" s="396"/>
      <c r="BC76" s="396"/>
      <c r="BD76" s="396"/>
    </row>
    <row r="77" spans="1:56" s="322" customFormat="1" x14ac:dyDescent="0.25">
      <c r="B77" s="392"/>
      <c r="C77" s="392"/>
      <c r="D77" s="392"/>
      <c r="E77" s="393"/>
      <c r="F77" s="393"/>
      <c r="G77" s="393"/>
      <c r="H77" s="393"/>
      <c r="I77" s="393"/>
      <c r="J77" s="393"/>
      <c r="K77" s="393"/>
      <c r="L77" s="393"/>
      <c r="M77" s="393"/>
      <c r="N77" s="394"/>
      <c r="AB77" s="432"/>
      <c r="AC77" s="432"/>
      <c r="AD77" s="158"/>
      <c r="AE77" s="158"/>
      <c r="AF77" s="434"/>
      <c r="AG77" s="434"/>
      <c r="AH77" s="434"/>
      <c r="AI77" s="434"/>
      <c r="AJ77" s="434"/>
      <c r="AK77" s="434"/>
      <c r="AL77" s="434"/>
      <c r="AM77" s="434"/>
      <c r="AN77" s="396"/>
      <c r="AO77" s="396"/>
      <c r="AP77" s="396"/>
      <c r="AQ77" s="396"/>
      <c r="AR77" s="396"/>
      <c r="AS77" s="396"/>
      <c r="AT77" s="396"/>
      <c r="AU77" s="396"/>
      <c r="AV77" s="396"/>
      <c r="AW77" s="396"/>
      <c r="AX77" s="396"/>
      <c r="AY77" s="396"/>
      <c r="AZ77" s="396"/>
      <c r="BA77" s="396"/>
      <c r="BB77" s="396"/>
      <c r="BC77" s="396"/>
      <c r="BD77" s="396"/>
    </row>
    <row r="78" spans="1:56" s="322" customFormat="1" x14ac:dyDescent="0.25">
      <c r="B78" s="392"/>
      <c r="C78" s="392"/>
      <c r="D78" s="392"/>
      <c r="E78" s="393"/>
      <c r="F78" s="393"/>
      <c r="G78" s="393"/>
      <c r="H78" s="393"/>
      <c r="I78" s="393"/>
      <c r="J78" s="393"/>
      <c r="K78" s="393"/>
      <c r="L78" s="393"/>
      <c r="M78" s="393"/>
      <c r="N78" s="394"/>
      <c r="AB78" s="432"/>
      <c r="AC78" s="432"/>
      <c r="AD78" s="158"/>
      <c r="AE78" s="158"/>
      <c r="AF78" s="434"/>
      <c r="AG78" s="434"/>
      <c r="AH78" s="434"/>
      <c r="AI78" s="434"/>
      <c r="AJ78" s="434"/>
      <c r="AK78" s="434"/>
      <c r="AL78" s="434"/>
      <c r="AM78" s="434"/>
      <c r="AN78" s="396"/>
      <c r="AO78" s="396"/>
      <c r="AP78" s="396"/>
      <c r="AQ78" s="396"/>
      <c r="AR78" s="396"/>
      <c r="AS78" s="396"/>
      <c r="AT78" s="396"/>
      <c r="AU78" s="396"/>
      <c r="AV78" s="396"/>
      <c r="AW78" s="396"/>
      <c r="AX78" s="396"/>
      <c r="AY78" s="396"/>
      <c r="AZ78" s="396"/>
      <c r="BA78" s="396"/>
      <c r="BB78" s="396"/>
      <c r="BC78" s="396"/>
      <c r="BD78" s="396"/>
    </row>
    <row r="79" spans="1:56" s="322" customFormat="1" x14ac:dyDescent="0.25">
      <c r="B79" s="392"/>
      <c r="C79" s="392"/>
      <c r="D79" s="392"/>
      <c r="E79" s="393"/>
      <c r="F79" s="393"/>
      <c r="G79" s="393"/>
      <c r="H79" s="393"/>
      <c r="I79" s="393"/>
      <c r="J79" s="393"/>
      <c r="K79" s="393"/>
      <c r="L79" s="393"/>
      <c r="M79" s="393"/>
      <c r="N79" s="394"/>
      <c r="AB79" s="432"/>
      <c r="AC79" s="432"/>
      <c r="AD79" s="158"/>
      <c r="AE79" s="158"/>
      <c r="AF79" s="434"/>
      <c r="AG79" s="434"/>
      <c r="AH79" s="434"/>
      <c r="AI79" s="434"/>
      <c r="AJ79" s="434"/>
      <c r="AK79" s="434"/>
      <c r="AL79" s="434"/>
      <c r="AM79" s="434"/>
      <c r="AN79" s="396"/>
      <c r="AO79" s="396"/>
      <c r="AP79" s="396"/>
      <c r="AQ79" s="396"/>
      <c r="AR79" s="396"/>
      <c r="AS79" s="396"/>
      <c r="AT79" s="396"/>
      <c r="AU79" s="396"/>
      <c r="AV79" s="396"/>
      <c r="AW79" s="396"/>
      <c r="AX79" s="396"/>
      <c r="AY79" s="396"/>
      <c r="AZ79" s="396"/>
      <c r="BA79" s="396"/>
      <c r="BB79" s="396"/>
      <c r="BC79" s="396"/>
      <c r="BD79" s="396"/>
    </row>
    <row r="80" spans="1:56" s="322" customFormat="1" x14ac:dyDescent="0.25">
      <c r="B80" s="392"/>
      <c r="C80" s="392"/>
      <c r="D80" s="392"/>
      <c r="E80" s="393"/>
      <c r="F80" s="393"/>
      <c r="G80" s="393"/>
      <c r="H80" s="393"/>
      <c r="I80" s="393"/>
      <c r="J80" s="393"/>
      <c r="K80" s="393"/>
      <c r="L80" s="393"/>
      <c r="M80" s="393"/>
      <c r="N80" s="394"/>
      <c r="AB80" s="432"/>
      <c r="AC80" s="432"/>
      <c r="AD80" s="158"/>
      <c r="AE80" s="158"/>
      <c r="AF80" s="434"/>
      <c r="AG80" s="434"/>
      <c r="AH80" s="434"/>
      <c r="AI80" s="434"/>
      <c r="AJ80" s="434"/>
      <c r="AK80" s="434"/>
      <c r="AL80" s="434"/>
      <c r="AM80" s="434"/>
      <c r="AN80" s="396"/>
      <c r="AO80" s="396"/>
      <c r="AP80" s="396"/>
      <c r="AQ80" s="396"/>
      <c r="AR80" s="396"/>
      <c r="AS80" s="396"/>
      <c r="AT80" s="396"/>
      <c r="AU80" s="396"/>
      <c r="AV80" s="396"/>
      <c r="AW80" s="396"/>
      <c r="AX80" s="396"/>
      <c r="AY80" s="396"/>
      <c r="AZ80" s="396"/>
      <c r="BA80" s="396"/>
      <c r="BB80" s="396"/>
      <c r="BC80" s="396"/>
      <c r="BD80" s="396"/>
    </row>
    <row r="81" spans="1:56" s="322" customFormat="1" x14ac:dyDescent="0.25">
      <c r="B81" s="392"/>
      <c r="C81" s="392"/>
      <c r="D81" s="392"/>
      <c r="E81" s="393"/>
      <c r="F81" s="393"/>
      <c r="G81" s="393"/>
      <c r="H81" s="393"/>
      <c r="I81" s="393"/>
      <c r="J81" s="393"/>
      <c r="K81" s="393"/>
      <c r="L81" s="393"/>
      <c r="M81" s="393"/>
      <c r="N81" s="394"/>
      <c r="AB81" s="432"/>
      <c r="AC81" s="432"/>
      <c r="AD81" s="158"/>
      <c r="AE81" s="158"/>
      <c r="AF81" s="434"/>
      <c r="AG81" s="434"/>
      <c r="AH81" s="434"/>
      <c r="AI81" s="434"/>
      <c r="AJ81" s="434"/>
      <c r="AK81" s="434"/>
      <c r="AL81" s="434"/>
      <c r="AM81" s="434"/>
      <c r="AN81" s="396"/>
      <c r="AO81" s="396"/>
      <c r="AP81" s="396"/>
      <c r="AQ81" s="396"/>
      <c r="AR81" s="396"/>
      <c r="AS81" s="396"/>
      <c r="AT81" s="396"/>
      <c r="AU81" s="396"/>
      <c r="AV81" s="396"/>
      <c r="AW81" s="396"/>
      <c r="AX81" s="396"/>
      <c r="AY81" s="396"/>
      <c r="AZ81" s="396"/>
      <c r="BA81" s="396"/>
      <c r="BB81" s="396"/>
      <c r="BC81" s="396"/>
      <c r="BD81" s="396"/>
    </row>
    <row r="82" spans="1:56" s="322" customFormat="1" x14ac:dyDescent="0.25">
      <c r="B82" s="392"/>
      <c r="C82" s="392"/>
      <c r="D82" s="392"/>
      <c r="E82" s="393"/>
      <c r="F82" s="393"/>
      <c r="G82" s="393"/>
      <c r="H82" s="393"/>
      <c r="I82" s="393"/>
      <c r="J82" s="393"/>
      <c r="K82" s="393"/>
      <c r="L82" s="393"/>
      <c r="M82" s="393"/>
      <c r="N82" s="394"/>
      <c r="AB82" s="432"/>
      <c r="AC82" s="432"/>
      <c r="AD82" s="158"/>
      <c r="AE82" s="158"/>
      <c r="AF82" s="434"/>
      <c r="AG82" s="434"/>
      <c r="AH82" s="434"/>
      <c r="AI82" s="434"/>
      <c r="AJ82" s="434"/>
      <c r="AK82" s="434"/>
      <c r="AL82" s="434"/>
      <c r="AM82" s="434"/>
      <c r="AN82" s="396"/>
      <c r="AO82" s="396"/>
      <c r="AP82" s="396"/>
      <c r="AQ82" s="396"/>
      <c r="AR82" s="396"/>
      <c r="AS82" s="396"/>
      <c r="AT82" s="396"/>
      <c r="AU82" s="396"/>
      <c r="AV82" s="396"/>
      <c r="AW82" s="396"/>
      <c r="AX82" s="396"/>
      <c r="AY82" s="396"/>
      <c r="AZ82" s="396"/>
      <c r="BA82" s="396"/>
      <c r="BB82" s="396"/>
      <c r="BC82" s="396"/>
      <c r="BD82" s="396"/>
    </row>
    <row r="83" spans="1:56" s="322" customFormat="1" x14ac:dyDescent="0.25">
      <c r="B83" s="392"/>
      <c r="C83" s="392"/>
      <c r="D83" s="392"/>
      <c r="E83" s="393"/>
      <c r="F83" s="393"/>
      <c r="G83" s="393"/>
      <c r="H83" s="393"/>
      <c r="I83" s="393"/>
      <c r="J83" s="393"/>
      <c r="K83" s="393"/>
      <c r="L83" s="393"/>
      <c r="M83" s="393"/>
      <c r="N83" s="394"/>
      <c r="AB83" s="432"/>
      <c r="AC83" s="432"/>
      <c r="AD83" s="158"/>
      <c r="AE83" s="158"/>
      <c r="AF83" s="434"/>
      <c r="AG83" s="434"/>
      <c r="AH83" s="434"/>
      <c r="AI83" s="434"/>
      <c r="AJ83" s="434"/>
      <c r="AK83" s="434"/>
      <c r="AL83" s="434"/>
      <c r="AM83" s="434"/>
      <c r="AN83" s="396"/>
      <c r="AO83" s="396"/>
      <c r="AP83" s="396"/>
      <c r="AQ83" s="396"/>
      <c r="AR83" s="396"/>
      <c r="AS83" s="396"/>
      <c r="AT83" s="396"/>
      <c r="AU83" s="396"/>
      <c r="AV83" s="396"/>
      <c r="AW83" s="396"/>
      <c r="AX83" s="396"/>
      <c r="AY83" s="396"/>
      <c r="AZ83" s="396"/>
      <c r="BA83" s="396"/>
      <c r="BB83" s="396"/>
      <c r="BC83" s="396"/>
      <c r="BD83" s="396"/>
    </row>
    <row r="84" spans="1:56" s="322" customFormat="1" x14ac:dyDescent="0.25">
      <c r="B84" s="392"/>
      <c r="C84" s="392"/>
      <c r="D84" s="392"/>
      <c r="E84" s="393"/>
      <c r="F84" s="393"/>
      <c r="G84" s="393"/>
      <c r="H84" s="393"/>
      <c r="I84" s="393"/>
      <c r="J84" s="393"/>
      <c r="K84" s="393"/>
      <c r="L84" s="393"/>
      <c r="M84" s="393"/>
      <c r="N84" s="394"/>
      <c r="AB84" s="432"/>
      <c r="AC84" s="432"/>
      <c r="AD84" s="158"/>
      <c r="AE84" s="158"/>
      <c r="AF84" s="434"/>
      <c r="AG84" s="434"/>
      <c r="AH84" s="434"/>
      <c r="AI84" s="434"/>
      <c r="AJ84" s="434"/>
      <c r="AK84" s="434"/>
      <c r="AL84" s="434"/>
      <c r="AM84" s="434"/>
      <c r="AN84" s="396"/>
      <c r="AO84" s="396"/>
      <c r="AP84" s="396"/>
      <c r="AQ84" s="396"/>
      <c r="AR84" s="396"/>
      <c r="AS84" s="396"/>
      <c r="AT84" s="396"/>
      <c r="AU84" s="396"/>
      <c r="AV84" s="396"/>
      <c r="AW84" s="396"/>
      <c r="AX84" s="396"/>
      <c r="AY84" s="396"/>
      <c r="AZ84" s="396"/>
      <c r="BA84" s="396"/>
      <c r="BB84" s="396"/>
      <c r="BC84" s="396"/>
      <c r="BD84" s="396"/>
    </row>
    <row r="85" spans="1:56" s="322" customFormat="1" x14ac:dyDescent="0.25">
      <c r="B85" s="392"/>
      <c r="C85" s="392"/>
      <c r="D85" s="392"/>
      <c r="E85" s="393"/>
      <c r="F85" s="393"/>
      <c r="G85" s="393"/>
      <c r="H85" s="393"/>
      <c r="I85" s="393"/>
      <c r="J85" s="393"/>
      <c r="K85" s="393"/>
      <c r="L85" s="393"/>
      <c r="M85" s="393"/>
      <c r="N85" s="394"/>
      <c r="AB85" s="432"/>
      <c r="AC85" s="432"/>
      <c r="AD85" s="158"/>
      <c r="AE85" s="158"/>
      <c r="AF85" s="434"/>
      <c r="AG85" s="434"/>
      <c r="AH85" s="434"/>
      <c r="AI85" s="434"/>
      <c r="AJ85" s="434"/>
      <c r="AK85" s="434"/>
      <c r="AL85" s="434"/>
      <c r="AM85" s="434"/>
      <c r="AN85" s="396"/>
      <c r="AO85" s="396"/>
      <c r="AP85" s="396"/>
      <c r="AQ85" s="396"/>
      <c r="AR85" s="396"/>
      <c r="AS85" s="396"/>
      <c r="AT85" s="396"/>
      <c r="AU85" s="396"/>
      <c r="AV85" s="396"/>
      <c r="AW85" s="396"/>
      <c r="AX85" s="396"/>
      <c r="AY85" s="396"/>
      <c r="AZ85" s="396"/>
      <c r="BA85" s="396"/>
      <c r="BB85" s="396"/>
      <c r="BC85" s="396"/>
      <c r="BD85" s="396"/>
    </row>
    <row r="86" spans="1:56" s="322" customFormat="1" x14ac:dyDescent="0.25">
      <c r="B86" s="392"/>
      <c r="C86" s="392"/>
      <c r="D86" s="392"/>
      <c r="E86" s="393"/>
      <c r="F86" s="393"/>
      <c r="G86" s="393"/>
      <c r="H86" s="393"/>
      <c r="I86" s="393"/>
      <c r="J86" s="393"/>
      <c r="K86" s="393"/>
      <c r="L86" s="393"/>
      <c r="M86" s="393"/>
      <c r="N86" s="394"/>
      <c r="AB86" s="432"/>
      <c r="AC86" s="432"/>
      <c r="AD86" s="158"/>
      <c r="AE86" s="158"/>
      <c r="AF86" s="434"/>
      <c r="AG86" s="434"/>
      <c r="AH86" s="434"/>
      <c r="AI86" s="434"/>
      <c r="AJ86" s="434"/>
      <c r="AK86" s="434"/>
      <c r="AL86" s="434"/>
      <c r="AM86" s="434"/>
      <c r="AN86" s="396"/>
      <c r="AO86" s="396"/>
      <c r="AP86" s="396"/>
      <c r="AQ86" s="396"/>
      <c r="AR86" s="396"/>
      <c r="AS86" s="396"/>
      <c r="AT86" s="396"/>
      <c r="AU86" s="396"/>
      <c r="AV86" s="396"/>
      <c r="AW86" s="396"/>
      <c r="AX86" s="396"/>
      <c r="AY86" s="396"/>
      <c r="AZ86" s="396"/>
      <c r="BA86" s="396"/>
      <c r="BB86" s="396"/>
      <c r="BC86" s="396"/>
      <c r="BD86" s="396"/>
    </row>
    <row r="87" spans="1:56" s="322" customFormat="1" x14ac:dyDescent="0.25">
      <c r="B87" s="392"/>
      <c r="C87" s="392"/>
      <c r="D87" s="392"/>
      <c r="E87" s="393"/>
      <c r="F87" s="393"/>
      <c r="G87" s="393"/>
      <c r="H87" s="393"/>
      <c r="I87" s="393"/>
      <c r="J87" s="393"/>
      <c r="K87" s="393"/>
      <c r="L87" s="393"/>
      <c r="M87" s="393"/>
      <c r="N87" s="394"/>
      <c r="AB87" s="432"/>
      <c r="AC87" s="432"/>
      <c r="AD87" s="158"/>
      <c r="AE87" s="158"/>
      <c r="AF87" s="434"/>
      <c r="AG87" s="434"/>
      <c r="AH87" s="434"/>
      <c r="AI87" s="434"/>
      <c r="AJ87" s="434"/>
      <c r="AK87" s="434"/>
      <c r="AL87" s="434"/>
      <c r="AM87" s="434"/>
      <c r="AN87" s="396"/>
      <c r="AO87" s="396"/>
      <c r="AP87" s="396"/>
      <c r="AQ87" s="396"/>
      <c r="AR87" s="396"/>
      <c r="AS87" s="396"/>
      <c r="AT87" s="396"/>
      <c r="AU87" s="396"/>
      <c r="AV87" s="396"/>
      <c r="AW87" s="396"/>
      <c r="AX87" s="396"/>
      <c r="AY87" s="396"/>
      <c r="AZ87" s="396"/>
      <c r="BA87" s="396"/>
      <c r="BB87" s="396"/>
      <c r="BC87" s="396"/>
      <c r="BD87" s="396"/>
    </row>
    <row r="88" spans="1:56" s="322" customFormat="1" x14ac:dyDescent="0.25">
      <c r="B88" s="392"/>
      <c r="C88" s="392"/>
      <c r="D88" s="392"/>
      <c r="E88" s="393"/>
      <c r="F88" s="393"/>
      <c r="G88" s="393"/>
      <c r="H88" s="393"/>
      <c r="I88" s="393"/>
      <c r="J88" s="393"/>
      <c r="K88" s="393"/>
      <c r="L88" s="393"/>
      <c r="M88" s="393"/>
      <c r="N88" s="394"/>
      <c r="AB88" s="432"/>
      <c r="AC88" s="432"/>
      <c r="AD88" s="158"/>
      <c r="AE88" s="158"/>
      <c r="AF88" s="434"/>
      <c r="AG88" s="434"/>
      <c r="AH88" s="434"/>
      <c r="AI88" s="434"/>
      <c r="AJ88" s="434"/>
      <c r="AK88" s="434"/>
      <c r="AL88" s="434"/>
      <c r="AM88" s="434"/>
      <c r="AN88" s="396"/>
      <c r="AO88" s="396"/>
      <c r="AP88" s="396"/>
      <c r="AQ88" s="396"/>
      <c r="AR88" s="396"/>
      <c r="AS88" s="396"/>
      <c r="AT88" s="396"/>
      <c r="AU88" s="396"/>
      <c r="AV88" s="396"/>
      <c r="AW88" s="396"/>
      <c r="AX88" s="396"/>
      <c r="AY88" s="396"/>
      <c r="AZ88" s="396"/>
      <c r="BA88" s="396"/>
      <c r="BB88" s="396"/>
      <c r="BC88" s="396"/>
      <c r="BD88" s="396"/>
    </row>
    <row r="89" spans="1:56" s="322" customFormat="1" x14ac:dyDescent="0.25">
      <c r="B89" s="392"/>
      <c r="C89" s="392"/>
      <c r="D89" s="392"/>
      <c r="E89" s="393"/>
      <c r="F89" s="393"/>
      <c r="G89" s="393"/>
      <c r="H89" s="393"/>
      <c r="I89" s="393"/>
      <c r="J89" s="393"/>
      <c r="K89" s="393"/>
      <c r="L89" s="393"/>
      <c r="M89" s="393"/>
      <c r="N89" s="394"/>
      <c r="AB89" s="432"/>
      <c r="AC89" s="432"/>
      <c r="AD89" s="158"/>
      <c r="AE89" s="158"/>
      <c r="AF89" s="434"/>
      <c r="AG89" s="434"/>
      <c r="AH89" s="434"/>
      <c r="AI89" s="434"/>
      <c r="AJ89" s="434"/>
      <c r="AK89" s="434"/>
      <c r="AL89" s="434"/>
      <c r="AM89" s="434"/>
      <c r="AN89" s="396"/>
      <c r="AO89" s="396"/>
      <c r="AP89" s="396"/>
      <c r="AQ89" s="396"/>
      <c r="AR89" s="396"/>
      <c r="AS89" s="396"/>
      <c r="AT89" s="396"/>
      <c r="AU89" s="396"/>
      <c r="AV89" s="396"/>
      <c r="AW89" s="396"/>
      <c r="AX89" s="396"/>
      <c r="AY89" s="396"/>
      <c r="AZ89" s="396"/>
      <c r="BA89" s="396"/>
      <c r="BB89" s="396"/>
      <c r="BC89" s="396"/>
      <c r="BD89" s="396"/>
    </row>
    <row r="90" spans="1:56" s="322" customFormat="1" x14ac:dyDescent="0.25">
      <c r="B90" s="392"/>
      <c r="C90" s="392"/>
      <c r="D90" s="392"/>
      <c r="E90" s="393"/>
      <c r="F90" s="393"/>
      <c r="G90" s="393"/>
      <c r="H90" s="393"/>
      <c r="I90" s="393"/>
      <c r="J90" s="393"/>
      <c r="K90" s="393"/>
      <c r="L90" s="393"/>
      <c r="M90" s="393"/>
      <c r="N90" s="394"/>
      <c r="AB90" s="432"/>
      <c r="AC90" s="432"/>
      <c r="AD90" s="158"/>
      <c r="AE90" s="158"/>
      <c r="AF90" s="434"/>
      <c r="AG90" s="434"/>
      <c r="AH90" s="434"/>
      <c r="AI90" s="434"/>
      <c r="AJ90" s="434"/>
      <c r="AK90" s="434"/>
      <c r="AL90" s="434"/>
      <c r="AM90" s="434"/>
      <c r="AN90" s="396"/>
      <c r="AO90" s="396"/>
      <c r="AP90" s="396"/>
      <c r="AQ90" s="396"/>
      <c r="AR90" s="396"/>
      <c r="AS90" s="396"/>
      <c r="AT90" s="396"/>
      <c r="AU90" s="396"/>
      <c r="AV90" s="396"/>
      <c r="AW90" s="396"/>
      <c r="AX90" s="396"/>
      <c r="AY90" s="396"/>
      <c r="AZ90" s="396"/>
      <c r="BA90" s="396"/>
      <c r="BB90" s="396"/>
      <c r="BC90" s="396"/>
      <c r="BD90" s="396"/>
    </row>
    <row r="91" spans="1:56" s="322" customFormat="1" x14ac:dyDescent="0.25">
      <c r="B91" s="392"/>
      <c r="C91" s="392"/>
      <c r="D91" s="392"/>
      <c r="E91" s="393"/>
      <c r="F91" s="393"/>
      <c r="G91" s="393"/>
      <c r="H91" s="393"/>
      <c r="I91" s="393"/>
      <c r="J91" s="393"/>
      <c r="K91" s="393"/>
      <c r="L91" s="393"/>
      <c r="M91" s="393"/>
      <c r="N91" s="394"/>
      <c r="AB91" s="432"/>
      <c r="AC91" s="432"/>
      <c r="AD91" s="158"/>
      <c r="AE91" s="158"/>
      <c r="AF91" s="434"/>
      <c r="AG91" s="434"/>
      <c r="AH91" s="434"/>
      <c r="AI91" s="434"/>
      <c r="AJ91" s="434"/>
      <c r="AK91" s="434"/>
      <c r="AL91" s="434"/>
      <c r="AM91" s="434"/>
      <c r="AN91" s="396"/>
      <c r="AO91" s="396"/>
      <c r="AP91" s="396"/>
      <c r="AQ91" s="396"/>
      <c r="AR91" s="396"/>
      <c r="AS91" s="396"/>
      <c r="AT91" s="396"/>
      <c r="AU91" s="396"/>
      <c r="AV91" s="396"/>
      <c r="AW91" s="396"/>
      <c r="AX91" s="396"/>
      <c r="AY91" s="396"/>
      <c r="AZ91" s="396"/>
      <c r="BA91" s="396"/>
      <c r="BB91" s="396"/>
      <c r="BC91" s="396"/>
      <c r="BD91" s="396"/>
    </row>
    <row r="92" spans="1:56" x14ac:dyDescent="0.25">
      <c r="AB92" s="432"/>
      <c r="AC92" s="432"/>
      <c r="AF92" s="434"/>
      <c r="AG92" s="434"/>
      <c r="AH92" s="434"/>
      <c r="AI92" s="434"/>
      <c r="AJ92" s="434"/>
      <c r="AK92" s="434"/>
      <c r="AL92" s="434"/>
      <c r="AM92" s="434"/>
      <c r="AW92" s="170"/>
      <c r="AX92" s="170"/>
      <c r="AY92" s="170"/>
      <c r="AZ92" s="170"/>
      <c r="BA92" s="170"/>
      <c r="BB92" s="170"/>
      <c r="BC92" s="170"/>
      <c r="BD92" s="170"/>
    </row>
    <row r="93" spans="1:56" ht="15.75" x14ac:dyDescent="0.25">
      <c r="A93" s="450">
        <v>3</v>
      </c>
      <c r="B93" s="35" t="s">
        <v>792</v>
      </c>
      <c r="C93" s="36"/>
      <c r="D93" s="36"/>
      <c r="E93" s="37"/>
      <c r="F93" s="8"/>
      <c r="G93" s="8"/>
      <c r="H93" s="8"/>
      <c r="I93" s="8"/>
      <c r="J93" s="8"/>
      <c r="K93" s="8"/>
      <c r="L93" s="8"/>
      <c r="M93" s="38"/>
      <c r="N93" s="410"/>
      <c r="AB93" s="432"/>
      <c r="AC93" s="432"/>
      <c r="AF93" s="434"/>
      <c r="AG93" s="434"/>
      <c r="AH93" s="434"/>
      <c r="AI93" s="434"/>
      <c r="AJ93" s="434"/>
      <c r="AK93" s="434"/>
      <c r="AL93" s="434"/>
      <c r="AM93" s="434"/>
    </row>
    <row r="94" spans="1:56" ht="32.1" customHeight="1" x14ac:dyDescent="0.25">
      <c r="A94" s="451"/>
      <c r="B94" s="454" t="str">
        <f>IF(F3="", "Average weekly rent (£ per week) and units","Average weekly general needs rent (£ per week) and units in "&amp;$F$3&amp;", "&amp;$B$48&amp;" and England")</f>
        <v>Average weekly rent (£ per week) and units</v>
      </c>
      <c r="C94" s="455"/>
      <c r="D94" s="456"/>
      <c r="E94" s="456"/>
      <c r="F94" s="456"/>
      <c r="G94" s="456"/>
      <c r="H94" s="456"/>
      <c r="I94" s="456"/>
      <c r="J94" s="456"/>
      <c r="K94" s="316"/>
      <c r="L94" s="316"/>
      <c r="M94" s="39"/>
      <c r="AB94" s="432"/>
      <c r="AC94" s="432"/>
      <c r="AF94" s="434"/>
      <c r="AG94" s="434"/>
      <c r="AH94" s="434"/>
      <c r="AI94" s="434"/>
      <c r="AJ94" s="434"/>
      <c r="AK94" s="434"/>
      <c r="AL94" s="434"/>
      <c r="AM94" s="434"/>
    </row>
    <row r="95" spans="1:56" x14ac:dyDescent="0.25">
      <c r="B95" s="40"/>
      <c r="C95" s="385"/>
      <c r="D95" s="331" t="s">
        <v>801</v>
      </c>
      <c r="E95" s="41">
        <v>2015</v>
      </c>
      <c r="F95" s="42">
        <v>2016</v>
      </c>
      <c r="G95" s="42">
        <v>2017</v>
      </c>
      <c r="H95" s="41">
        <v>2018</v>
      </c>
      <c r="I95" s="41">
        <v>2019</v>
      </c>
      <c r="J95" s="41">
        <v>2020</v>
      </c>
      <c r="K95" s="335">
        <v>2021</v>
      </c>
      <c r="L95" s="335">
        <v>2022</v>
      </c>
      <c r="M95" s="43">
        <v>2023</v>
      </c>
      <c r="AB95" s="432"/>
      <c r="AC95" s="432"/>
      <c r="AF95" s="434"/>
      <c r="AG95" s="434"/>
      <c r="AH95" s="434"/>
      <c r="AI95" s="434"/>
      <c r="AJ95" s="434"/>
      <c r="AK95" s="434"/>
      <c r="AL95" s="434"/>
      <c r="AM95" s="434"/>
    </row>
    <row r="96" spans="1:56" x14ac:dyDescent="0.25">
      <c r="B96" s="25">
        <f>$F$3</f>
        <v>0</v>
      </c>
      <c r="C96" s="26"/>
      <c r="D96" s="26"/>
      <c r="E96" s="216"/>
      <c r="F96" s="216"/>
      <c r="G96" s="216"/>
      <c r="H96" s="216"/>
      <c r="I96" s="231"/>
      <c r="J96" s="231"/>
      <c r="K96" s="231"/>
      <c r="L96" s="231"/>
      <c r="M96" s="232"/>
      <c r="AB96" s="432"/>
      <c r="AC96" s="432"/>
      <c r="AF96" s="434"/>
      <c r="AG96" s="434"/>
      <c r="AH96" s="434"/>
      <c r="AI96" s="434"/>
      <c r="AJ96" s="434"/>
      <c r="AK96" s="434"/>
      <c r="AL96" s="434"/>
      <c r="AM96" s="434"/>
    </row>
    <row r="97" spans="2:39" x14ac:dyDescent="0.25">
      <c r="B97" s="220" t="s">
        <v>18</v>
      </c>
      <c r="C97" s="221"/>
      <c r="D97" s="221"/>
      <c r="E97" s="233" t="str">
        <f>IFERROR(VLOOKUP($F$3,Y_1,10,0),"")</f>
        <v/>
      </c>
      <c r="F97" s="233" t="str">
        <f>IFERROR(VLOOKUP($F$3,Y_2,10,0),"")</f>
        <v/>
      </c>
      <c r="G97" s="233" t="str">
        <f>IFERROR(VLOOKUP($F$3,Y_3,10,0),"")</f>
        <v/>
      </c>
      <c r="H97" s="233" t="str">
        <f>IFERROR(VLOOKUP($F$3,Y_4,10,0),"")</f>
        <v/>
      </c>
      <c r="I97" s="233" t="str">
        <f>IFERROR(VLOOKUP($F$3,Y_5,10,0),"")</f>
        <v/>
      </c>
      <c r="J97" s="233" t="str">
        <f>IFERROR(VLOOKUP($F$3,Y_6,10,0),"")</f>
        <v/>
      </c>
      <c r="K97" s="233" t="str">
        <f>IFERROR(VLOOKUP($F$3,Y_7,10,0),"")</f>
        <v/>
      </c>
      <c r="L97" s="233" t="str">
        <f>IFERROR(VLOOKUP($F$3,Y_8,10,0),"")</f>
        <v/>
      </c>
      <c r="M97" s="234" t="str">
        <f>IFERROR(VLOOKUP($F$3,Y_9,10,0),"")</f>
        <v/>
      </c>
      <c r="AB97" s="432"/>
      <c r="AC97" s="432"/>
      <c r="AF97" s="434"/>
      <c r="AG97" s="434"/>
      <c r="AH97" s="434"/>
      <c r="AI97" s="434"/>
      <c r="AJ97" s="434"/>
      <c r="AK97" s="434"/>
      <c r="AL97" s="434"/>
      <c r="AM97" s="434"/>
    </row>
    <row r="98" spans="2:39" x14ac:dyDescent="0.25">
      <c r="B98" s="222" t="s">
        <v>776</v>
      </c>
      <c r="C98" s="378"/>
      <c r="D98" s="195"/>
      <c r="E98" s="44" t="str">
        <f>IFERROR(VLOOKUP($F$3,Y_1,11,0),"")</f>
        <v/>
      </c>
      <c r="F98" s="44" t="str">
        <f>IFERROR(VLOOKUP($F$3,Y_2,11,0),"")</f>
        <v/>
      </c>
      <c r="G98" s="235" t="str">
        <f>IFERROR(VLOOKUP($F$3,Y_3,11,0),"")</f>
        <v/>
      </c>
      <c r="H98" s="235" t="str">
        <f>IFERROR(VLOOKUP($F$3,Y_4,11,0),"")</f>
        <v/>
      </c>
      <c r="I98" s="235" t="str">
        <f>IFERROR(VLOOKUP($F$3,Y_5,11,0),"")</f>
        <v/>
      </c>
      <c r="J98" s="235" t="str">
        <f>IFERROR(VLOOKUP($F$3,Y_6,11,0),"")</f>
        <v/>
      </c>
      <c r="K98" s="336" t="str">
        <f>IFERROR(VLOOKUP($F$3,Y_7,11,0),"")</f>
        <v/>
      </c>
      <c r="L98" s="336" t="str">
        <f>IFERROR(VLOOKUP($F$3,Y_8,11,0),"")</f>
        <v/>
      </c>
      <c r="M98" s="236" t="str">
        <f>IFERROR(VLOOKUP($F$3,Y_9,11,0),"")</f>
        <v/>
      </c>
      <c r="AB98" s="432"/>
      <c r="AC98" s="432"/>
      <c r="AF98" s="434"/>
      <c r="AG98" s="434"/>
      <c r="AH98" s="434"/>
      <c r="AI98" s="434"/>
      <c r="AJ98" s="434"/>
      <c r="AK98" s="434"/>
      <c r="AL98" s="434"/>
      <c r="AM98" s="434"/>
    </row>
    <row r="99" spans="2:39" x14ac:dyDescent="0.25">
      <c r="B99" s="222" t="s">
        <v>19</v>
      </c>
      <c r="C99" s="378"/>
      <c r="D99" s="195"/>
      <c r="E99" s="235" t="str">
        <f>IFERROR(VLOOKUP($F$3,Y_1,12,0),"")</f>
        <v/>
      </c>
      <c r="F99" s="235" t="str">
        <f>IFERROR(VLOOKUP($F$3,Y_2,12,0),"")</f>
        <v/>
      </c>
      <c r="G99" s="235" t="str">
        <f>IFERROR(VLOOKUP($F$3,Y_3,12,0),"")</f>
        <v/>
      </c>
      <c r="H99" s="235" t="str">
        <f>IFERROR(VLOOKUP($F$3,Y_4,12,0),"")</f>
        <v/>
      </c>
      <c r="I99" s="235" t="str">
        <f>IFERROR(VLOOKUP($F$3,Y_5,12,0),"")</f>
        <v/>
      </c>
      <c r="J99" s="235" t="str">
        <f>IFERROR(VLOOKUP($F$3,Y_6,12,0),"")</f>
        <v/>
      </c>
      <c r="K99" s="336" t="str">
        <f>IFERROR(VLOOKUP($F$3,Y_7,12,0),"")</f>
        <v/>
      </c>
      <c r="L99" s="336" t="str">
        <f>IFERROR(VLOOKUP($F$3,Y_8,12,0),"")</f>
        <v/>
      </c>
      <c r="M99" s="236" t="str">
        <f>IFERROR(VLOOKUP($F$3,Y_9,12,0),"")</f>
        <v/>
      </c>
      <c r="AB99" s="432"/>
      <c r="AC99" s="432"/>
      <c r="AF99" s="434"/>
      <c r="AG99" s="434"/>
      <c r="AH99" s="434"/>
      <c r="AI99" s="434"/>
      <c r="AJ99" s="434"/>
      <c r="AK99" s="434"/>
      <c r="AL99" s="434"/>
      <c r="AM99" s="434"/>
    </row>
    <row r="100" spans="2:39" x14ac:dyDescent="0.25">
      <c r="B100" s="222" t="s">
        <v>20</v>
      </c>
      <c r="C100" s="378"/>
      <c r="D100" s="195"/>
      <c r="E100" s="235" t="str">
        <f>IFERROR(VLOOKUP($F$3,Y_1,13,0),"")</f>
        <v/>
      </c>
      <c r="F100" s="235" t="str">
        <f>IFERROR(VLOOKUP($F$3,Y_2,13,0),"")</f>
        <v/>
      </c>
      <c r="G100" s="235" t="str">
        <f>IFERROR(VLOOKUP($F$3,Y_3,13,0),"")</f>
        <v/>
      </c>
      <c r="H100" s="235" t="str">
        <f>IFERROR(VLOOKUP($F$3,Y_4,13,0),"")</f>
        <v/>
      </c>
      <c r="I100" s="235" t="str">
        <f>IFERROR(VLOOKUP($F$3,Y_5,13,0),"")</f>
        <v/>
      </c>
      <c r="J100" s="235" t="str">
        <f>IFERROR(VLOOKUP($F$3,Y_6,13,0),"")</f>
        <v/>
      </c>
      <c r="K100" s="336" t="str">
        <f>IFERROR(VLOOKUP($F$3,Y_7,13,0),"")</f>
        <v/>
      </c>
      <c r="L100" s="336" t="str">
        <f>IFERROR(VLOOKUP($F$3,Y_8,13,0),"")</f>
        <v/>
      </c>
      <c r="M100" s="236" t="str">
        <f>IFERROR(VLOOKUP($F$3,Y_9,13,0),"")</f>
        <v/>
      </c>
      <c r="AB100" s="432"/>
      <c r="AC100" s="432"/>
      <c r="AF100" s="434"/>
      <c r="AG100" s="434"/>
      <c r="AH100" s="434"/>
      <c r="AI100" s="434"/>
      <c r="AJ100" s="434"/>
      <c r="AK100" s="434"/>
      <c r="AL100" s="434"/>
      <c r="AM100" s="434"/>
    </row>
    <row r="101" spans="2:39" x14ac:dyDescent="0.25">
      <c r="B101" s="223" t="s">
        <v>21</v>
      </c>
      <c r="C101" s="224"/>
      <c r="D101" s="224"/>
      <c r="E101" s="237" t="str">
        <f>IFERROR(VLOOKUP($F$3,Y_1,14,0),"")</f>
        <v/>
      </c>
      <c r="F101" s="237" t="str">
        <f>IFERROR(VLOOKUP($F$3,Y_2,14,0),"")</f>
        <v/>
      </c>
      <c r="G101" s="237" t="str">
        <f>IFERROR(VLOOKUP($F$3,Y_3,14,0),"")</f>
        <v/>
      </c>
      <c r="H101" s="237" t="str">
        <f>IFERROR(VLOOKUP($F$3,Y_4,14,0),"")</f>
        <v/>
      </c>
      <c r="I101" s="237" t="str">
        <f>IFERROR(VLOOKUP($F$3,Y_5,14,0),"")</f>
        <v/>
      </c>
      <c r="J101" s="237" t="str">
        <f>IFERROR(VLOOKUP($F$3,Y_6,14,0),"")</f>
        <v/>
      </c>
      <c r="K101" s="237" t="str">
        <f>IFERROR(VLOOKUP($F$3,Y_7,14,0),"")</f>
        <v/>
      </c>
      <c r="L101" s="237" t="str">
        <f>IFERROR(VLOOKUP($F$3,Y_8,14,0),"")</f>
        <v/>
      </c>
      <c r="M101" s="238" t="str">
        <f>IFERROR(VLOOKUP($F$3,Y_9,14,0),"")</f>
        <v/>
      </c>
      <c r="AB101" s="432"/>
      <c r="AC101" s="432"/>
      <c r="AF101" s="434"/>
      <c r="AG101" s="434"/>
      <c r="AH101" s="434"/>
      <c r="AI101" s="434"/>
      <c r="AJ101" s="434"/>
      <c r="AK101" s="434"/>
      <c r="AL101" s="434"/>
      <c r="AM101" s="434"/>
    </row>
    <row r="102" spans="2:39" x14ac:dyDescent="0.25">
      <c r="B102" s="29" t="str">
        <f>$B$48</f>
        <v/>
      </c>
      <c r="C102" s="384"/>
      <c r="D102" s="45"/>
      <c r="E102" s="235"/>
      <c r="F102" s="235"/>
      <c r="G102" s="235"/>
      <c r="H102" s="235"/>
      <c r="I102" s="239"/>
      <c r="J102" s="239"/>
      <c r="K102" s="337"/>
      <c r="L102" s="337"/>
      <c r="M102" s="240"/>
      <c r="AB102" s="432"/>
      <c r="AC102" s="432"/>
      <c r="AF102" s="434"/>
      <c r="AG102" s="434"/>
      <c r="AH102" s="434"/>
      <c r="AI102" s="434"/>
      <c r="AJ102" s="434"/>
      <c r="AK102" s="434"/>
      <c r="AL102" s="434"/>
      <c r="AM102" s="434"/>
    </row>
    <row r="103" spans="2:39" x14ac:dyDescent="0.25">
      <c r="B103" s="220" t="s">
        <v>18</v>
      </c>
      <c r="C103" s="221"/>
      <c r="D103" s="221"/>
      <c r="E103" s="233" t="str">
        <f>IFERROR(VLOOKUP($F$4,Y_1,10,0),"")</f>
        <v/>
      </c>
      <c r="F103" s="233" t="str">
        <f>IFERROR(VLOOKUP($F$4,Y_2,10,0),"")</f>
        <v/>
      </c>
      <c r="G103" s="233" t="str">
        <f>IFERROR(VLOOKUP($F$4,Y_3,10,0),"")</f>
        <v/>
      </c>
      <c r="H103" s="233" t="str">
        <f>IFERROR(VLOOKUP($F$4,Y_4,10,0),"")</f>
        <v/>
      </c>
      <c r="I103" s="233" t="str">
        <f>IFERROR(VLOOKUP($F$4,Y_5,10,0),"")</f>
        <v/>
      </c>
      <c r="J103" s="233" t="str">
        <f>IFERROR(VLOOKUP($F$4,Y_6,10,0),"")</f>
        <v/>
      </c>
      <c r="K103" s="233" t="str">
        <f>IFERROR(VLOOKUP($F$4,Y_7,10,0),"")</f>
        <v/>
      </c>
      <c r="L103" s="233" t="str">
        <f>IFERROR(VLOOKUP($F$4,Y_8,10,0),"")</f>
        <v/>
      </c>
      <c r="M103" s="234" t="str">
        <f>IFERROR(VLOOKUP($F$4,Y_9,10,0),"")</f>
        <v/>
      </c>
      <c r="AB103" s="432"/>
      <c r="AC103" s="432"/>
      <c r="AF103" s="434"/>
      <c r="AG103" s="434"/>
      <c r="AH103" s="434"/>
      <c r="AI103" s="434"/>
      <c r="AJ103" s="434"/>
      <c r="AK103" s="434"/>
      <c r="AL103" s="434"/>
      <c r="AM103" s="434"/>
    </row>
    <row r="104" spans="2:39" x14ac:dyDescent="0.25">
      <c r="B104" s="222" t="s">
        <v>776</v>
      </c>
      <c r="C104" s="378"/>
      <c r="D104" s="195"/>
      <c r="E104" s="44" t="str">
        <f>IFERROR(VLOOKUP($F$4,Y_1,11,0),"")</f>
        <v/>
      </c>
      <c r="F104" s="44" t="str">
        <f>IFERROR(VLOOKUP($F$4,Y_2,11,0),"")</f>
        <v/>
      </c>
      <c r="G104" s="235" t="str">
        <f>IFERROR(VLOOKUP($F$4,Y_3,11,0),"")</f>
        <v/>
      </c>
      <c r="H104" s="235" t="str">
        <f>IFERROR(VLOOKUP($F$4,Y_4,11,0),"")</f>
        <v/>
      </c>
      <c r="I104" s="235" t="str">
        <f>IFERROR(VLOOKUP($F$4,Y_5,11,0),"")</f>
        <v/>
      </c>
      <c r="J104" s="235" t="str">
        <f>IFERROR(VLOOKUP($F$4,Y_6,11,0),"")</f>
        <v/>
      </c>
      <c r="K104" s="336" t="str">
        <f>IFERROR(VLOOKUP($F$4,Y_7,11,0),"")</f>
        <v/>
      </c>
      <c r="L104" s="336" t="str">
        <f>IFERROR(VLOOKUP($F$4,Y_8,11,0),"")</f>
        <v/>
      </c>
      <c r="M104" s="236" t="str">
        <f>IFERROR(VLOOKUP($F$4,Y_9,11,0),"")</f>
        <v/>
      </c>
      <c r="AB104" s="432"/>
      <c r="AC104" s="432"/>
      <c r="AF104" s="434"/>
      <c r="AG104" s="434"/>
      <c r="AH104" s="434"/>
      <c r="AI104" s="434"/>
      <c r="AJ104" s="434"/>
      <c r="AK104" s="434"/>
      <c r="AL104" s="434"/>
      <c r="AM104" s="434"/>
    </row>
    <row r="105" spans="2:39" x14ac:dyDescent="0.25">
      <c r="B105" s="222" t="s">
        <v>19</v>
      </c>
      <c r="C105" s="378"/>
      <c r="D105" s="195"/>
      <c r="E105" s="235" t="str">
        <f>IFERROR(VLOOKUP($F$4,Y_1,12,0),"")</f>
        <v/>
      </c>
      <c r="F105" s="235" t="str">
        <f>IFERROR(VLOOKUP($F$4,Y_2,12,0),"")</f>
        <v/>
      </c>
      <c r="G105" s="235" t="str">
        <f>IFERROR(VLOOKUP($F$4,Y_3,12,0),"")</f>
        <v/>
      </c>
      <c r="H105" s="235" t="str">
        <f>IFERROR(VLOOKUP($F$4,Y_4,12,0),"")</f>
        <v/>
      </c>
      <c r="I105" s="235" t="str">
        <f>IFERROR(VLOOKUP($F$4,Y_5,12,0),"")</f>
        <v/>
      </c>
      <c r="J105" s="235" t="str">
        <f>IFERROR(VLOOKUP($F$4,Y_6,12,0),"")</f>
        <v/>
      </c>
      <c r="K105" s="336" t="str">
        <f>IFERROR(VLOOKUP($F$4,Y_7,12,0),"")</f>
        <v/>
      </c>
      <c r="L105" s="336" t="str">
        <f>IFERROR(VLOOKUP($F$4,Y_8,12,0),"")</f>
        <v/>
      </c>
      <c r="M105" s="236" t="str">
        <f>IFERROR(VLOOKUP($F$4,Y_9,12,0),"")</f>
        <v/>
      </c>
      <c r="AB105" s="432"/>
      <c r="AC105" s="432"/>
      <c r="AF105" s="434"/>
      <c r="AG105" s="434"/>
      <c r="AH105" s="434"/>
      <c r="AI105" s="434"/>
      <c r="AJ105" s="434"/>
      <c r="AK105" s="434"/>
      <c r="AL105" s="434"/>
      <c r="AM105" s="434"/>
    </row>
    <row r="106" spans="2:39" x14ac:dyDescent="0.25">
      <c r="B106" s="222" t="s">
        <v>20</v>
      </c>
      <c r="C106" s="378"/>
      <c r="D106" s="195"/>
      <c r="E106" s="235" t="str">
        <f>IFERROR(VLOOKUP($F$4,Y_1,13,0),"")</f>
        <v/>
      </c>
      <c r="F106" s="235" t="str">
        <f>IFERROR(VLOOKUP($F$4,Y_2,13,0),"")</f>
        <v/>
      </c>
      <c r="G106" s="235" t="str">
        <f>IFERROR(VLOOKUP($F$4,Y_3,13,0),"")</f>
        <v/>
      </c>
      <c r="H106" s="235" t="str">
        <f>IFERROR(VLOOKUP($F$4,Y_4,13,0),"")</f>
        <v/>
      </c>
      <c r="I106" s="235" t="str">
        <f>IFERROR(VLOOKUP($F$4,Y_5,13,0),"")</f>
        <v/>
      </c>
      <c r="J106" s="235" t="str">
        <f>IFERROR(VLOOKUP($F$4,Y_6,13,0),"")</f>
        <v/>
      </c>
      <c r="K106" s="336" t="str">
        <f>IFERROR(VLOOKUP($F$4,Y_7,13,0),"")</f>
        <v/>
      </c>
      <c r="L106" s="336" t="str">
        <f>IFERROR(VLOOKUP($F$4,Y_8,13,0),"")</f>
        <v/>
      </c>
      <c r="M106" s="236" t="str">
        <f>IFERROR(VLOOKUP($F$4,Y_9,13,0),"")</f>
        <v/>
      </c>
      <c r="AB106" s="432"/>
      <c r="AC106" s="432"/>
      <c r="AF106" s="434"/>
      <c r="AG106" s="434"/>
      <c r="AH106" s="434"/>
      <c r="AI106" s="434"/>
      <c r="AJ106" s="434"/>
      <c r="AK106" s="434"/>
      <c r="AL106" s="434"/>
      <c r="AM106" s="434"/>
    </row>
    <row r="107" spans="2:39" x14ac:dyDescent="0.25">
      <c r="B107" s="223" t="s">
        <v>21</v>
      </c>
      <c r="C107" s="224"/>
      <c r="D107" s="224"/>
      <c r="E107" s="237" t="str">
        <f>IFERROR(VLOOKUP($F$4,Y_1,14,0),"")</f>
        <v/>
      </c>
      <c r="F107" s="237" t="str">
        <f>IFERROR(VLOOKUP($F$4,Y_2,14,0),"")</f>
        <v/>
      </c>
      <c r="G107" s="237" t="str">
        <f>IFERROR(VLOOKUP($F$4,Y_3,14,0),"")</f>
        <v/>
      </c>
      <c r="H107" s="237" t="str">
        <f>IFERROR(VLOOKUP($F$4,Y_4,14,0),"")</f>
        <v/>
      </c>
      <c r="I107" s="237" t="str">
        <f>IFERROR(VLOOKUP($F$4,Y_5,14,0),"")</f>
        <v/>
      </c>
      <c r="J107" s="237" t="str">
        <f>IFERROR(VLOOKUP($F$4,Y_6,14,0),"")</f>
        <v/>
      </c>
      <c r="K107" s="237" t="str">
        <f>IFERROR(VLOOKUP($F$4,Y_7,14,0),"")</f>
        <v/>
      </c>
      <c r="L107" s="237" t="str">
        <f>IFERROR(VLOOKUP($F$4,Y_8,14,0),"")</f>
        <v/>
      </c>
      <c r="M107" s="238" t="str">
        <f>IFERROR(VLOOKUP($F$4,Y_9,14,0),"")</f>
        <v/>
      </c>
      <c r="AB107" s="432"/>
      <c r="AC107" s="432"/>
      <c r="AF107" s="434"/>
      <c r="AG107" s="434"/>
      <c r="AH107" s="434"/>
      <c r="AI107" s="434"/>
      <c r="AJ107" s="434"/>
      <c r="AK107" s="434"/>
      <c r="AL107" s="434"/>
      <c r="AM107" s="434"/>
    </row>
    <row r="108" spans="2:39" x14ac:dyDescent="0.25">
      <c r="B108" s="29" t="s">
        <v>13</v>
      </c>
      <c r="C108" s="384"/>
      <c r="D108" s="30"/>
      <c r="E108" s="235"/>
      <c r="F108" s="235"/>
      <c r="G108" s="235"/>
      <c r="H108" s="235"/>
      <c r="I108" s="239"/>
      <c r="J108" s="239"/>
      <c r="K108" s="337"/>
      <c r="L108" s="337"/>
      <c r="M108" s="240"/>
      <c r="AB108" s="432"/>
      <c r="AC108" s="432"/>
      <c r="AF108" s="434"/>
      <c r="AG108" s="434"/>
      <c r="AH108" s="434"/>
      <c r="AI108" s="434"/>
      <c r="AJ108" s="434"/>
      <c r="AK108" s="434"/>
      <c r="AL108" s="434"/>
      <c r="AM108" s="434"/>
    </row>
    <row r="109" spans="2:39" x14ac:dyDescent="0.25">
      <c r="B109" s="220" t="s">
        <v>18</v>
      </c>
      <c r="C109" s="221"/>
      <c r="D109" s="221"/>
      <c r="E109" s="233">
        <f>IF($F$4&lt;&gt;"",VLOOKUP($B$49,Y_1,10,0),"")</f>
        <v>95.88</v>
      </c>
      <c r="F109" s="233">
        <f>IF($F$4&lt;&gt;"",VLOOKUP($B$49,Y_2,10,0),"")</f>
        <v>97.84</v>
      </c>
      <c r="G109" s="233">
        <f>IF($F$4&lt;&gt;"",VLOOKUP($B$49,Y_3,10,0),"")</f>
        <v>96.61</v>
      </c>
      <c r="H109" s="233">
        <f>IF($F$4&lt;&gt;"",VLOOKUP($B$49,Y_4,10,0),"")</f>
        <v>96.33</v>
      </c>
      <c r="I109" s="233">
        <f>IF($F$4&lt;&gt;"",VLOOKUP($B$49,Y_5,10,0),"")</f>
        <v>95.12</v>
      </c>
      <c r="J109" s="233">
        <f>IF($F$4&lt;&gt;"",VLOOKUP($B$49,Y_6,10,0),"")</f>
        <v>94.25</v>
      </c>
      <c r="K109" s="233">
        <f>IF($F$4&lt;&gt;"",VLOOKUP($B$49,Y_7,10,0),"")</f>
        <v>96.6</v>
      </c>
      <c r="L109" s="233">
        <f>IF($F$4&lt;&gt;"",VLOOKUP($B$49,Y_8,10,0),"")</f>
        <v>98.05</v>
      </c>
      <c r="M109" s="234">
        <f>IF($F$4&lt;&gt;"",VLOOKUP($B$49,Y_9,10,0),"")</f>
        <v>102.15</v>
      </c>
      <c r="AB109" s="432"/>
      <c r="AC109" s="432"/>
      <c r="AF109" s="434"/>
      <c r="AG109" s="434"/>
      <c r="AH109" s="434"/>
      <c r="AI109" s="434"/>
      <c r="AJ109" s="434"/>
      <c r="AK109" s="434"/>
      <c r="AL109" s="434"/>
      <c r="AM109" s="434"/>
    </row>
    <row r="110" spans="2:39" x14ac:dyDescent="0.25">
      <c r="B110" s="222" t="s">
        <v>776</v>
      </c>
      <c r="C110" s="378"/>
      <c r="D110" s="195"/>
      <c r="E110" s="44">
        <f>IF($F$4&lt;&gt;"",VLOOKUP($B$49,Y_1,11,0),"")</f>
        <v>96.85</v>
      </c>
      <c r="F110" s="44">
        <f>IF($F$4&lt;&gt;"",VLOOKUP($B$49,Y_2,11,0),"")</f>
        <v>98.83</v>
      </c>
      <c r="G110" s="235">
        <f>IF($F$4&lt;&gt;"",VLOOKUP($B$49,Y_3,11,0),"")</f>
        <v>95.96</v>
      </c>
      <c r="H110" s="235">
        <f>IF($F$4&lt;&gt;"",VLOOKUP($B$49,Y_4,11,0),"")</f>
        <v>95.09</v>
      </c>
      <c r="I110" s="235">
        <f>IF($F$4&lt;&gt;"",VLOOKUP($B$49,Y_5,11,0),"")</f>
        <v>94.54</v>
      </c>
      <c r="J110" s="235">
        <f>IF($F$4&lt;&gt;"",VLOOKUP($B$49,Y_6,11,0),"")</f>
        <v>93.8</v>
      </c>
      <c r="K110" s="336">
        <f>IF($F$4&lt;&gt;"",VLOOKUP($B$49,Y_7,11,0),"")</f>
        <v>96.19</v>
      </c>
      <c r="L110" s="336">
        <f>IF($F$4&lt;&gt;"",VLOOKUP($B$49,Y_8,11,0),"")</f>
        <v>97.56</v>
      </c>
      <c r="M110" s="236">
        <f>IF($F$4&lt;&gt;"",VLOOKUP($B$49,Y_9,11,0),"")</f>
        <v>101.55</v>
      </c>
      <c r="AB110" s="432"/>
      <c r="AC110" s="432"/>
      <c r="AF110" s="434"/>
      <c r="AG110" s="434"/>
      <c r="AH110" s="434"/>
      <c r="AI110" s="434"/>
      <c r="AJ110" s="434"/>
      <c r="AK110" s="434"/>
      <c r="AL110" s="434"/>
      <c r="AM110" s="434"/>
    </row>
    <row r="111" spans="2:39" x14ac:dyDescent="0.25">
      <c r="B111" s="222" t="s">
        <v>19</v>
      </c>
      <c r="C111" s="378"/>
      <c r="D111" s="195"/>
      <c r="E111" s="235">
        <f>IF($F$4&lt;&gt;"",VLOOKUP($B$49,Y_1,12,0),"")</f>
        <v>6.02</v>
      </c>
      <c r="F111" s="235">
        <f>IF($F$4&lt;&gt;"",VLOOKUP($B$49,Y_2,12,0),"")</f>
        <v>6.24</v>
      </c>
      <c r="G111" s="235">
        <f>IF($F$4&lt;&gt;"",VLOOKUP($B$49,Y_3,12,0),"")</f>
        <v>6.46</v>
      </c>
      <c r="H111" s="235">
        <f>IF($F$4&lt;&gt;"",VLOOKUP($B$49,Y_4,12,0),"")</f>
        <v>6.71</v>
      </c>
      <c r="I111" s="235">
        <f>IF($F$4&lt;&gt;"",VLOOKUP($B$49,Y_5,12,0),"")</f>
        <v>6.88</v>
      </c>
      <c r="J111" s="235">
        <f>IF($F$4&lt;&gt;"",VLOOKUP($B$49,Y_6,12,0),"")</f>
        <v>7.07</v>
      </c>
      <c r="K111" s="336">
        <f>IF($F$4&lt;&gt;"",VLOOKUP($B$49,Y_7,12,0),"")</f>
        <v>7.12</v>
      </c>
      <c r="L111" s="336">
        <f>IF($F$4&lt;&gt;"",VLOOKUP($B$49,Y_8,12,0),"")</f>
        <v>7.25</v>
      </c>
      <c r="M111" s="236">
        <f>IF($F$4&lt;&gt;"",VLOOKUP($B$49,Y_9,12,0),"")</f>
        <v>7.58</v>
      </c>
      <c r="AB111" s="432"/>
      <c r="AC111" s="432"/>
      <c r="AF111" s="434"/>
      <c r="AG111" s="434"/>
      <c r="AH111" s="434"/>
      <c r="AI111" s="434"/>
      <c r="AJ111" s="434"/>
      <c r="AK111" s="434"/>
      <c r="AL111" s="434"/>
      <c r="AM111" s="434"/>
    </row>
    <row r="112" spans="2:39" x14ac:dyDescent="0.25">
      <c r="B112" s="222" t="s">
        <v>20</v>
      </c>
      <c r="C112" s="378"/>
      <c r="D112" s="195"/>
      <c r="E112" s="235">
        <f>IF($F$4&lt;&gt;"",VLOOKUP($B$49,Y_1,13,0),"")</f>
        <v>99.33</v>
      </c>
      <c r="F112" s="235">
        <f>IF($F$4&lt;&gt;"",VLOOKUP($B$49,Y_2,13,0),"")</f>
        <v>101.35</v>
      </c>
      <c r="G112" s="235">
        <f>IF($F$4&lt;&gt;"",VLOOKUP($B$49,Y_3,13,0),"")</f>
        <v>100.38</v>
      </c>
      <c r="H112" s="235">
        <f>IF($F$4&lt;&gt;"",VLOOKUP($B$49,Y_4,13,0),"")</f>
        <v>100.16</v>
      </c>
      <c r="I112" s="235">
        <f>IF($F$4&lt;&gt;"",VLOOKUP($B$49,Y_5,13,0),"")</f>
        <v>99.18</v>
      </c>
      <c r="J112" s="235">
        <f>IF($F$4&lt;&gt;"",VLOOKUP($B$49,Y_6,13,0),"")</f>
        <v>98.49</v>
      </c>
      <c r="K112" s="336">
        <f>IF($F$4&lt;&gt;"",VLOOKUP($B$49,Y_7,13,0),"")</f>
        <v>166.27</v>
      </c>
      <c r="L112" s="336">
        <f>IF($F$4&lt;&gt;"",VLOOKUP($B$49,Y_8,13,0),"")</f>
        <v>102.48</v>
      </c>
      <c r="M112" s="236">
        <f>IF($F$4&lt;&gt;"",VLOOKUP($B$49,Y_9,13,0),"")</f>
        <v>106.83</v>
      </c>
      <c r="AB112" s="432"/>
      <c r="AC112" s="432"/>
      <c r="AF112" s="434"/>
      <c r="AG112" s="434"/>
      <c r="AH112" s="434"/>
      <c r="AI112" s="434"/>
      <c r="AJ112" s="434"/>
      <c r="AK112" s="434"/>
      <c r="AL112" s="434"/>
      <c r="AM112" s="434"/>
    </row>
    <row r="113" spans="1:56" x14ac:dyDescent="0.25">
      <c r="B113" s="223" t="s">
        <v>21</v>
      </c>
      <c r="C113" s="224"/>
      <c r="D113" s="224"/>
      <c r="E113" s="237">
        <f>IF($F$4&lt;&gt;"",VLOOKUP($B$49,Y_1,14,0),"")</f>
        <v>1824788</v>
      </c>
      <c r="F113" s="237">
        <f>IF($F$4&lt;&gt;"",VLOOKUP($B$49,Y_2,14,0),"")</f>
        <v>1832246</v>
      </c>
      <c r="G113" s="237">
        <f>IF($F$4&lt;&gt;"",VLOOKUP($B$49,Y_3,14,0),"")</f>
        <v>1844420</v>
      </c>
      <c r="H113" s="237">
        <f>IF($F$4&lt;&gt;"",VLOOKUP($B$49,Y_4,14,0),"")</f>
        <v>1846604</v>
      </c>
      <c r="I113" s="237">
        <f>IF($F$4&lt;&gt;"",VLOOKUP($B$49,Y_5,14,0),"")</f>
        <v>1842615</v>
      </c>
      <c r="J113" s="237">
        <f>IF($F$4&lt;&gt;"",VLOOKUP($B$49,Y_6,14,0),"")</f>
        <v>1835331</v>
      </c>
      <c r="K113" s="237">
        <f>IF($F$4&lt;&gt;"",VLOOKUP($B$49,Y_7,14,0),"")</f>
        <v>1826469</v>
      </c>
      <c r="L113" s="237">
        <f>IF($F$4&lt;&gt;"",VLOOKUP($B$49,Y_8,14,0),"")</f>
        <v>1826339</v>
      </c>
      <c r="M113" s="238">
        <f>IF($F$4&lt;&gt;"",VLOOKUP($B$49,Y_9,14,0),"")</f>
        <v>1831331</v>
      </c>
      <c r="AB113" s="432"/>
      <c r="AC113" s="432"/>
      <c r="AF113" s="434"/>
      <c r="AG113" s="434"/>
      <c r="AH113" s="434"/>
      <c r="AI113" s="434"/>
      <c r="AJ113" s="434"/>
      <c r="AK113" s="434"/>
      <c r="AL113" s="434"/>
      <c r="AM113" s="434"/>
    </row>
    <row r="114" spans="1:56" x14ac:dyDescent="0.25">
      <c r="B114" s="46" t="s">
        <v>804</v>
      </c>
      <c r="C114" s="47"/>
      <c r="D114" s="47"/>
      <c r="E114" s="47"/>
      <c r="K114" s="317"/>
      <c r="L114" s="317"/>
      <c r="M114" s="48"/>
      <c r="AB114" s="432"/>
      <c r="AC114" s="432"/>
      <c r="AF114" s="434"/>
      <c r="AG114" s="434"/>
      <c r="AH114" s="434"/>
      <c r="AI114" s="434"/>
      <c r="AJ114" s="434"/>
      <c r="AK114" s="434"/>
      <c r="AL114" s="434"/>
      <c r="AM114" s="434"/>
    </row>
    <row r="115" spans="1:56" x14ac:dyDescent="0.25">
      <c r="B115" s="46" t="s">
        <v>796</v>
      </c>
      <c r="C115" s="47"/>
      <c r="E115" s="323"/>
      <c r="I115" s="322"/>
      <c r="K115" s="317"/>
      <c r="L115" s="317"/>
      <c r="M115" s="49"/>
      <c r="N115" s="463" t="str">
        <f>IF(F3="","Average weekly general needs (social rent) net rent (£ per week)","Average weekly general needs (social rent) net rent (£ per week) in "&amp;$F$3&amp;", "&amp;$B$48&amp;" and England")</f>
        <v>Average weekly general needs (social rent) net rent (£ per week)</v>
      </c>
      <c r="O115" s="463"/>
      <c r="P115" s="463"/>
      <c r="Q115" s="463"/>
      <c r="R115" s="463"/>
      <c r="S115" s="463"/>
      <c r="T115" s="464"/>
      <c r="U115" s="317"/>
      <c r="AB115" s="432"/>
      <c r="AC115" s="432"/>
      <c r="AF115" s="434"/>
      <c r="AG115" s="434"/>
      <c r="AH115" s="434"/>
      <c r="AI115" s="434"/>
      <c r="AJ115" s="434"/>
      <c r="AK115" s="434"/>
      <c r="AL115" s="434"/>
      <c r="AM115" s="434"/>
    </row>
    <row r="116" spans="1:56" x14ac:dyDescent="0.25">
      <c r="B116" s="46" t="s">
        <v>794</v>
      </c>
      <c r="C116" s="47"/>
      <c r="D116" s="47"/>
      <c r="E116" s="47"/>
      <c r="F116" s="47"/>
      <c r="K116" s="317"/>
      <c r="L116" s="317"/>
      <c r="M116" s="49"/>
      <c r="N116" s="463"/>
      <c r="O116" s="463"/>
      <c r="P116" s="463"/>
      <c r="Q116" s="463"/>
      <c r="R116" s="463"/>
      <c r="S116" s="463"/>
      <c r="T116" s="464"/>
      <c r="U116" s="317"/>
      <c r="AB116" s="432"/>
      <c r="AC116" s="432"/>
      <c r="AF116" s="434"/>
      <c r="AG116" s="434"/>
      <c r="AH116" s="434"/>
      <c r="AI116" s="434"/>
      <c r="AJ116" s="434"/>
      <c r="AK116" s="434"/>
      <c r="AL116" s="434"/>
      <c r="AM116" s="434"/>
    </row>
    <row r="117" spans="1:56" x14ac:dyDescent="0.25">
      <c r="B117" s="457" t="s">
        <v>22</v>
      </c>
      <c r="C117" s="458"/>
      <c r="D117" s="459"/>
      <c r="E117" s="459"/>
      <c r="F117" s="459"/>
      <c r="G117" s="459"/>
      <c r="H117" s="459"/>
      <c r="I117" s="459"/>
      <c r="J117" s="459"/>
      <c r="K117" s="318"/>
      <c r="L117" s="318"/>
      <c r="M117" s="50"/>
      <c r="N117" s="463"/>
      <c r="O117" s="463"/>
      <c r="P117" s="463"/>
      <c r="Q117" s="463"/>
      <c r="R117" s="463"/>
      <c r="S117" s="463"/>
      <c r="T117" s="464"/>
      <c r="U117" s="317"/>
      <c r="AB117" s="432"/>
      <c r="AC117" s="432"/>
      <c r="AF117" s="434"/>
      <c r="AG117" s="434"/>
      <c r="AH117" s="434"/>
      <c r="AI117" s="434"/>
      <c r="AJ117" s="434"/>
      <c r="AK117" s="434"/>
      <c r="AL117" s="434"/>
      <c r="AM117" s="434"/>
    </row>
    <row r="118" spans="1:56" x14ac:dyDescent="0.25">
      <c r="B118" s="460"/>
      <c r="C118" s="461"/>
      <c r="D118" s="461"/>
      <c r="E118" s="461"/>
      <c r="F118" s="461"/>
      <c r="G118" s="461"/>
      <c r="H118" s="461"/>
      <c r="I118" s="461"/>
      <c r="J118" s="461"/>
      <c r="K118" s="315"/>
      <c r="L118" s="375"/>
      <c r="M118" s="51"/>
      <c r="AB118" s="432"/>
      <c r="AC118" s="432"/>
      <c r="AF118" s="434"/>
      <c r="AG118" s="434"/>
      <c r="AH118" s="434"/>
      <c r="AI118" s="434"/>
      <c r="AJ118" s="434"/>
      <c r="AK118" s="434"/>
      <c r="AL118" s="434"/>
      <c r="AM118" s="434"/>
    </row>
    <row r="119" spans="1:56" x14ac:dyDescent="0.25">
      <c r="B119" s="318"/>
      <c r="C119" s="318"/>
      <c r="D119" s="318"/>
      <c r="E119" s="318"/>
      <c r="F119" s="318"/>
      <c r="G119" s="318"/>
      <c r="H119" s="318"/>
      <c r="I119" s="318"/>
      <c r="J119" s="318"/>
      <c r="K119" s="318"/>
      <c r="L119" s="318"/>
      <c r="M119" s="318"/>
      <c r="AB119" s="432"/>
      <c r="AC119" s="432"/>
      <c r="AF119" s="434"/>
      <c r="AG119" s="434"/>
      <c r="AH119" s="434"/>
      <c r="AI119" s="434"/>
      <c r="AJ119" s="434"/>
      <c r="AK119" s="434"/>
      <c r="AL119" s="434"/>
      <c r="AM119" s="434"/>
      <c r="AW119" s="187"/>
      <c r="AX119" s="187"/>
      <c r="AY119" s="187"/>
      <c r="AZ119" s="187"/>
      <c r="BA119" s="187"/>
      <c r="BB119" s="187"/>
      <c r="BC119" s="187"/>
      <c r="BD119" s="187"/>
    </row>
    <row r="120" spans="1:56" s="322" customFormat="1" x14ac:dyDescent="0.25">
      <c r="A120" s="441">
        <v>4</v>
      </c>
      <c r="B120" s="397"/>
      <c r="C120" s="397"/>
      <c r="D120" s="397"/>
      <c r="E120" s="397"/>
      <c r="F120" s="397"/>
      <c r="G120" s="397"/>
      <c r="H120" s="397"/>
      <c r="I120" s="397"/>
      <c r="J120" s="397"/>
      <c r="K120" s="397"/>
      <c r="L120" s="397"/>
      <c r="M120" s="397"/>
      <c r="N120" s="394"/>
      <c r="AB120" s="432"/>
      <c r="AC120" s="432"/>
      <c r="AD120" s="158"/>
      <c r="AE120" s="158"/>
      <c r="AF120" s="434"/>
      <c r="AG120" s="434"/>
      <c r="AH120" s="434"/>
      <c r="AI120" s="434"/>
      <c r="AJ120" s="434"/>
      <c r="AK120" s="434"/>
      <c r="AL120" s="434"/>
      <c r="AM120" s="434"/>
      <c r="AN120" s="396"/>
      <c r="AO120" s="396"/>
      <c r="AP120" s="396"/>
      <c r="AQ120" s="396"/>
      <c r="AR120" s="396"/>
      <c r="AS120" s="396"/>
      <c r="AT120" s="396"/>
      <c r="AU120" s="396"/>
      <c r="AV120" s="396"/>
      <c r="AW120" s="396"/>
      <c r="AX120" s="396"/>
      <c r="AY120" s="396"/>
      <c r="AZ120" s="396"/>
      <c r="BA120" s="396"/>
      <c r="BB120" s="396"/>
      <c r="BC120" s="396"/>
      <c r="BD120" s="396"/>
    </row>
    <row r="121" spans="1:56" s="322" customFormat="1" x14ac:dyDescent="0.25">
      <c r="A121" s="442"/>
      <c r="B121" s="397"/>
      <c r="C121" s="397"/>
      <c r="D121" s="397"/>
      <c r="E121" s="397"/>
      <c r="F121" s="397"/>
      <c r="G121" s="397"/>
      <c r="H121" s="397"/>
      <c r="I121" s="397"/>
      <c r="J121" s="397"/>
      <c r="K121" s="397"/>
      <c r="L121" s="397"/>
      <c r="M121" s="397"/>
      <c r="N121" s="394"/>
      <c r="AB121" s="432"/>
      <c r="AC121" s="432"/>
      <c r="AD121" s="158"/>
      <c r="AE121" s="158"/>
      <c r="AF121" s="434"/>
      <c r="AG121" s="434"/>
      <c r="AH121" s="434"/>
      <c r="AI121" s="434"/>
      <c r="AJ121" s="434"/>
      <c r="AK121" s="434"/>
      <c r="AL121" s="434"/>
      <c r="AM121" s="434"/>
      <c r="AN121" s="396"/>
      <c r="AO121" s="396"/>
      <c r="AP121" s="396"/>
      <c r="AQ121" s="396"/>
      <c r="AR121" s="396"/>
      <c r="AS121" s="396"/>
      <c r="AT121" s="396"/>
      <c r="AU121" s="396"/>
      <c r="AV121" s="396"/>
      <c r="AW121" s="396"/>
      <c r="AX121" s="396"/>
      <c r="AY121" s="396"/>
      <c r="AZ121" s="396"/>
      <c r="BA121" s="396"/>
      <c r="BB121" s="396"/>
      <c r="BC121" s="396"/>
      <c r="BD121" s="396"/>
    </row>
    <row r="122" spans="1:56" s="322" customFormat="1" x14ac:dyDescent="0.25">
      <c r="B122" s="397"/>
      <c r="C122" s="397"/>
      <c r="D122" s="397"/>
      <c r="E122" s="397"/>
      <c r="F122" s="397"/>
      <c r="G122" s="397"/>
      <c r="H122" s="397"/>
      <c r="I122" s="397"/>
      <c r="J122" s="397"/>
      <c r="K122" s="397"/>
      <c r="L122" s="397"/>
      <c r="M122" s="397"/>
      <c r="N122" s="394"/>
      <c r="AB122" s="432"/>
      <c r="AC122" s="432"/>
      <c r="AD122" s="158"/>
      <c r="AE122" s="158"/>
      <c r="AF122" s="434"/>
      <c r="AG122" s="434"/>
      <c r="AH122" s="434"/>
      <c r="AI122" s="434"/>
      <c r="AJ122" s="434"/>
      <c r="AK122" s="434"/>
      <c r="AL122" s="434"/>
      <c r="AM122" s="434"/>
      <c r="AN122" s="396"/>
      <c r="AO122" s="396"/>
      <c r="AP122" s="396"/>
      <c r="AQ122" s="396"/>
      <c r="AR122" s="396"/>
      <c r="AS122" s="396"/>
      <c r="AT122" s="396"/>
      <c r="AU122" s="396"/>
      <c r="AV122" s="396"/>
      <c r="AW122" s="396"/>
      <c r="AX122" s="396"/>
      <c r="AY122" s="396"/>
      <c r="AZ122" s="396"/>
      <c r="BA122" s="396"/>
      <c r="BB122" s="396"/>
      <c r="BC122" s="396"/>
      <c r="BD122" s="396"/>
    </row>
    <row r="123" spans="1:56" s="322" customFormat="1" x14ac:dyDescent="0.25">
      <c r="B123" s="397"/>
      <c r="C123" s="397"/>
      <c r="D123" s="397"/>
      <c r="E123" s="397"/>
      <c r="F123" s="397"/>
      <c r="G123" s="397"/>
      <c r="H123" s="397"/>
      <c r="I123" s="397"/>
      <c r="J123" s="397"/>
      <c r="K123" s="397"/>
      <c r="L123" s="397"/>
      <c r="M123" s="397"/>
      <c r="N123" s="394"/>
      <c r="AB123" s="432"/>
      <c r="AC123" s="432"/>
      <c r="AD123" s="158"/>
      <c r="AE123" s="158"/>
      <c r="AF123" s="434"/>
      <c r="AG123" s="434"/>
      <c r="AH123" s="434"/>
      <c r="AI123" s="434"/>
      <c r="AJ123" s="434"/>
      <c r="AK123" s="434"/>
      <c r="AL123" s="434"/>
      <c r="AM123" s="434"/>
      <c r="AN123" s="396"/>
      <c r="AO123" s="396"/>
      <c r="AP123" s="396"/>
      <c r="AQ123" s="396"/>
      <c r="AR123" s="396"/>
      <c r="AS123" s="396"/>
      <c r="AT123" s="396"/>
      <c r="AU123" s="396"/>
      <c r="AV123" s="396"/>
      <c r="AW123" s="396"/>
      <c r="AX123" s="396"/>
      <c r="AY123" s="396"/>
      <c r="AZ123" s="396"/>
      <c r="BA123" s="396"/>
      <c r="BB123" s="396"/>
      <c r="BC123" s="396"/>
      <c r="BD123" s="396"/>
    </row>
    <row r="124" spans="1:56" s="322" customFormat="1" x14ac:dyDescent="0.25">
      <c r="B124" s="397"/>
      <c r="C124" s="397"/>
      <c r="D124" s="397"/>
      <c r="E124" s="397"/>
      <c r="F124" s="397"/>
      <c r="G124" s="397"/>
      <c r="H124" s="397"/>
      <c r="I124" s="397"/>
      <c r="J124" s="397"/>
      <c r="K124" s="397"/>
      <c r="L124" s="397"/>
      <c r="M124" s="397"/>
      <c r="N124" s="394"/>
      <c r="AB124" s="432"/>
      <c r="AC124" s="432"/>
      <c r="AD124" s="158"/>
      <c r="AE124" s="158"/>
      <c r="AF124" s="434"/>
      <c r="AG124" s="434"/>
      <c r="AH124" s="434"/>
      <c r="AI124" s="434"/>
      <c r="AJ124" s="434"/>
      <c r="AK124" s="434"/>
      <c r="AL124" s="434"/>
      <c r="AM124" s="434"/>
      <c r="AN124" s="396"/>
      <c r="AO124" s="396"/>
      <c r="AP124" s="396"/>
      <c r="AQ124" s="396"/>
      <c r="AR124" s="396"/>
      <c r="AS124" s="396"/>
      <c r="AT124" s="396"/>
      <c r="AU124" s="396"/>
      <c r="AV124" s="396"/>
      <c r="AW124" s="396"/>
      <c r="AX124" s="396"/>
      <c r="AY124" s="396"/>
      <c r="AZ124" s="396"/>
      <c r="BA124" s="396"/>
      <c r="BB124" s="396"/>
      <c r="BC124" s="396"/>
      <c r="BD124" s="396"/>
    </row>
    <row r="125" spans="1:56" s="322" customFormat="1" x14ac:dyDescent="0.25">
      <c r="B125" s="397"/>
      <c r="C125" s="397"/>
      <c r="D125" s="397"/>
      <c r="E125" s="397"/>
      <c r="F125" s="397"/>
      <c r="G125" s="397"/>
      <c r="H125" s="397"/>
      <c r="I125" s="397"/>
      <c r="J125" s="397"/>
      <c r="K125" s="397"/>
      <c r="L125" s="397"/>
      <c r="M125" s="397"/>
      <c r="N125" s="394"/>
      <c r="AB125" s="432"/>
      <c r="AC125" s="432"/>
      <c r="AD125" s="158"/>
      <c r="AE125" s="158"/>
      <c r="AF125" s="434"/>
      <c r="AG125" s="434"/>
      <c r="AH125" s="434"/>
      <c r="AI125" s="434"/>
      <c r="AJ125" s="434"/>
      <c r="AK125" s="434"/>
      <c r="AL125" s="434"/>
      <c r="AM125" s="434"/>
      <c r="AN125" s="396"/>
      <c r="AO125" s="396"/>
      <c r="AP125" s="396"/>
      <c r="AQ125" s="396"/>
      <c r="AR125" s="396"/>
      <c r="AS125" s="396"/>
      <c r="AT125" s="396"/>
      <c r="AU125" s="396"/>
      <c r="AV125" s="396"/>
      <c r="AW125" s="396"/>
      <c r="AX125" s="396"/>
      <c r="AY125" s="396"/>
      <c r="AZ125" s="396"/>
      <c r="BA125" s="396"/>
      <c r="BB125" s="396"/>
      <c r="BC125" s="396"/>
      <c r="BD125" s="396"/>
    </row>
    <row r="126" spans="1:56" s="322" customFormat="1" x14ac:dyDescent="0.25">
      <c r="B126" s="397"/>
      <c r="C126" s="397"/>
      <c r="D126" s="397"/>
      <c r="E126" s="397"/>
      <c r="F126" s="397"/>
      <c r="G126" s="397"/>
      <c r="H126" s="397"/>
      <c r="I126" s="397"/>
      <c r="J126" s="397"/>
      <c r="K126" s="397"/>
      <c r="L126" s="397"/>
      <c r="M126" s="397"/>
      <c r="N126" s="394"/>
      <c r="AB126" s="432"/>
      <c r="AC126" s="432"/>
      <c r="AD126" s="158"/>
      <c r="AE126" s="158"/>
      <c r="AF126" s="434"/>
      <c r="AG126" s="434"/>
      <c r="AH126" s="434"/>
      <c r="AI126" s="434"/>
      <c r="AJ126" s="434"/>
      <c r="AK126" s="434"/>
      <c r="AL126" s="434"/>
      <c r="AM126" s="434"/>
      <c r="AN126" s="396"/>
      <c r="AO126" s="396"/>
      <c r="AP126" s="396"/>
      <c r="AQ126" s="396"/>
      <c r="AR126" s="396"/>
      <c r="AS126" s="396"/>
      <c r="AT126" s="396"/>
      <c r="AU126" s="396"/>
      <c r="AV126" s="396"/>
      <c r="AW126" s="396"/>
      <c r="AX126" s="396"/>
      <c r="AY126" s="396"/>
      <c r="AZ126" s="396"/>
      <c r="BA126" s="396"/>
      <c r="BB126" s="396"/>
      <c r="BC126" s="396"/>
      <c r="BD126" s="396"/>
    </row>
    <row r="127" spans="1:56" s="322" customFormat="1" x14ac:dyDescent="0.25">
      <c r="B127" s="397"/>
      <c r="C127" s="397"/>
      <c r="D127" s="397"/>
      <c r="E127" s="397"/>
      <c r="F127" s="397"/>
      <c r="G127" s="397"/>
      <c r="H127" s="397"/>
      <c r="I127" s="397"/>
      <c r="J127" s="397"/>
      <c r="K127" s="397"/>
      <c r="L127" s="397"/>
      <c r="M127" s="397"/>
      <c r="N127" s="394"/>
      <c r="AB127" s="432"/>
      <c r="AC127" s="432"/>
      <c r="AD127" s="158"/>
      <c r="AE127" s="158"/>
      <c r="AF127" s="434"/>
      <c r="AG127" s="434"/>
      <c r="AH127" s="434"/>
      <c r="AI127" s="434"/>
      <c r="AJ127" s="434"/>
      <c r="AK127" s="434"/>
      <c r="AL127" s="434"/>
      <c r="AM127" s="434"/>
      <c r="AN127" s="396"/>
      <c r="AO127" s="396"/>
      <c r="AP127" s="396"/>
      <c r="AQ127" s="396"/>
      <c r="AR127" s="396"/>
      <c r="AS127" s="396"/>
      <c r="AT127" s="396"/>
      <c r="AU127" s="396"/>
      <c r="AV127" s="396"/>
      <c r="AW127" s="396"/>
      <c r="AX127" s="396"/>
      <c r="AY127" s="396"/>
      <c r="AZ127" s="396"/>
      <c r="BA127" s="396"/>
      <c r="BB127" s="396"/>
      <c r="BC127" s="396"/>
      <c r="BD127" s="396"/>
    </row>
    <row r="128" spans="1:56" s="322" customFormat="1" x14ac:dyDescent="0.25">
      <c r="B128" s="397"/>
      <c r="C128" s="397"/>
      <c r="D128" s="397"/>
      <c r="E128" s="397"/>
      <c r="F128" s="397"/>
      <c r="G128" s="397"/>
      <c r="H128" s="397"/>
      <c r="I128" s="397"/>
      <c r="J128" s="397"/>
      <c r="K128" s="397"/>
      <c r="L128" s="397"/>
      <c r="M128" s="397"/>
      <c r="N128" s="394"/>
      <c r="AB128" s="432"/>
      <c r="AC128" s="432"/>
      <c r="AD128" s="158"/>
      <c r="AE128" s="158"/>
      <c r="AF128" s="434"/>
      <c r="AG128" s="434"/>
      <c r="AH128" s="434"/>
      <c r="AI128" s="434"/>
      <c r="AJ128" s="434"/>
      <c r="AK128" s="434"/>
      <c r="AL128" s="434"/>
      <c r="AM128" s="434"/>
      <c r="AN128" s="396"/>
      <c r="AO128" s="396"/>
      <c r="AP128" s="396"/>
      <c r="AQ128" s="396"/>
      <c r="AR128" s="396"/>
      <c r="AS128" s="396"/>
      <c r="AT128" s="396"/>
      <c r="AU128" s="396"/>
      <c r="AV128" s="396"/>
      <c r="AW128" s="396"/>
      <c r="AX128" s="396"/>
      <c r="AY128" s="396"/>
      <c r="AZ128" s="396"/>
      <c r="BA128" s="396"/>
      <c r="BB128" s="396"/>
      <c r="BC128" s="396"/>
      <c r="BD128" s="396"/>
    </row>
    <row r="129" spans="2:56" s="322" customFormat="1" x14ac:dyDescent="0.25">
      <c r="B129" s="397"/>
      <c r="C129" s="397"/>
      <c r="D129" s="397"/>
      <c r="E129" s="397"/>
      <c r="F129" s="397"/>
      <c r="G129" s="397"/>
      <c r="H129" s="397"/>
      <c r="I129" s="397"/>
      <c r="J129" s="397"/>
      <c r="K129" s="397"/>
      <c r="L129" s="397"/>
      <c r="M129" s="397"/>
      <c r="N129" s="394"/>
      <c r="AB129" s="432"/>
      <c r="AC129" s="432"/>
      <c r="AD129" s="158"/>
      <c r="AE129" s="158"/>
      <c r="AF129" s="434"/>
      <c r="AG129" s="434"/>
      <c r="AH129" s="434"/>
      <c r="AI129" s="434"/>
      <c r="AJ129" s="434"/>
      <c r="AK129" s="434"/>
      <c r="AL129" s="434"/>
      <c r="AM129" s="434"/>
      <c r="AN129" s="396"/>
      <c r="AO129" s="396"/>
      <c r="AP129" s="396"/>
      <c r="AQ129" s="396"/>
      <c r="AR129" s="396"/>
      <c r="AS129" s="396"/>
      <c r="AT129" s="396"/>
      <c r="AU129" s="396"/>
      <c r="AV129" s="396"/>
      <c r="AW129" s="396"/>
      <c r="AX129" s="396"/>
      <c r="AY129" s="396"/>
      <c r="AZ129" s="396"/>
      <c r="BA129" s="396"/>
      <c r="BB129" s="396"/>
      <c r="BC129" s="396"/>
      <c r="BD129" s="396"/>
    </row>
    <row r="130" spans="2:56" s="322" customFormat="1" x14ac:dyDescent="0.25">
      <c r="B130" s="397"/>
      <c r="C130" s="397"/>
      <c r="D130" s="397"/>
      <c r="E130" s="397"/>
      <c r="F130" s="397"/>
      <c r="G130" s="397"/>
      <c r="H130" s="397"/>
      <c r="I130" s="397"/>
      <c r="J130" s="397"/>
      <c r="K130" s="397"/>
      <c r="L130" s="397"/>
      <c r="M130" s="397"/>
      <c r="N130" s="394"/>
      <c r="AB130" s="432"/>
      <c r="AC130" s="432"/>
      <c r="AD130" s="158"/>
      <c r="AE130" s="158"/>
      <c r="AF130" s="434"/>
      <c r="AG130" s="434"/>
      <c r="AH130" s="434"/>
      <c r="AI130" s="434"/>
      <c r="AJ130" s="434"/>
      <c r="AK130" s="434"/>
      <c r="AL130" s="434"/>
      <c r="AM130" s="434"/>
      <c r="AN130" s="396"/>
      <c r="AO130" s="396"/>
      <c r="AP130" s="396"/>
      <c r="AQ130" s="396"/>
      <c r="AR130" s="396"/>
      <c r="AS130" s="396"/>
      <c r="AT130" s="396"/>
      <c r="AU130" s="396"/>
      <c r="AV130" s="396"/>
      <c r="AW130" s="396"/>
      <c r="AX130" s="396"/>
      <c r="AY130" s="396"/>
      <c r="AZ130" s="396"/>
      <c r="BA130" s="396"/>
      <c r="BB130" s="396"/>
      <c r="BC130" s="396"/>
      <c r="BD130" s="396"/>
    </row>
    <row r="131" spans="2:56" s="322" customFormat="1" x14ac:dyDescent="0.25">
      <c r="B131" s="397"/>
      <c r="C131" s="397"/>
      <c r="D131" s="397"/>
      <c r="E131" s="397"/>
      <c r="F131" s="397"/>
      <c r="G131" s="397"/>
      <c r="H131" s="397"/>
      <c r="I131" s="397"/>
      <c r="J131" s="397"/>
      <c r="K131" s="397"/>
      <c r="L131" s="397"/>
      <c r="M131" s="397"/>
      <c r="N131" s="394"/>
      <c r="AB131" s="432"/>
      <c r="AC131" s="432"/>
      <c r="AD131" s="158"/>
      <c r="AE131" s="158"/>
      <c r="AF131" s="434"/>
      <c r="AG131" s="434"/>
      <c r="AH131" s="434"/>
      <c r="AI131" s="434"/>
      <c r="AJ131" s="434"/>
      <c r="AK131" s="434"/>
      <c r="AL131" s="434"/>
      <c r="AM131" s="434"/>
      <c r="AN131" s="396"/>
      <c r="AO131" s="396"/>
      <c r="AP131" s="396"/>
      <c r="AQ131" s="396"/>
      <c r="AR131" s="396"/>
      <c r="AS131" s="396"/>
      <c r="AT131" s="396"/>
      <c r="AU131" s="396"/>
      <c r="AV131" s="396"/>
      <c r="AW131" s="396"/>
      <c r="AX131" s="396"/>
      <c r="AY131" s="396"/>
      <c r="AZ131" s="396"/>
      <c r="BA131" s="396"/>
      <c r="BB131" s="396"/>
      <c r="BC131" s="396"/>
      <c r="BD131" s="396"/>
    </row>
    <row r="132" spans="2:56" s="322" customFormat="1" x14ac:dyDescent="0.25">
      <c r="B132" s="397"/>
      <c r="C132" s="397"/>
      <c r="D132" s="397"/>
      <c r="E132" s="397"/>
      <c r="F132" s="397"/>
      <c r="G132" s="397"/>
      <c r="H132" s="397"/>
      <c r="I132" s="397"/>
      <c r="J132" s="397"/>
      <c r="K132" s="397"/>
      <c r="L132" s="397"/>
      <c r="M132" s="397"/>
      <c r="N132" s="394"/>
      <c r="AB132" s="432"/>
      <c r="AC132" s="432"/>
      <c r="AD132" s="158"/>
      <c r="AE132" s="158"/>
      <c r="AF132" s="434"/>
      <c r="AG132" s="434"/>
      <c r="AH132" s="434"/>
      <c r="AI132" s="434"/>
      <c r="AJ132" s="434"/>
      <c r="AK132" s="434"/>
      <c r="AL132" s="434"/>
      <c r="AM132" s="434"/>
      <c r="AN132" s="396"/>
      <c r="AO132" s="396"/>
      <c r="AP132" s="396"/>
      <c r="AQ132" s="396"/>
      <c r="AR132" s="396"/>
      <c r="AS132" s="396"/>
      <c r="AT132" s="396"/>
      <c r="AU132" s="396"/>
      <c r="AV132" s="396"/>
      <c r="AW132" s="396"/>
      <c r="AX132" s="396"/>
      <c r="AY132" s="396"/>
      <c r="AZ132" s="396"/>
      <c r="BA132" s="396"/>
      <c r="BB132" s="396"/>
      <c r="BC132" s="396"/>
      <c r="BD132" s="396"/>
    </row>
    <row r="133" spans="2:56" s="322" customFormat="1" x14ac:dyDescent="0.25">
      <c r="B133" s="397"/>
      <c r="C133" s="397"/>
      <c r="D133" s="397"/>
      <c r="E133" s="397"/>
      <c r="F133" s="397"/>
      <c r="G133" s="397"/>
      <c r="H133" s="397"/>
      <c r="I133" s="397"/>
      <c r="J133" s="397"/>
      <c r="K133" s="397"/>
      <c r="L133" s="397"/>
      <c r="M133" s="397"/>
      <c r="N133" s="394"/>
      <c r="AB133" s="432"/>
      <c r="AC133" s="432"/>
      <c r="AD133" s="158"/>
      <c r="AE133" s="158"/>
      <c r="AF133" s="434"/>
      <c r="AG133" s="434"/>
      <c r="AH133" s="434"/>
      <c r="AI133" s="434"/>
      <c r="AJ133" s="434"/>
      <c r="AK133" s="434"/>
      <c r="AL133" s="434"/>
      <c r="AM133" s="434"/>
      <c r="AN133" s="396"/>
      <c r="AO133" s="396"/>
      <c r="AP133" s="396"/>
      <c r="AQ133" s="396"/>
      <c r="AR133" s="396"/>
      <c r="AS133" s="396"/>
      <c r="AT133" s="396"/>
      <c r="AU133" s="396"/>
      <c r="AV133" s="396"/>
      <c r="AW133" s="396"/>
      <c r="AX133" s="396"/>
      <c r="AY133" s="396"/>
      <c r="AZ133" s="396"/>
      <c r="BA133" s="396"/>
      <c r="BB133" s="396"/>
      <c r="BC133" s="396"/>
      <c r="BD133" s="396"/>
    </row>
    <row r="134" spans="2:56" s="322" customFormat="1" x14ac:dyDescent="0.25">
      <c r="B134" s="397"/>
      <c r="C134" s="397"/>
      <c r="D134" s="397"/>
      <c r="E134" s="397"/>
      <c r="F134" s="397"/>
      <c r="G134" s="397"/>
      <c r="H134" s="397"/>
      <c r="I134" s="397"/>
      <c r="J134" s="397"/>
      <c r="K134" s="397"/>
      <c r="L134" s="397"/>
      <c r="M134" s="397"/>
      <c r="N134" s="394"/>
      <c r="AB134" s="432"/>
      <c r="AC134" s="432"/>
      <c r="AD134" s="158"/>
      <c r="AE134" s="158"/>
      <c r="AF134" s="434"/>
      <c r="AG134" s="434"/>
      <c r="AH134" s="434"/>
      <c r="AI134" s="434"/>
      <c r="AJ134" s="434"/>
      <c r="AK134" s="434"/>
      <c r="AL134" s="434"/>
      <c r="AM134" s="434"/>
      <c r="AN134" s="396"/>
      <c r="AO134" s="396"/>
      <c r="AP134" s="396"/>
      <c r="AQ134" s="396"/>
      <c r="AR134" s="396"/>
      <c r="AS134" s="396"/>
      <c r="AT134" s="396"/>
      <c r="AU134" s="396"/>
      <c r="AV134" s="396"/>
      <c r="AW134" s="396"/>
      <c r="AX134" s="396"/>
      <c r="AY134" s="396"/>
      <c r="AZ134" s="396"/>
      <c r="BA134" s="396"/>
      <c r="BB134" s="396"/>
      <c r="BC134" s="396"/>
      <c r="BD134" s="396"/>
    </row>
    <row r="135" spans="2:56" s="322" customFormat="1" x14ac:dyDescent="0.25">
      <c r="B135" s="397"/>
      <c r="C135" s="397"/>
      <c r="D135" s="397"/>
      <c r="E135" s="397"/>
      <c r="F135" s="397"/>
      <c r="G135" s="397"/>
      <c r="H135" s="397"/>
      <c r="I135" s="397"/>
      <c r="J135" s="397"/>
      <c r="K135" s="397"/>
      <c r="L135" s="397"/>
      <c r="M135" s="397"/>
      <c r="N135" s="394"/>
      <c r="AB135" s="432"/>
      <c r="AC135" s="432"/>
      <c r="AD135" s="158"/>
      <c r="AE135" s="158"/>
      <c r="AF135" s="434"/>
      <c r="AG135" s="434"/>
      <c r="AH135" s="434"/>
      <c r="AI135" s="434"/>
      <c r="AJ135" s="434"/>
      <c r="AK135" s="434"/>
      <c r="AL135" s="434"/>
      <c r="AM135" s="434"/>
      <c r="AN135" s="396"/>
      <c r="AO135" s="396"/>
      <c r="AP135" s="396"/>
      <c r="AQ135" s="396"/>
      <c r="AR135" s="396"/>
      <c r="AS135" s="396"/>
      <c r="AT135" s="396"/>
      <c r="AU135" s="396"/>
      <c r="AV135" s="396"/>
      <c r="AW135" s="396"/>
      <c r="AX135" s="396"/>
      <c r="AY135" s="396"/>
      <c r="AZ135" s="396"/>
      <c r="BA135" s="396"/>
      <c r="BB135" s="396"/>
      <c r="BC135" s="396"/>
      <c r="BD135" s="396"/>
    </row>
    <row r="136" spans="2:56" s="322" customFormat="1" x14ac:dyDescent="0.25">
      <c r="B136" s="397"/>
      <c r="C136" s="397"/>
      <c r="D136" s="397"/>
      <c r="E136" s="397"/>
      <c r="F136" s="397"/>
      <c r="G136" s="397"/>
      <c r="H136" s="397"/>
      <c r="I136" s="397"/>
      <c r="J136" s="397"/>
      <c r="K136" s="397"/>
      <c r="L136" s="397"/>
      <c r="M136" s="397"/>
      <c r="N136" s="394"/>
      <c r="AB136" s="432"/>
      <c r="AC136" s="432"/>
      <c r="AD136" s="158"/>
      <c r="AE136" s="158"/>
      <c r="AF136" s="434"/>
      <c r="AG136" s="434"/>
      <c r="AH136" s="434"/>
      <c r="AI136" s="434"/>
      <c r="AJ136" s="434"/>
      <c r="AK136" s="434"/>
      <c r="AL136" s="434"/>
      <c r="AM136" s="434"/>
      <c r="AN136" s="396"/>
      <c r="AO136" s="396"/>
      <c r="AP136" s="396"/>
      <c r="AQ136" s="396"/>
      <c r="AR136" s="396"/>
      <c r="AS136" s="396"/>
      <c r="AT136" s="396"/>
      <c r="AU136" s="396"/>
      <c r="AV136" s="396"/>
      <c r="AW136" s="396"/>
      <c r="AX136" s="396"/>
      <c r="AY136" s="396"/>
      <c r="AZ136" s="396"/>
      <c r="BA136" s="396"/>
      <c r="BB136" s="396"/>
      <c r="BC136" s="396"/>
      <c r="BD136" s="396"/>
    </row>
    <row r="137" spans="2:56" s="322" customFormat="1" x14ac:dyDescent="0.25">
      <c r="B137" s="397"/>
      <c r="C137" s="397"/>
      <c r="D137" s="397"/>
      <c r="E137" s="397"/>
      <c r="F137" s="397"/>
      <c r="G137" s="397"/>
      <c r="H137" s="397"/>
      <c r="I137" s="397"/>
      <c r="J137" s="397"/>
      <c r="K137" s="397"/>
      <c r="L137" s="397"/>
      <c r="M137" s="397"/>
      <c r="N137" s="394"/>
      <c r="AB137" s="432"/>
      <c r="AC137" s="432"/>
      <c r="AD137" s="158"/>
      <c r="AE137" s="158"/>
      <c r="AF137" s="434"/>
      <c r="AG137" s="434"/>
      <c r="AH137" s="434"/>
      <c r="AI137" s="434"/>
      <c r="AJ137" s="434"/>
      <c r="AK137" s="434"/>
      <c r="AL137" s="434"/>
      <c r="AM137" s="434"/>
      <c r="AN137" s="396"/>
      <c r="AO137" s="396"/>
      <c r="AP137" s="396"/>
      <c r="AQ137" s="396"/>
      <c r="AR137" s="396"/>
      <c r="AS137" s="396"/>
      <c r="AT137" s="396"/>
      <c r="AU137" s="396"/>
      <c r="AV137" s="396"/>
      <c r="AW137" s="396"/>
      <c r="AX137" s="396"/>
      <c r="AY137" s="396"/>
      <c r="AZ137" s="396"/>
      <c r="BA137" s="396"/>
      <c r="BB137" s="396"/>
      <c r="BC137" s="396"/>
      <c r="BD137" s="396"/>
    </row>
    <row r="138" spans="2:56" s="322" customFormat="1" x14ac:dyDescent="0.25">
      <c r="B138" s="397"/>
      <c r="C138" s="397"/>
      <c r="D138" s="397"/>
      <c r="E138" s="397"/>
      <c r="F138" s="397"/>
      <c r="G138" s="397"/>
      <c r="H138" s="397"/>
      <c r="I138" s="397"/>
      <c r="J138" s="397"/>
      <c r="K138" s="397"/>
      <c r="L138" s="397"/>
      <c r="M138" s="397"/>
      <c r="N138" s="394"/>
      <c r="AB138" s="432"/>
      <c r="AC138" s="432"/>
      <c r="AD138" s="158"/>
      <c r="AE138" s="158"/>
      <c r="AF138" s="434"/>
      <c r="AG138" s="434"/>
      <c r="AH138" s="434"/>
      <c r="AI138" s="434"/>
      <c r="AJ138" s="434"/>
      <c r="AK138" s="434"/>
      <c r="AL138" s="434"/>
      <c r="AM138" s="434"/>
      <c r="AN138" s="396"/>
      <c r="AO138" s="396"/>
      <c r="AP138" s="396"/>
      <c r="AQ138" s="396"/>
      <c r="AR138" s="396"/>
      <c r="AS138" s="396"/>
      <c r="AT138" s="396"/>
      <c r="AU138" s="396"/>
      <c r="AV138" s="396"/>
      <c r="AW138" s="396"/>
      <c r="AX138" s="396"/>
      <c r="AY138" s="396"/>
      <c r="AZ138" s="396"/>
      <c r="BA138" s="396"/>
      <c r="BB138" s="396"/>
      <c r="BC138" s="396"/>
      <c r="BD138" s="396"/>
    </row>
    <row r="139" spans="2:56" s="322" customFormat="1" x14ac:dyDescent="0.25">
      <c r="B139" s="397"/>
      <c r="C139" s="397"/>
      <c r="D139" s="397"/>
      <c r="E139" s="397"/>
      <c r="F139" s="397"/>
      <c r="G139" s="397"/>
      <c r="H139" s="397"/>
      <c r="I139" s="397"/>
      <c r="J139" s="397"/>
      <c r="K139" s="397"/>
      <c r="L139" s="397"/>
      <c r="M139" s="397"/>
      <c r="N139" s="394"/>
      <c r="AB139" s="432"/>
      <c r="AC139" s="432"/>
      <c r="AD139" s="158"/>
      <c r="AE139" s="158"/>
      <c r="AF139" s="434"/>
      <c r="AG139" s="434"/>
      <c r="AH139" s="434"/>
      <c r="AI139" s="434"/>
      <c r="AJ139" s="434"/>
      <c r="AK139" s="434"/>
      <c r="AL139" s="434"/>
      <c r="AM139" s="434"/>
      <c r="AN139" s="396"/>
      <c r="AO139" s="396"/>
      <c r="AP139" s="396"/>
      <c r="AQ139" s="396"/>
      <c r="AR139" s="396"/>
      <c r="AS139" s="396"/>
      <c r="AT139" s="396"/>
      <c r="AU139" s="396"/>
      <c r="AV139" s="396"/>
      <c r="AW139" s="396"/>
      <c r="AX139" s="396"/>
      <c r="AY139" s="396"/>
      <c r="AZ139" s="396"/>
      <c r="BA139" s="396"/>
      <c r="BB139" s="396"/>
      <c r="BC139" s="396"/>
      <c r="BD139" s="396"/>
    </row>
    <row r="140" spans="2:56" s="322" customFormat="1" x14ac:dyDescent="0.25">
      <c r="B140" s="397"/>
      <c r="C140" s="397"/>
      <c r="D140" s="397"/>
      <c r="E140" s="397"/>
      <c r="F140" s="397"/>
      <c r="G140" s="397"/>
      <c r="H140" s="397"/>
      <c r="I140" s="397"/>
      <c r="J140" s="397"/>
      <c r="K140" s="397"/>
      <c r="L140" s="397"/>
      <c r="M140" s="397"/>
      <c r="N140" s="394"/>
      <c r="AB140" s="432"/>
      <c r="AC140" s="432"/>
      <c r="AD140" s="158"/>
      <c r="AE140" s="158"/>
      <c r="AF140" s="434"/>
      <c r="AG140" s="434"/>
      <c r="AH140" s="434"/>
      <c r="AI140" s="434"/>
      <c r="AJ140" s="434"/>
      <c r="AK140" s="434"/>
      <c r="AL140" s="434"/>
      <c r="AM140" s="434"/>
      <c r="AN140" s="396"/>
      <c r="AO140" s="396"/>
      <c r="AP140" s="396"/>
      <c r="AQ140" s="396"/>
      <c r="AR140" s="396"/>
      <c r="AS140" s="396"/>
      <c r="AT140" s="396"/>
      <c r="AU140" s="396"/>
      <c r="AV140" s="396"/>
      <c r="AW140" s="396"/>
      <c r="AX140" s="396"/>
      <c r="AY140" s="396"/>
      <c r="AZ140" s="396"/>
      <c r="BA140" s="396"/>
      <c r="BB140" s="396"/>
      <c r="BC140" s="396"/>
      <c r="BD140" s="396"/>
    </row>
    <row r="141" spans="2:56" s="322" customFormat="1" x14ac:dyDescent="0.25">
      <c r="B141" s="397"/>
      <c r="C141" s="397"/>
      <c r="D141" s="397"/>
      <c r="E141" s="397"/>
      <c r="F141" s="397"/>
      <c r="G141" s="397"/>
      <c r="H141" s="397"/>
      <c r="I141" s="397"/>
      <c r="J141" s="397"/>
      <c r="K141" s="397"/>
      <c r="L141" s="397"/>
      <c r="M141" s="397"/>
      <c r="N141" s="394"/>
      <c r="AB141" s="432"/>
      <c r="AC141" s="432"/>
      <c r="AD141" s="158"/>
      <c r="AE141" s="158"/>
      <c r="AF141" s="434"/>
      <c r="AG141" s="434"/>
      <c r="AH141" s="434"/>
      <c r="AI141" s="434"/>
      <c r="AJ141" s="434"/>
      <c r="AK141" s="434"/>
      <c r="AL141" s="434"/>
      <c r="AM141" s="434"/>
      <c r="AN141" s="396"/>
      <c r="AO141" s="396"/>
      <c r="AP141" s="396"/>
      <c r="AQ141" s="396"/>
      <c r="AR141" s="396"/>
      <c r="AS141" s="396"/>
      <c r="AT141" s="396"/>
      <c r="AU141" s="396"/>
      <c r="AV141" s="396"/>
      <c r="AW141" s="396"/>
      <c r="AX141" s="396"/>
      <c r="AY141" s="396"/>
      <c r="AZ141" s="396"/>
      <c r="BA141" s="396"/>
      <c r="BB141" s="396"/>
      <c r="BC141" s="396"/>
      <c r="BD141" s="396"/>
    </row>
    <row r="142" spans="2:56" s="322" customFormat="1" x14ac:dyDescent="0.25">
      <c r="B142" s="397"/>
      <c r="C142" s="397"/>
      <c r="D142" s="397"/>
      <c r="E142" s="397"/>
      <c r="F142" s="397"/>
      <c r="G142" s="397"/>
      <c r="H142" s="397"/>
      <c r="I142" s="397"/>
      <c r="J142" s="397"/>
      <c r="K142" s="397"/>
      <c r="L142" s="397"/>
      <c r="M142" s="397"/>
      <c r="N142" s="394"/>
      <c r="AB142" s="432"/>
      <c r="AC142" s="432"/>
      <c r="AD142" s="158"/>
      <c r="AE142" s="158"/>
      <c r="AF142" s="434"/>
      <c r="AG142" s="434"/>
      <c r="AH142" s="434"/>
      <c r="AI142" s="434"/>
      <c r="AJ142" s="434"/>
      <c r="AK142" s="434"/>
      <c r="AL142" s="434"/>
      <c r="AM142" s="434"/>
      <c r="AN142" s="396"/>
      <c r="AO142" s="396"/>
      <c r="AP142" s="396"/>
      <c r="AQ142" s="396"/>
      <c r="AR142" s="396"/>
      <c r="AS142" s="396"/>
      <c r="AT142" s="396"/>
      <c r="AU142" s="396"/>
      <c r="AV142" s="396"/>
      <c r="AW142" s="396"/>
      <c r="AX142" s="396"/>
      <c r="AY142" s="396"/>
      <c r="AZ142" s="396"/>
      <c r="BA142" s="396"/>
      <c r="BB142" s="396"/>
      <c r="BC142" s="396"/>
      <c r="BD142" s="396"/>
    </row>
    <row r="143" spans="2:56" s="322" customFormat="1" x14ac:dyDescent="0.25">
      <c r="B143" s="397"/>
      <c r="C143" s="397"/>
      <c r="D143" s="397"/>
      <c r="E143" s="397"/>
      <c r="F143" s="397"/>
      <c r="G143" s="397"/>
      <c r="H143" s="397"/>
      <c r="I143" s="397"/>
      <c r="J143" s="397"/>
      <c r="K143" s="397"/>
      <c r="L143" s="397"/>
      <c r="M143" s="397"/>
      <c r="N143" s="394"/>
      <c r="AB143" s="432"/>
      <c r="AC143" s="432"/>
      <c r="AD143" s="158"/>
      <c r="AE143" s="158"/>
      <c r="AF143" s="434"/>
      <c r="AG143" s="434"/>
      <c r="AH143" s="434"/>
      <c r="AI143" s="434"/>
      <c r="AJ143" s="434"/>
      <c r="AK143" s="434"/>
      <c r="AL143" s="434"/>
      <c r="AM143" s="434"/>
      <c r="AN143" s="396"/>
      <c r="AO143" s="396"/>
      <c r="AP143" s="396"/>
      <c r="AQ143" s="396"/>
      <c r="AR143" s="396"/>
      <c r="AS143" s="396"/>
      <c r="AT143" s="396"/>
      <c r="AU143" s="396"/>
      <c r="AV143" s="396"/>
      <c r="AW143" s="396"/>
      <c r="AX143" s="396"/>
      <c r="AY143" s="396"/>
      <c r="AZ143" s="396"/>
      <c r="BA143" s="396"/>
      <c r="BB143" s="396"/>
      <c r="BC143" s="396"/>
      <c r="BD143" s="396"/>
    </row>
    <row r="144" spans="2:56" s="322" customFormat="1" x14ac:dyDescent="0.25">
      <c r="B144" s="397"/>
      <c r="C144" s="397"/>
      <c r="D144" s="397"/>
      <c r="E144" s="397"/>
      <c r="F144" s="397"/>
      <c r="G144" s="397"/>
      <c r="H144" s="397"/>
      <c r="I144" s="397"/>
      <c r="J144" s="397"/>
      <c r="K144" s="397"/>
      <c r="L144" s="397"/>
      <c r="M144" s="397"/>
      <c r="N144" s="394"/>
      <c r="AB144" s="432"/>
      <c r="AC144" s="432"/>
      <c r="AD144" s="158"/>
      <c r="AE144" s="158"/>
      <c r="AF144" s="434"/>
      <c r="AG144" s="434"/>
      <c r="AH144" s="434"/>
      <c r="AI144" s="434"/>
      <c r="AJ144" s="434"/>
      <c r="AK144" s="434"/>
      <c r="AL144" s="434"/>
      <c r="AM144" s="434"/>
      <c r="AN144" s="396"/>
      <c r="AO144" s="396"/>
      <c r="AP144" s="396"/>
      <c r="AQ144" s="396"/>
      <c r="AR144" s="396"/>
      <c r="AS144" s="396"/>
      <c r="AT144" s="396"/>
      <c r="AU144" s="396"/>
      <c r="AV144" s="396"/>
      <c r="AW144" s="396"/>
      <c r="AX144" s="396"/>
      <c r="AY144" s="396"/>
      <c r="AZ144" s="396"/>
      <c r="BA144" s="396"/>
      <c r="BB144" s="396"/>
      <c r="BC144" s="396"/>
      <c r="BD144" s="396"/>
    </row>
    <row r="145" spans="1:56" s="322" customFormat="1" x14ac:dyDescent="0.25">
      <c r="B145" s="397"/>
      <c r="C145" s="397"/>
      <c r="D145" s="397"/>
      <c r="E145" s="397"/>
      <c r="F145" s="397"/>
      <c r="G145" s="397"/>
      <c r="H145" s="397"/>
      <c r="I145" s="397"/>
      <c r="J145" s="397"/>
      <c r="K145" s="397"/>
      <c r="L145" s="397"/>
      <c r="M145" s="397"/>
      <c r="N145" s="394"/>
      <c r="AB145" s="432"/>
      <c r="AC145" s="432"/>
      <c r="AD145" s="158"/>
      <c r="AE145" s="158"/>
      <c r="AF145" s="434"/>
      <c r="AG145" s="434"/>
      <c r="AH145" s="434"/>
      <c r="AI145" s="434"/>
      <c r="AJ145" s="434"/>
      <c r="AK145" s="434"/>
      <c r="AL145" s="434"/>
      <c r="AM145" s="434"/>
      <c r="AN145" s="396"/>
      <c r="AO145" s="396"/>
      <c r="AP145" s="396"/>
      <c r="AQ145" s="396"/>
      <c r="AR145" s="396"/>
      <c r="AS145" s="396"/>
      <c r="AT145" s="396"/>
      <c r="AU145" s="396"/>
      <c r="AV145" s="396"/>
      <c r="AW145" s="396"/>
      <c r="AX145" s="396"/>
      <c r="AY145" s="396"/>
      <c r="AZ145" s="396"/>
      <c r="BA145" s="396"/>
      <c r="BB145" s="396"/>
      <c r="BC145" s="396"/>
      <c r="BD145" s="396"/>
    </row>
    <row r="146" spans="1:56" x14ac:dyDescent="0.25">
      <c r="B146" s="318"/>
      <c r="C146" s="318"/>
      <c r="D146" s="318"/>
      <c r="E146" s="318"/>
      <c r="F146" s="318"/>
      <c r="G146" s="318"/>
      <c r="H146" s="318"/>
      <c r="I146" s="318"/>
      <c r="J146" s="318"/>
      <c r="K146" s="318"/>
      <c r="L146" s="318"/>
      <c r="M146" s="318"/>
      <c r="AB146" s="432"/>
      <c r="AC146" s="432"/>
      <c r="AF146" s="434"/>
      <c r="AG146" s="434"/>
      <c r="AH146" s="434"/>
      <c r="AI146" s="434"/>
      <c r="AJ146" s="434"/>
      <c r="AK146" s="434"/>
      <c r="AL146" s="434"/>
      <c r="AM146" s="434"/>
      <c r="AW146" s="187"/>
      <c r="AX146" s="187"/>
      <c r="AY146" s="187"/>
      <c r="AZ146" s="187"/>
      <c r="BA146" s="187"/>
      <c r="BB146" s="187"/>
      <c r="BC146" s="187"/>
      <c r="BD146" s="187"/>
    </row>
    <row r="147" spans="1:56" ht="15.75" x14ac:dyDescent="0.25">
      <c r="A147" s="450">
        <v>4</v>
      </c>
      <c r="B147" s="35" t="s">
        <v>793</v>
      </c>
      <c r="C147" s="36"/>
      <c r="D147" s="36"/>
      <c r="E147" s="36"/>
      <c r="F147" s="9"/>
      <c r="G147" s="9"/>
      <c r="H147" s="9"/>
      <c r="I147" s="9"/>
      <c r="J147" s="9"/>
      <c r="K147" s="9"/>
      <c r="L147" s="9"/>
      <c r="M147" s="10"/>
      <c r="AB147" s="432"/>
      <c r="AC147" s="432"/>
      <c r="AF147" s="434"/>
      <c r="AG147" s="434"/>
      <c r="AH147" s="434"/>
      <c r="AI147" s="434"/>
      <c r="AJ147" s="434"/>
      <c r="AK147" s="434"/>
      <c r="AL147" s="434"/>
      <c r="AM147" s="434"/>
    </row>
    <row r="148" spans="1:56" ht="32.1" customHeight="1" x14ac:dyDescent="0.25">
      <c r="A148" s="451"/>
      <c r="B148" s="454" t="str">
        <f>IF(F3="","Average weekly rent (£ per week) and units","Average weekly supported housing/housing for older people rent (£ per week) and units in "&amp;$F$3&amp;", "&amp;$B$48&amp;" and England")</f>
        <v>Average weekly rent (£ per week) and units</v>
      </c>
      <c r="C148" s="455"/>
      <c r="D148" s="456"/>
      <c r="E148" s="456"/>
      <c r="F148" s="456"/>
      <c r="G148" s="456"/>
      <c r="H148" s="456"/>
      <c r="I148" s="456"/>
      <c r="J148" s="456"/>
      <c r="K148" s="316"/>
      <c r="L148" s="316"/>
      <c r="M148" s="39"/>
      <c r="AB148" s="432"/>
      <c r="AC148" s="432"/>
      <c r="AF148" s="434"/>
      <c r="AG148" s="434"/>
      <c r="AH148" s="434"/>
      <c r="AI148" s="434"/>
      <c r="AJ148" s="434"/>
      <c r="AK148" s="434"/>
      <c r="AL148" s="434"/>
      <c r="AM148" s="434"/>
    </row>
    <row r="149" spans="1:56" x14ac:dyDescent="0.25">
      <c r="B149" s="339" t="str">
        <f>IF(F3="","Average weekly supported housing/housing for older people (social rent) net rent (£ per week)","Average weekly supported housing/ housing for older people (social rent) net rent (£ per week) in "&amp;$F$3&amp;", "&amp;$B$48&amp;" and England")</f>
        <v>Average weekly supported housing/housing for older people (social rent) net rent (£ per week)</v>
      </c>
      <c r="C149" s="386"/>
      <c r="D149" s="52"/>
      <c r="E149" s="52"/>
      <c r="F149" s="52"/>
      <c r="G149" s="52"/>
      <c r="H149" s="52"/>
      <c r="I149" s="52"/>
      <c r="J149" s="52"/>
      <c r="K149" s="316"/>
      <c r="L149" s="316"/>
      <c r="M149" s="39"/>
      <c r="AB149" s="432"/>
      <c r="AC149" s="432"/>
      <c r="AF149" s="434"/>
      <c r="AG149" s="434"/>
      <c r="AH149" s="434"/>
      <c r="AI149" s="434"/>
      <c r="AJ149" s="434"/>
      <c r="AK149" s="434"/>
      <c r="AL149" s="434"/>
      <c r="AM149" s="434"/>
    </row>
    <row r="150" spans="1:56" x14ac:dyDescent="0.25">
      <c r="B150" s="53"/>
      <c r="C150" s="386"/>
      <c r="D150" s="331" t="s">
        <v>801</v>
      </c>
      <c r="E150" s="54">
        <v>2015</v>
      </c>
      <c r="F150" s="54">
        <v>2016</v>
      </c>
      <c r="G150" s="54">
        <v>2017</v>
      </c>
      <c r="H150" s="54">
        <v>2018</v>
      </c>
      <c r="I150" s="54">
        <v>2019</v>
      </c>
      <c r="J150" s="54">
        <v>2020</v>
      </c>
      <c r="K150" s="54">
        <v>2021</v>
      </c>
      <c r="L150" s="54">
        <v>2022</v>
      </c>
      <c r="M150" s="55">
        <v>2023</v>
      </c>
      <c r="AB150" s="432"/>
      <c r="AC150" s="432"/>
      <c r="AF150" s="434"/>
      <c r="AG150" s="434"/>
      <c r="AH150" s="434"/>
      <c r="AI150" s="434"/>
      <c r="AJ150" s="434"/>
      <c r="AK150" s="434"/>
      <c r="AL150" s="434"/>
      <c r="AM150" s="434"/>
    </row>
    <row r="151" spans="1:56" x14ac:dyDescent="0.25">
      <c r="B151" s="56">
        <f>$F$3</f>
        <v>0</v>
      </c>
      <c r="C151" s="57"/>
      <c r="D151" s="45"/>
      <c r="E151" s="241"/>
      <c r="F151" s="241"/>
      <c r="G151" s="241"/>
      <c r="H151" s="241"/>
      <c r="I151" s="241"/>
      <c r="J151" s="241"/>
      <c r="K151" s="241"/>
      <c r="L151" s="241"/>
      <c r="M151" s="242"/>
      <c r="AB151" s="432"/>
      <c r="AC151" s="432"/>
      <c r="AF151" s="434"/>
      <c r="AG151" s="434"/>
      <c r="AH151" s="434"/>
      <c r="AI151" s="434"/>
      <c r="AJ151" s="434"/>
      <c r="AK151" s="434"/>
      <c r="AL151" s="434"/>
      <c r="AM151" s="434"/>
    </row>
    <row r="152" spans="1:56" x14ac:dyDescent="0.25">
      <c r="B152" s="220" t="s">
        <v>18</v>
      </c>
      <c r="C152" s="221"/>
      <c r="D152" s="221"/>
      <c r="E152" s="243" t="str">
        <f>IFERROR(VLOOKUP($F$3,Y_1,15,0),"")</f>
        <v/>
      </c>
      <c r="F152" s="243" t="str">
        <f>IFERROR(VLOOKUP($F$3,Y_2,15,0),"")</f>
        <v/>
      </c>
      <c r="G152" s="243" t="str">
        <f>IFERROR(VLOOKUP($F$3,Y_3,15,0),"")</f>
        <v/>
      </c>
      <c r="H152" s="243" t="str">
        <f>IFERROR(VLOOKUP($F$3,Y_4,15,0),"")</f>
        <v/>
      </c>
      <c r="I152" s="243" t="str">
        <f>IFERROR(VLOOKUP($F$3,Y_5,15,0),"")</f>
        <v/>
      </c>
      <c r="J152" s="243" t="str">
        <f>IFERROR(VLOOKUP($F$3,Y_6,15,0),"")</f>
        <v/>
      </c>
      <c r="K152" s="243" t="str">
        <f>IFERROR(VLOOKUP($F$3,Y_7,15,0),"")</f>
        <v/>
      </c>
      <c r="L152" s="243" t="str">
        <f>IFERROR(VLOOKUP($F$3,Y_8,15,0),"")</f>
        <v/>
      </c>
      <c r="M152" s="244" t="str">
        <f>IFERROR(VLOOKUP($F$3,Y_9,15,0),"")</f>
        <v/>
      </c>
      <c r="AB152" s="432"/>
      <c r="AC152" s="432"/>
      <c r="AF152" s="434"/>
      <c r="AG152" s="434"/>
      <c r="AH152" s="434"/>
      <c r="AI152" s="434"/>
      <c r="AJ152" s="434"/>
      <c r="AK152" s="434"/>
      <c r="AL152" s="434"/>
      <c r="AM152" s="434"/>
    </row>
    <row r="153" spans="1:56" x14ac:dyDescent="0.25">
      <c r="B153" s="222" t="s">
        <v>776</v>
      </c>
      <c r="C153" s="378"/>
      <c r="D153" s="195"/>
      <c r="E153" s="58" t="str">
        <f>IFERROR(VLOOKUP($F$3,Y_1,16,0),"")</f>
        <v/>
      </c>
      <c r="F153" s="58" t="str">
        <f>IFERROR(VLOOKUP($F$3,Y_2,16,0),"")</f>
        <v/>
      </c>
      <c r="G153" s="245" t="str">
        <f>IFERROR(VLOOKUP($F$3,Y_3,16,0),"")</f>
        <v/>
      </c>
      <c r="H153" s="245" t="str">
        <f>IFERROR(VLOOKUP($F$3,Y_4,16,0),"")</f>
        <v/>
      </c>
      <c r="I153" s="245" t="str">
        <f>IFERROR(VLOOKUP($F$3,Y_5,16,0),"")</f>
        <v/>
      </c>
      <c r="J153" s="245" t="str">
        <f>IFERROR(VLOOKUP($F$3,Y_6,16,0),"")</f>
        <v/>
      </c>
      <c r="K153" s="338" t="str">
        <f>IFERROR(VLOOKUP($F$3,Y_7,16,0),"")</f>
        <v/>
      </c>
      <c r="L153" s="338" t="str">
        <f>IFERROR(VLOOKUP($F$3,Y_8,16,0),"")</f>
        <v/>
      </c>
      <c r="M153" s="246" t="str">
        <f>IFERROR(VLOOKUP($F$3,Y_9,16,0),"")</f>
        <v/>
      </c>
      <c r="AB153" s="432"/>
      <c r="AC153" s="432"/>
      <c r="AF153" s="434"/>
      <c r="AG153" s="434"/>
      <c r="AH153" s="434"/>
      <c r="AI153" s="434"/>
      <c r="AJ153" s="434"/>
      <c r="AK153" s="434"/>
      <c r="AL153" s="434"/>
      <c r="AM153" s="434"/>
    </row>
    <row r="154" spans="1:56" x14ac:dyDescent="0.25">
      <c r="B154" s="222" t="s">
        <v>19</v>
      </c>
      <c r="C154" s="378"/>
      <c r="D154" s="195"/>
      <c r="E154" s="245" t="str">
        <f>IFERROR(VLOOKUP($F$3,Y_1,17,0),"")</f>
        <v/>
      </c>
      <c r="F154" s="245" t="str">
        <f>IFERROR(VLOOKUP($F$3,Y_2,17,0),"")</f>
        <v/>
      </c>
      <c r="G154" s="245" t="str">
        <f>IFERROR(VLOOKUP($F$3,Y_3,17,0),"")</f>
        <v/>
      </c>
      <c r="H154" s="245" t="str">
        <f>IFERROR(VLOOKUP($F$3,Y_4,17,0),"")</f>
        <v/>
      </c>
      <c r="I154" s="245" t="str">
        <f>IFERROR(VLOOKUP($F$3,Y_5,17,0),"")</f>
        <v/>
      </c>
      <c r="J154" s="245" t="str">
        <f>IFERROR(VLOOKUP($F$3,Y_6,17,0),"")</f>
        <v/>
      </c>
      <c r="K154" s="338" t="str">
        <f>IFERROR(VLOOKUP($F$3,Y_7,17,0),"")</f>
        <v/>
      </c>
      <c r="L154" s="338" t="str">
        <f>IFERROR(VLOOKUP($F$3,Y_8,17,0),"")</f>
        <v/>
      </c>
      <c r="M154" s="246" t="str">
        <f>IFERROR(VLOOKUP($F$3,Y_9,17,0),"")</f>
        <v/>
      </c>
      <c r="AB154" s="432"/>
      <c r="AC154" s="432"/>
      <c r="AF154" s="434"/>
      <c r="AG154" s="434"/>
      <c r="AH154" s="434"/>
      <c r="AI154" s="434"/>
      <c r="AJ154" s="434"/>
      <c r="AK154" s="434"/>
      <c r="AL154" s="434"/>
      <c r="AM154" s="434"/>
    </row>
    <row r="155" spans="1:56" x14ac:dyDescent="0.25">
      <c r="B155" s="222" t="s">
        <v>20</v>
      </c>
      <c r="C155" s="378"/>
      <c r="D155" s="195"/>
      <c r="E155" s="245" t="str">
        <f>IFERROR(VLOOKUP($F$3,Y_1,18,0),"")</f>
        <v/>
      </c>
      <c r="F155" s="245" t="str">
        <f>IFERROR(VLOOKUP($F$3,Y_2,18,0),"")</f>
        <v/>
      </c>
      <c r="G155" s="245" t="str">
        <f>IFERROR(VLOOKUP($F$3,Y_3,18,0),"")</f>
        <v/>
      </c>
      <c r="H155" s="245" t="str">
        <f>IFERROR(VLOOKUP($F$3,Y_4,18,0),"")</f>
        <v/>
      </c>
      <c r="I155" s="245" t="str">
        <f>IFERROR(VLOOKUP($F$3,Y_5,18,0),"")</f>
        <v/>
      </c>
      <c r="J155" s="245" t="str">
        <f>IFERROR(VLOOKUP($F$3,Y_6,18,0),"")</f>
        <v/>
      </c>
      <c r="K155" s="338" t="str">
        <f>IFERROR(VLOOKUP($F$3,Y_7,18,0),"")</f>
        <v/>
      </c>
      <c r="L155" s="338" t="str">
        <f>IFERROR(VLOOKUP($F$3,Y_8,18,0),"")</f>
        <v/>
      </c>
      <c r="M155" s="246" t="str">
        <f>IFERROR(VLOOKUP($F$3,Y_9,18,0),"")</f>
        <v/>
      </c>
      <c r="AB155" s="432"/>
      <c r="AC155" s="432"/>
      <c r="AF155" s="434"/>
      <c r="AG155" s="434"/>
      <c r="AH155" s="434"/>
      <c r="AI155" s="434"/>
      <c r="AJ155" s="434"/>
      <c r="AK155" s="434"/>
      <c r="AL155" s="434"/>
      <c r="AM155" s="434"/>
    </row>
    <row r="156" spans="1:56" x14ac:dyDescent="0.25">
      <c r="B156" s="223" t="s">
        <v>21</v>
      </c>
      <c r="C156" s="224"/>
      <c r="D156" s="224"/>
      <c r="E156" s="247" t="str">
        <f>IFERROR(VLOOKUP($F$3,Y_1,19,0),"")</f>
        <v/>
      </c>
      <c r="F156" s="247" t="str">
        <f>IFERROR(VLOOKUP($F$3,Y_2,19,0),"")</f>
        <v/>
      </c>
      <c r="G156" s="247" t="str">
        <f>IFERROR(VLOOKUP($F$3,Y_3,19,0),"")</f>
        <v/>
      </c>
      <c r="H156" s="247" t="str">
        <f>IFERROR(VLOOKUP($F$3,Y_4,19,0),"")</f>
        <v/>
      </c>
      <c r="I156" s="247" t="str">
        <f>IFERROR(VLOOKUP($F$3,Y_5,19,0),"")</f>
        <v/>
      </c>
      <c r="J156" s="247" t="str">
        <f>IFERROR(VLOOKUP($F$3,Y_6,19,0),"")</f>
        <v/>
      </c>
      <c r="K156" s="247" t="str">
        <f>IFERROR(VLOOKUP($F$3,Y_7,19,0),"")</f>
        <v/>
      </c>
      <c r="L156" s="247" t="str">
        <f>IFERROR(VLOOKUP($F$3,Y_8,19,0),"")</f>
        <v/>
      </c>
      <c r="M156" s="248" t="str">
        <f>IFERROR(VLOOKUP($F$3,Y_9,19,0),"")</f>
        <v/>
      </c>
      <c r="AB156" s="432"/>
      <c r="AC156" s="432"/>
      <c r="AF156" s="434"/>
      <c r="AG156" s="434"/>
      <c r="AH156" s="434"/>
      <c r="AI156" s="434"/>
      <c r="AJ156" s="434"/>
      <c r="AK156" s="434"/>
      <c r="AL156" s="434"/>
      <c r="AM156" s="434"/>
    </row>
    <row r="157" spans="1:56" x14ac:dyDescent="0.25">
      <c r="B157" s="56" t="str">
        <f>$B$48</f>
        <v/>
      </c>
      <c r="C157" s="57"/>
      <c r="D157" s="45"/>
      <c r="E157" s="241"/>
      <c r="F157" s="241"/>
      <c r="G157" s="241"/>
      <c r="H157" s="241"/>
      <c r="I157" s="241"/>
      <c r="J157" s="241"/>
      <c r="K157" s="241"/>
      <c r="L157" s="241"/>
      <c r="M157" s="242"/>
      <c r="AB157" s="432"/>
      <c r="AC157" s="432"/>
      <c r="AF157" s="434"/>
      <c r="AG157" s="434"/>
      <c r="AH157" s="434"/>
      <c r="AI157" s="434"/>
      <c r="AJ157" s="434"/>
      <c r="AK157" s="434"/>
      <c r="AL157" s="434"/>
      <c r="AM157" s="434"/>
    </row>
    <row r="158" spans="1:56" x14ac:dyDescent="0.25">
      <c r="B158" s="220" t="s">
        <v>18</v>
      </c>
      <c r="C158" s="221"/>
      <c r="D158" s="221"/>
      <c r="E158" s="243" t="str">
        <f>IFERROR(VLOOKUP($F$4,Y_1,15,0),"")</f>
        <v/>
      </c>
      <c r="F158" s="243" t="str">
        <f>IFERROR(VLOOKUP($F$4,Y_2,15,0),"")</f>
        <v/>
      </c>
      <c r="G158" s="243" t="str">
        <f>IFERROR(VLOOKUP($F$4,Y_3,15,0),"")</f>
        <v/>
      </c>
      <c r="H158" s="243" t="str">
        <f>IFERROR(VLOOKUP($F$4,Y_4,15,0),"")</f>
        <v/>
      </c>
      <c r="I158" s="243" t="str">
        <f>IFERROR(VLOOKUP($F$4,Y_5,15,0),"")</f>
        <v/>
      </c>
      <c r="J158" s="243" t="str">
        <f>IFERROR(VLOOKUP($F$4,Y_6,15,0),"")</f>
        <v/>
      </c>
      <c r="K158" s="243" t="str">
        <f>IFERROR(VLOOKUP($F$4,Y_7,15,0),"")</f>
        <v/>
      </c>
      <c r="L158" s="243" t="str">
        <f>IFERROR(VLOOKUP($F$4,Y_8,15,0),"")</f>
        <v/>
      </c>
      <c r="M158" s="244" t="str">
        <f>IFERROR(VLOOKUP($F$4,Y_9,15,0),"")</f>
        <v/>
      </c>
      <c r="AB158" s="432"/>
      <c r="AC158" s="432"/>
      <c r="AF158" s="434"/>
      <c r="AG158" s="434"/>
      <c r="AH158" s="434"/>
      <c r="AI158" s="434"/>
      <c r="AJ158" s="434"/>
      <c r="AK158" s="434"/>
      <c r="AL158" s="434"/>
      <c r="AM158" s="434"/>
    </row>
    <row r="159" spans="1:56" x14ac:dyDescent="0.25">
      <c r="B159" s="222" t="s">
        <v>776</v>
      </c>
      <c r="C159" s="378"/>
      <c r="D159" s="195"/>
      <c r="E159" s="58" t="str">
        <f>IFERROR(VLOOKUP($F$4,Y_1,16,0),"")</f>
        <v/>
      </c>
      <c r="F159" s="58" t="str">
        <f>IFERROR(VLOOKUP($F$4,Y_2,16,0),"")</f>
        <v/>
      </c>
      <c r="G159" s="245" t="str">
        <f>IFERROR(VLOOKUP($F$4,Y_3,16,0),"")</f>
        <v/>
      </c>
      <c r="H159" s="245" t="str">
        <f>IFERROR(VLOOKUP($F$4,Y_4,16,0),"")</f>
        <v/>
      </c>
      <c r="I159" s="245" t="str">
        <f>IFERROR(VLOOKUP($F$4,Y_5,16,0),"")</f>
        <v/>
      </c>
      <c r="J159" s="245" t="str">
        <f>IFERROR(VLOOKUP($F$4,Y_6,16,0),"")</f>
        <v/>
      </c>
      <c r="K159" s="338" t="str">
        <f>IFERROR(VLOOKUP($F$4,Y_7,16,0),"")</f>
        <v/>
      </c>
      <c r="L159" s="338" t="str">
        <f>IFERROR(VLOOKUP($F$4,Y_8,16,0),"")</f>
        <v/>
      </c>
      <c r="M159" s="246" t="str">
        <f>IFERROR(VLOOKUP($F$4,Y_9,16,0),"")</f>
        <v/>
      </c>
      <c r="AB159" s="432"/>
      <c r="AC159" s="432"/>
      <c r="AF159" s="434"/>
      <c r="AG159" s="434"/>
      <c r="AH159" s="434"/>
      <c r="AI159" s="434"/>
      <c r="AJ159" s="434"/>
      <c r="AK159" s="434"/>
      <c r="AL159" s="434"/>
      <c r="AM159" s="434"/>
    </row>
    <row r="160" spans="1:56" x14ac:dyDescent="0.25">
      <c r="B160" s="222" t="s">
        <v>19</v>
      </c>
      <c r="C160" s="378"/>
      <c r="D160" s="195"/>
      <c r="E160" s="245" t="str">
        <f>IFERROR(VLOOKUP($F$4,Y_1,17,0),"")</f>
        <v/>
      </c>
      <c r="F160" s="245" t="str">
        <f>IFERROR(VLOOKUP($F$4,Y_2,17,0),"")</f>
        <v/>
      </c>
      <c r="G160" s="245" t="str">
        <f>IFERROR(VLOOKUP($F$4,Y_3,17,0),"")</f>
        <v/>
      </c>
      <c r="H160" s="245" t="str">
        <f>IFERROR(VLOOKUP($F$4,Y_4,17,0),"")</f>
        <v/>
      </c>
      <c r="I160" s="245" t="str">
        <f>IFERROR(VLOOKUP($F$4,Y_5,17,0),"")</f>
        <v/>
      </c>
      <c r="J160" s="245" t="str">
        <f>IFERROR(VLOOKUP($F$4,Y_6,17,0),"")</f>
        <v/>
      </c>
      <c r="K160" s="338" t="str">
        <f>IFERROR(VLOOKUP($F$4,Y_7,17,0),"")</f>
        <v/>
      </c>
      <c r="L160" s="338" t="str">
        <f>IFERROR(VLOOKUP($F$4,Y_8,17,0),"")</f>
        <v/>
      </c>
      <c r="M160" s="246" t="str">
        <f>IFERROR(VLOOKUP($F$4,Y_9,17,0),"")</f>
        <v/>
      </c>
      <c r="AB160" s="432"/>
      <c r="AC160" s="432"/>
      <c r="AF160" s="434"/>
      <c r="AG160" s="434"/>
      <c r="AH160" s="434"/>
      <c r="AI160" s="434"/>
      <c r="AJ160" s="434"/>
      <c r="AK160" s="434"/>
      <c r="AL160" s="434"/>
      <c r="AM160" s="434"/>
    </row>
    <row r="161" spans="1:56" x14ac:dyDescent="0.25">
      <c r="B161" s="222" t="s">
        <v>20</v>
      </c>
      <c r="C161" s="378"/>
      <c r="D161" s="195"/>
      <c r="E161" s="245" t="str">
        <f>IFERROR(VLOOKUP($F$4,Y_1,18,0),"")</f>
        <v/>
      </c>
      <c r="F161" s="245" t="str">
        <f>IFERROR(VLOOKUP($F$4,Y_2,18,0),"")</f>
        <v/>
      </c>
      <c r="G161" s="245" t="str">
        <f>IFERROR(VLOOKUP($F$4,Y_3,18,0),"")</f>
        <v/>
      </c>
      <c r="H161" s="245" t="str">
        <f>IFERROR(VLOOKUP($F$4,Y_4,18,0),"")</f>
        <v/>
      </c>
      <c r="I161" s="245" t="str">
        <f>IFERROR(VLOOKUP($F$4,Y_5,18,0),"")</f>
        <v/>
      </c>
      <c r="J161" s="245" t="str">
        <f>IFERROR(VLOOKUP($F$4,Y_6,18,0),"")</f>
        <v/>
      </c>
      <c r="K161" s="338" t="str">
        <f>IFERROR(VLOOKUP($F$4,Y_7,18,0),"")</f>
        <v/>
      </c>
      <c r="L161" s="338" t="str">
        <f>IFERROR(VLOOKUP($F$4,Y_8,18,0),"")</f>
        <v/>
      </c>
      <c r="M161" s="246" t="str">
        <f>IFERROR(VLOOKUP($F$4,Y_9,18,0),"")</f>
        <v/>
      </c>
      <c r="AB161" s="432"/>
      <c r="AC161" s="432"/>
      <c r="AF161" s="434"/>
      <c r="AG161" s="434"/>
      <c r="AH161" s="434"/>
      <c r="AI161" s="434"/>
      <c r="AJ161" s="434"/>
      <c r="AK161" s="434"/>
      <c r="AL161" s="434"/>
      <c r="AM161" s="434"/>
    </row>
    <row r="162" spans="1:56" x14ac:dyDescent="0.25">
      <c r="B162" s="223" t="s">
        <v>21</v>
      </c>
      <c r="C162" s="224"/>
      <c r="D162" s="224"/>
      <c r="E162" s="247" t="str">
        <f>IFERROR(VLOOKUP($F$4,Y_1,19,0),"")</f>
        <v/>
      </c>
      <c r="F162" s="247" t="str">
        <f>IFERROR(VLOOKUP($F$4,Y_2,19,0),"")</f>
        <v/>
      </c>
      <c r="G162" s="247" t="str">
        <f>IFERROR(VLOOKUP($F$4,Y_3,19,0),"")</f>
        <v/>
      </c>
      <c r="H162" s="247" t="str">
        <f>IFERROR(VLOOKUP($F$4,Y_4,19,0),"")</f>
        <v/>
      </c>
      <c r="I162" s="247" t="str">
        <f>IFERROR(VLOOKUP($F$4,Y_5,19,0),"")</f>
        <v/>
      </c>
      <c r="J162" s="247" t="str">
        <f>IFERROR(VLOOKUP($F$4,Y_6,19,0),"")</f>
        <v/>
      </c>
      <c r="K162" s="247" t="str">
        <f>IFERROR(VLOOKUP($F$4,Y_7,19,0),"")</f>
        <v/>
      </c>
      <c r="L162" s="247" t="str">
        <f>IFERROR(VLOOKUP($F$4,Y_8,19,0),"")</f>
        <v/>
      </c>
      <c r="M162" s="248" t="str">
        <f>IFERROR(VLOOKUP($F$4,Y_9,19,0),"")</f>
        <v/>
      </c>
      <c r="AB162" s="432"/>
      <c r="AC162" s="432"/>
      <c r="AF162" s="434"/>
      <c r="AG162" s="434"/>
      <c r="AH162" s="434"/>
      <c r="AI162" s="434"/>
      <c r="AJ162" s="434"/>
      <c r="AK162" s="434"/>
      <c r="AL162" s="434"/>
      <c r="AM162" s="434"/>
    </row>
    <row r="163" spans="1:56" x14ac:dyDescent="0.25">
      <c r="B163" s="56" t="s">
        <v>13</v>
      </c>
      <c r="C163" s="57"/>
      <c r="D163" s="57"/>
      <c r="E163" s="241"/>
      <c r="F163" s="241"/>
      <c r="G163" s="241"/>
      <c r="H163" s="241"/>
      <c r="I163" s="241"/>
      <c r="J163" s="241"/>
      <c r="K163" s="241"/>
      <c r="L163" s="241"/>
      <c r="M163" s="242"/>
      <c r="AB163" s="432"/>
      <c r="AC163" s="432"/>
      <c r="AF163" s="434"/>
      <c r="AG163" s="434"/>
      <c r="AH163" s="434"/>
      <c r="AI163" s="434"/>
      <c r="AJ163" s="434"/>
      <c r="AK163" s="434"/>
      <c r="AL163" s="434"/>
      <c r="AM163" s="434"/>
    </row>
    <row r="164" spans="1:56" x14ac:dyDescent="0.25">
      <c r="B164" s="220" t="s">
        <v>18</v>
      </c>
      <c r="C164" s="221"/>
      <c r="D164" s="221"/>
      <c r="E164" s="243">
        <f>IF($F$4&lt;&gt;"",VLOOKUP($B$49,Y_1,15,0),"")</f>
        <v>87.71</v>
      </c>
      <c r="F164" s="243">
        <f>IF($F$4&lt;&gt;"",VLOOKUP($B$49,Y_2,15,0),"")</f>
        <v>89.43</v>
      </c>
      <c r="G164" s="243">
        <f>IF($F$4&lt;&gt;"",VLOOKUP($B$49,Y_3,15,0),"")</f>
        <v>91.25</v>
      </c>
      <c r="H164" s="243">
        <f>IF($F$4&lt;&gt;"",VLOOKUP($B$49,Y_4,15,0),"")</f>
        <v>93.08</v>
      </c>
      <c r="I164" s="243">
        <f>IF($F$4&lt;&gt;"",VLOOKUP($B$49,Y_5,15,0),"")</f>
        <v>92.78</v>
      </c>
      <c r="J164" s="243">
        <f>IF($F$4&lt;&gt;"",VLOOKUP($B$49,Y_6,15,0),"")</f>
        <v>90.81</v>
      </c>
      <c r="K164" s="243">
        <f>IF($F$4&lt;&gt;"",VLOOKUP($B$49,Y_7,15,0),"")</f>
        <v>93.69</v>
      </c>
      <c r="L164" s="243">
        <f>IF($F$4&lt;&gt;"",VLOOKUP($B$49,Y_8,15,0),"")</f>
        <v>95.6</v>
      </c>
      <c r="M164" s="244">
        <f>IF($F$4&lt;&gt;"",VLOOKUP($B$49,Y_9,15,0),"")</f>
        <v>100.43</v>
      </c>
      <c r="AB164" s="432"/>
      <c r="AC164" s="432"/>
      <c r="AF164" s="434"/>
      <c r="AG164" s="434"/>
      <c r="AH164" s="434"/>
      <c r="AI164" s="434"/>
      <c r="AJ164" s="434"/>
      <c r="AK164" s="434"/>
      <c r="AL164" s="434"/>
      <c r="AM164" s="434"/>
    </row>
    <row r="165" spans="1:56" x14ac:dyDescent="0.25">
      <c r="B165" s="222" t="s">
        <v>776</v>
      </c>
      <c r="C165" s="378"/>
      <c r="D165" s="195"/>
      <c r="E165" s="58">
        <f>IF($F$4&lt;&gt;"",VLOOKUP($B$49,Y_1,16,0),"")</f>
        <v>85.34</v>
      </c>
      <c r="F165" s="58">
        <f>IF($F$4&lt;&gt;"",VLOOKUP($B$49,Y_2,16,0),"")</f>
        <v>86.91</v>
      </c>
      <c r="G165" s="245">
        <f>IF($F$4&lt;&gt;"",VLOOKUP($B$49,Y_3,16,0),"")</f>
        <v>87.12</v>
      </c>
      <c r="H165" s="245">
        <f>IF($F$4&lt;&gt;"",VLOOKUP($B$49,Y_4,16,0),"")</f>
        <v>87.59</v>
      </c>
      <c r="I165" s="245">
        <f>IF($F$4&lt;&gt;"",VLOOKUP($B$49,Y_5,16,0),"")</f>
        <v>86.8</v>
      </c>
      <c r="J165" s="245">
        <f>IF($F$4&lt;&gt;"",VLOOKUP($B$49,Y_6,16,0),"")</f>
        <v>86.22</v>
      </c>
      <c r="K165" s="338">
        <f>IF($F$4&lt;&gt;"",VLOOKUP($B$49,Y_7,16,0),"")</f>
        <v>85.46</v>
      </c>
      <c r="L165" s="338">
        <f>IF($F$4&lt;&gt;"",VLOOKUP($B$49,Y_8,16,0),"")</f>
        <v>86.71</v>
      </c>
      <c r="M165" s="246">
        <f>IF($F$4&lt;&gt;"",VLOOKUP($B$49,Y_9,16,0),"")</f>
        <v>90.29</v>
      </c>
      <c r="AB165" s="432"/>
      <c r="AC165" s="432"/>
      <c r="AF165" s="434"/>
      <c r="AG165" s="434"/>
      <c r="AH165" s="434"/>
      <c r="AI165" s="434"/>
      <c r="AJ165" s="434"/>
      <c r="AK165" s="434"/>
      <c r="AL165" s="434"/>
      <c r="AM165" s="434"/>
    </row>
    <row r="166" spans="1:56" x14ac:dyDescent="0.25">
      <c r="B166" s="222" t="s">
        <v>19</v>
      </c>
      <c r="C166" s="378"/>
      <c r="D166" s="195"/>
      <c r="E166" s="245">
        <f>IF($F$4&lt;&gt;"",VLOOKUP($B$49,Y_1,17,0),"")</f>
        <v>31.28</v>
      </c>
      <c r="F166" s="245">
        <f>IF($F$4&lt;&gt;"",VLOOKUP($B$49,Y_2,17,0),"")</f>
        <v>32.619999999999997</v>
      </c>
      <c r="G166" s="245">
        <f>IF($F$4&lt;&gt;"",VLOOKUP($B$49,Y_3,17,0),"")</f>
        <v>35.47</v>
      </c>
      <c r="H166" s="245">
        <f>IF($F$4&lt;&gt;"",VLOOKUP($B$49,Y_4,17,0),"")</f>
        <v>39.71</v>
      </c>
      <c r="I166" s="245">
        <f>IF($F$4&lt;&gt;"",VLOOKUP($B$49,Y_5,17,0),"")</f>
        <v>41.68</v>
      </c>
      <c r="J166" s="245">
        <f>IF($F$4&lt;&gt;"",VLOOKUP($B$49,Y_6,17,0),"")</f>
        <v>43.17</v>
      </c>
      <c r="K166" s="338">
        <f>IF($F$4&lt;&gt;"",VLOOKUP($B$49,Y_7,17,0),"")</f>
        <v>45.91</v>
      </c>
      <c r="L166" s="338">
        <f>IF($F$4&lt;&gt;"",VLOOKUP($B$49,Y_8,17,0),"")</f>
        <v>46</v>
      </c>
      <c r="M166" s="246">
        <f>IF($F$4&lt;&gt;"",VLOOKUP($B$49,Y_9,17,0),"")</f>
        <v>48.03</v>
      </c>
      <c r="AB166" s="432"/>
      <c r="AC166" s="432"/>
      <c r="AF166" s="434"/>
      <c r="AG166" s="434"/>
      <c r="AH166" s="434"/>
      <c r="AI166" s="434"/>
      <c r="AJ166" s="434"/>
      <c r="AK166" s="434"/>
      <c r="AL166" s="434"/>
      <c r="AM166" s="434"/>
    </row>
    <row r="167" spans="1:56" x14ac:dyDescent="0.25">
      <c r="B167" s="222" t="s">
        <v>20</v>
      </c>
      <c r="C167" s="378"/>
      <c r="D167" s="195"/>
      <c r="E167" s="245">
        <f>IF($F$4&lt;&gt;"",VLOOKUP($B$49,Y_1,18,0),"")</f>
        <v>115.98</v>
      </c>
      <c r="F167" s="245">
        <f>IF($F$4&lt;&gt;"",VLOOKUP($B$49,Y_2,18,0),"")</f>
        <v>118.78</v>
      </c>
      <c r="G167" s="245">
        <f>IF($F$4&lt;&gt;"",VLOOKUP($B$49,Y_3,18,0),"")</f>
        <v>124.36</v>
      </c>
      <c r="H167" s="245">
        <f>IF($F$4&lt;&gt;"",VLOOKUP($B$49,Y_4,18,0),"")</f>
        <v>129.31</v>
      </c>
      <c r="I167" s="245">
        <f>IF($F$4&lt;&gt;"",VLOOKUP($B$49,Y_5,18,0),"")</f>
        <v>131.68</v>
      </c>
      <c r="J167" s="245">
        <f>IF($F$4&lt;&gt;"",VLOOKUP($B$49,Y_6,18,0),"")</f>
        <v>131.75</v>
      </c>
      <c r="K167" s="338">
        <f>IF($F$4&lt;&gt;"",VLOOKUP($B$49,Y_7,18,0),"")</f>
        <v>143.97999999999999</v>
      </c>
      <c r="L167" s="338">
        <f>IF($F$4&lt;&gt;"",VLOOKUP($B$49,Y_8,18,0),"")</f>
        <v>139.35</v>
      </c>
      <c r="M167" s="246">
        <f>IF($F$4&lt;&gt;"",VLOOKUP($B$49,Y_9,18,0),"")</f>
        <v>146.16</v>
      </c>
      <c r="AB167" s="432"/>
      <c r="AC167" s="432"/>
      <c r="AF167" s="434"/>
      <c r="AG167" s="434"/>
      <c r="AH167" s="434"/>
      <c r="AI167" s="434"/>
      <c r="AJ167" s="434"/>
      <c r="AK167" s="434"/>
      <c r="AL167" s="434"/>
      <c r="AM167" s="434"/>
    </row>
    <row r="168" spans="1:56" x14ac:dyDescent="0.25">
      <c r="B168" s="223" t="s">
        <v>21</v>
      </c>
      <c r="C168" s="224"/>
      <c r="D168" s="224"/>
      <c r="E168" s="247">
        <f>IF($F$4&lt;&gt;"",VLOOKUP($B$49,Y_1,19,0),"")</f>
        <v>361210</v>
      </c>
      <c r="F168" s="247">
        <f>IF($F$4&lt;&gt;"",VLOOKUP($B$49,Y_2,19,0),"")</f>
        <v>361336</v>
      </c>
      <c r="G168" s="247">
        <f>IF($F$4&lt;&gt;"",VLOOKUP($B$49,Y_3,19,0),"")</f>
        <v>334858</v>
      </c>
      <c r="H168" s="247">
        <f>IF($F$4&lt;&gt;"",VLOOKUP($B$49,Y_4,19,0),"")</f>
        <v>339386</v>
      </c>
      <c r="I168" s="247">
        <f>IF($F$4&lt;&gt;"",VLOOKUP($B$49,Y_5,19,0),"")</f>
        <v>336779</v>
      </c>
      <c r="J168" s="247">
        <f>IF($F$4&lt;&gt;"",VLOOKUP($B$49,Y_6,19,0),"")</f>
        <v>334761</v>
      </c>
      <c r="K168" s="247">
        <f>IF($F$4&lt;&gt;"",VLOOKUP($B$49,Y_7,19,0),"")</f>
        <v>334866</v>
      </c>
      <c r="L168" s="247">
        <f>IF($F$4&lt;&gt;"",VLOOKUP($B$49,Y_8,19,0),"")</f>
        <v>333961</v>
      </c>
      <c r="M168" s="248">
        <f>IF($F$4&lt;&gt;"",VLOOKUP($B$49,Y_9,19,0),"")</f>
        <v>332898</v>
      </c>
      <c r="AB168" s="432"/>
      <c r="AC168" s="432"/>
      <c r="AF168" s="434"/>
      <c r="AG168" s="434"/>
      <c r="AH168" s="434"/>
      <c r="AI168" s="434"/>
      <c r="AJ168" s="434"/>
      <c r="AK168" s="434"/>
      <c r="AL168" s="434"/>
      <c r="AM168" s="434"/>
    </row>
    <row r="169" spans="1:56" x14ac:dyDescent="0.25">
      <c r="B169" s="59" t="s">
        <v>804</v>
      </c>
      <c r="C169" s="60"/>
      <c r="D169" s="60"/>
      <c r="E169" s="60"/>
      <c r="F169" s="32"/>
      <c r="G169" s="32"/>
      <c r="H169" s="32"/>
      <c r="I169" s="32"/>
      <c r="J169" s="32"/>
      <c r="K169" s="317"/>
      <c r="L169" s="317"/>
      <c r="M169" s="48"/>
      <c r="AB169" s="432"/>
      <c r="AC169" s="432"/>
      <c r="AF169" s="434"/>
      <c r="AG169" s="434"/>
      <c r="AH169" s="434"/>
      <c r="AI169" s="434"/>
      <c r="AJ169" s="434"/>
      <c r="AK169" s="434"/>
      <c r="AL169" s="434"/>
      <c r="AM169" s="434"/>
    </row>
    <row r="170" spans="1:56" x14ac:dyDescent="0.25">
      <c r="B170" s="46" t="s">
        <v>794</v>
      </c>
      <c r="C170" s="47"/>
      <c r="D170" s="47"/>
      <c r="E170" s="47"/>
      <c r="F170" s="47"/>
      <c r="K170" s="317"/>
      <c r="L170" s="317"/>
      <c r="M170" s="49"/>
      <c r="AB170" s="432"/>
      <c r="AC170" s="432"/>
      <c r="AF170" s="434"/>
      <c r="AG170" s="434"/>
      <c r="AH170" s="434"/>
      <c r="AI170" s="434"/>
      <c r="AJ170" s="434"/>
      <c r="AK170" s="434"/>
      <c r="AL170" s="434"/>
      <c r="AM170" s="434"/>
    </row>
    <row r="171" spans="1:56" x14ac:dyDescent="0.25">
      <c r="B171" s="46" t="s">
        <v>796</v>
      </c>
      <c r="C171" s="47"/>
      <c r="E171" s="323"/>
      <c r="K171" s="317"/>
      <c r="L171" s="317"/>
      <c r="M171" s="49"/>
      <c r="AB171" s="432"/>
      <c r="AC171" s="432"/>
      <c r="AF171" s="434"/>
      <c r="AG171" s="434"/>
      <c r="AH171" s="434"/>
      <c r="AI171" s="434"/>
      <c r="AJ171" s="434"/>
      <c r="AK171" s="434"/>
      <c r="AL171" s="434"/>
      <c r="AM171" s="434"/>
    </row>
    <row r="172" spans="1:56" x14ac:dyDescent="0.25">
      <c r="B172" s="457" t="s">
        <v>22</v>
      </c>
      <c r="C172" s="458"/>
      <c r="D172" s="459"/>
      <c r="E172" s="459"/>
      <c r="F172" s="459"/>
      <c r="G172" s="459"/>
      <c r="H172" s="459"/>
      <c r="I172" s="459"/>
      <c r="J172" s="459"/>
      <c r="K172" s="318"/>
      <c r="L172" s="318"/>
      <c r="M172" s="50"/>
      <c r="AB172" s="432"/>
      <c r="AC172" s="432"/>
      <c r="AF172" s="434"/>
      <c r="AG172" s="434"/>
      <c r="AH172" s="434"/>
      <c r="AI172" s="434"/>
      <c r="AJ172" s="434"/>
      <c r="AK172" s="434"/>
      <c r="AL172" s="434"/>
      <c r="AM172" s="434"/>
    </row>
    <row r="173" spans="1:56" x14ac:dyDescent="0.25">
      <c r="B173" s="460"/>
      <c r="C173" s="461"/>
      <c r="D173" s="461"/>
      <c r="E173" s="461"/>
      <c r="F173" s="461"/>
      <c r="G173" s="461"/>
      <c r="H173" s="461"/>
      <c r="I173" s="461"/>
      <c r="J173" s="461"/>
      <c r="K173" s="315"/>
      <c r="L173" s="375"/>
      <c r="M173" s="51"/>
      <c r="AB173" s="432"/>
      <c r="AC173" s="432"/>
      <c r="AF173" s="434"/>
      <c r="AG173" s="434"/>
      <c r="AH173" s="434"/>
      <c r="AI173" s="434"/>
      <c r="AJ173" s="434"/>
      <c r="AK173" s="434"/>
      <c r="AL173" s="434"/>
      <c r="AM173" s="434"/>
    </row>
    <row r="174" spans="1:56" x14ac:dyDescent="0.25">
      <c r="B174" s="318"/>
      <c r="C174" s="318"/>
      <c r="D174" s="318"/>
      <c r="E174" s="318"/>
      <c r="F174" s="318"/>
      <c r="G174" s="318"/>
      <c r="H174" s="318"/>
      <c r="I174" s="318"/>
      <c r="J174" s="318"/>
      <c r="K174" s="318"/>
      <c r="L174" s="318"/>
      <c r="M174" s="318"/>
      <c r="AB174" s="432"/>
      <c r="AC174" s="432"/>
      <c r="AF174" s="434"/>
      <c r="AG174" s="434"/>
      <c r="AH174" s="434"/>
      <c r="AI174" s="434"/>
      <c r="AJ174" s="434"/>
      <c r="AK174" s="434"/>
      <c r="AL174" s="434"/>
      <c r="AM174" s="434"/>
      <c r="AW174" s="187"/>
      <c r="AX174" s="187"/>
      <c r="AY174" s="187"/>
      <c r="AZ174" s="187"/>
      <c r="BA174" s="187"/>
      <c r="BB174" s="187"/>
      <c r="BC174" s="187"/>
      <c r="BD174" s="187"/>
    </row>
    <row r="175" spans="1:56" s="322" customFormat="1" x14ac:dyDescent="0.25">
      <c r="A175" s="441">
        <v>5</v>
      </c>
      <c r="B175" s="397"/>
      <c r="C175" s="397"/>
      <c r="D175" s="397"/>
      <c r="E175" s="397"/>
      <c r="F175" s="397"/>
      <c r="G175" s="397"/>
      <c r="H175" s="397"/>
      <c r="I175" s="397"/>
      <c r="J175" s="397"/>
      <c r="K175" s="397"/>
      <c r="L175" s="397"/>
      <c r="M175" s="397"/>
      <c r="N175" s="394"/>
      <c r="AB175" s="432"/>
      <c r="AC175" s="432"/>
      <c r="AD175" s="158"/>
      <c r="AE175" s="158"/>
      <c r="AF175" s="434"/>
      <c r="AG175" s="434"/>
      <c r="AH175" s="434"/>
      <c r="AI175" s="434"/>
      <c r="AJ175" s="434"/>
      <c r="AK175" s="434"/>
      <c r="AL175" s="434"/>
      <c r="AM175" s="434"/>
      <c r="AN175" s="396"/>
      <c r="AO175" s="396"/>
      <c r="AP175" s="396"/>
      <c r="AQ175" s="396"/>
      <c r="AR175" s="396"/>
      <c r="AS175" s="396"/>
      <c r="AT175" s="396"/>
      <c r="AU175" s="396"/>
      <c r="AV175" s="396"/>
      <c r="AW175" s="396"/>
      <c r="AX175" s="396"/>
      <c r="AY175" s="396"/>
      <c r="AZ175" s="396"/>
      <c r="BA175" s="396"/>
      <c r="BB175" s="396"/>
      <c r="BC175" s="396"/>
      <c r="BD175" s="396"/>
    </row>
    <row r="176" spans="1:56" s="322" customFormat="1" x14ac:dyDescent="0.25">
      <c r="A176" s="442"/>
      <c r="B176" s="397"/>
      <c r="C176" s="397"/>
      <c r="D176" s="397"/>
      <c r="E176" s="397"/>
      <c r="F176" s="397"/>
      <c r="G176" s="397"/>
      <c r="H176" s="397"/>
      <c r="I176" s="397"/>
      <c r="J176" s="397"/>
      <c r="K176" s="397"/>
      <c r="L176" s="397"/>
      <c r="M176" s="397"/>
      <c r="N176" s="394"/>
      <c r="AB176" s="432"/>
      <c r="AC176" s="432"/>
      <c r="AD176" s="158"/>
      <c r="AE176" s="158"/>
      <c r="AF176" s="434"/>
      <c r="AG176" s="434"/>
      <c r="AH176" s="434"/>
      <c r="AI176" s="434"/>
      <c r="AJ176" s="434"/>
      <c r="AK176" s="434"/>
      <c r="AL176" s="434"/>
      <c r="AM176" s="434"/>
      <c r="AN176" s="396"/>
      <c r="AO176" s="396"/>
      <c r="AP176" s="396"/>
      <c r="AQ176" s="396"/>
      <c r="AR176" s="396"/>
      <c r="AS176" s="396"/>
      <c r="AT176" s="396"/>
      <c r="AU176" s="396"/>
      <c r="AV176" s="396"/>
      <c r="AW176" s="396"/>
      <c r="AX176" s="396"/>
      <c r="AY176" s="396"/>
      <c r="AZ176" s="396"/>
      <c r="BA176" s="396"/>
      <c r="BB176" s="396"/>
      <c r="BC176" s="396"/>
      <c r="BD176" s="396"/>
    </row>
    <row r="177" spans="2:56" s="322" customFormat="1" x14ac:dyDescent="0.25">
      <c r="B177" s="397"/>
      <c r="C177" s="397"/>
      <c r="D177" s="397"/>
      <c r="E177" s="397"/>
      <c r="F177" s="397"/>
      <c r="G177" s="397"/>
      <c r="H177" s="397"/>
      <c r="I177" s="397"/>
      <c r="J177" s="397"/>
      <c r="K177" s="397"/>
      <c r="L177" s="397"/>
      <c r="M177" s="397"/>
      <c r="N177" s="394"/>
      <c r="AB177" s="432"/>
      <c r="AC177" s="432"/>
      <c r="AD177" s="158"/>
      <c r="AE177" s="158"/>
      <c r="AF177" s="434"/>
      <c r="AG177" s="434"/>
      <c r="AH177" s="434"/>
      <c r="AI177" s="434"/>
      <c r="AJ177" s="434"/>
      <c r="AK177" s="434"/>
      <c r="AL177" s="434"/>
      <c r="AM177" s="434"/>
      <c r="AN177" s="396"/>
      <c r="AO177" s="396"/>
      <c r="AP177" s="396"/>
      <c r="AQ177" s="396"/>
      <c r="AR177" s="396"/>
      <c r="AS177" s="396"/>
      <c r="AT177" s="396"/>
      <c r="AU177" s="396"/>
      <c r="AV177" s="396"/>
      <c r="AW177" s="396"/>
      <c r="AX177" s="396"/>
      <c r="AY177" s="396"/>
      <c r="AZ177" s="396"/>
      <c r="BA177" s="396"/>
      <c r="BB177" s="396"/>
      <c r="BC177" s="396"/>
      <c r="BD177" s="396"/>
    </row>
    <row r="178" spans="2:56" s="322" customFormat="1" x14ac:dyDescent="0.25">
      <c r="B178" s="397"/>
      <c r="C178" s="397"/>
      <c r="D178" s="397"/>
      <c r="E178" s="397"/>
      <c r="F178" s="397"/>
      <c r="G178" s="397"/>
      <c r="H178" s="397"/>
      <c r="I178" s="397"/>
      <c r="J178" s="397"/>
      <c r="K178" s="397"/>
      <c r="L178" s="397"/>
      <c r="M178" s="397"/>
      <c r="N178" s="394"/>
      <c r="AB178" s="432"/>
      <c r="AC178" s="432"/>
      <c r="AD178" s="158"/>
      <c r="AE178" s="158"/>
      <c r="AF178" s="434"/>
      <c r="AG178" s="434"/>
      <c r="AH178" s="434"/>
      <c r="AI178" s="434"/>
      <c r="AJ178" s="434"/>
      <c r="AK178" s="434"/>
      <c r="AL178" s="434"/>
      <c r="AM178" s="434"/>
      <c r="AN178" s="396"/>
      <c r="AO178" s="396"/>
      <c r="AP178" s="396"/>
      <c r="AQ178" s="396"/>
      <c r="AR178" s="396"/>
      <c r="AS178" s="396"/>
      <c r="AT178" s="396"/>
      <c r="AU178" s="396"/>
      <c r="AV178" s="396"/>
      <c r="AW178" s="396"/>
      <c r="AX178" s="396"/>
      <c r="AY178" s="396"/>
      <c r="AZ178" s="396"/>
      <c r="BA178" s="396"/>
      <c r="BB178" s="396"/>
      <c r="BC178" s="396"/>
      <c r="BD178" s="396"/>
    </row>
    <row r="179" spans="2:56" s="322" customFormat="1" x14ac:dyDescent="0.25">
      <c r="B179" s="397"/>
      <c r="C179" s="397"/>
      <c r="D179" s="397"/>
      <c r="E179" s="397"/>
      <c r="F179" s="397"/>
      <c r="G179" s="397"/>
      <c r="H179" s="397"/>
      <c r="I179" s="397"/>
      <c r="J179" s="397"/>
      <c r="K179" s="397"/>
      <c r="L179" s="397"/>
      <c r="M179" s="397"/>
      <c r="N179" s="394"/>
      <c r="AB179" s="432"/>
      <c r="AC179" s="432"/>
      <c r="AD179" s="158"/>
      <c r="AE179" s="158"/>
      <c r="AF179" s="434"/>
      <c r="AG179" s="434"/>
      <c r="AH179" s="434"/>
      <c r="AI179" s="434"/>
      <c r="AJ179" s="434"/>
      <c r="AK179" s="434"/>
      <c r="AL179" s="434"/>
      <c r="AM179" s="434"/>
      <c r="AN179" s="396"/>
      <c r="AO179" s="396"/>
      <c r="AP179" s="396"/>
      <c r="AQ179" s="396"/>
      <c r="AR179" s="396"/>
      <c r="AS179" s="396"/>
      <c r="AT179" s="396"/>
      <c r="AU179" s="396"/>
      <c r="AV179" s="396"/>
      <c r="AW179" s="396"/>
      <c r="AX179" s="396"/>
      <c r="AY179" s="396"/>
      <c r="AZ179" s="396"/>
      <c r="BA179" s="396"/>
      <c r="BB179" s="396"/>
      <c r="BC179" s="396"/>
      <c r="BD179" s="396"/>
    </row>
    <row r="180" spans="2:56" s="322" customFormat="1" x14ac:dyDescent="0.25">
      <c r="B180" s="397"/>
      <c r="C180" s="397"/>
      <c r="D180" s="397"/>
      <c r="E180" s="397"/>
      <c r="F180" s="397"/>
      <c r="G180" s="397"/>
      <c r="H180" s="397"/>
      <c r="I180" s="397"/>
      <c r="J180" s="397"/>
      <c r="K180" s="397"/>
      <c r="L180" s="397"/>
      <c r="M180" s="397"/>
      <c r="N180" s="394"/>
      <c r="AB180" s="432"/>
      <c r="AC180" s="432"/>
      <c r="AD180" s="158"/>
      <c r="AE180" s="158"/>
      <c r="AF180" s="434"/>
      <c r="AG180" s="434"/>
      <c r="AH180" s="434"/>
      <c r="AI180" s="434"/>
      <c r="AJ180" s="434"/>
      <c r="AK180" s="434"/>
      <c r="AL180" s="434"/>
      <c r="AM180" s="434"/>
      <c r="AN180" s="396"/>
      <c r="AO180" s="396"/>
      <c r="AP180" s="396"/>
      <c r="AQ180" s="396"/>
      <c r="AR180" s="396"/>
      <c r="AS180" s="396"/>
      <c r="AT180" s="396"/>
      <c r="AU180" s="396"/>
      <c r="AV180" s="396"/>
      <c r="AW180" s="396"/>
      <c r="AX180" s="396"/>
      <c r="AY180" s="396"/>
      <c r="AZ180" s="396"/>
      <c r="BA180" s="396"/>
      <c r="BB180" s="396"/>
      <c r="BC180" s="396"/>
      <c r="BD180" s="396"/>
    </row>
    <row r="181" spans="2:56" s="322" customFormat="1" x14ac:dyDescent="0.25">
      <c r="B181" s="397"/>
      <c r="C181" s="397"/>
      <c r="D181" s="397"/>
      <c r="E181" s="397"/>
      <c r="F181" s="397"/>
      <c r="G181" s="397"/>
      <c r="H181" s="397"/>
      <c r="I181" s="397"/>
      <c r="J181" s="397"/>
      <c r="K181" s="397"/>
      <c r="L181" s="397"/>
      <c r="M181" s="397"/>
      <c r="N181" s="394"/>
      <c r="AB181" s="432"/>
      <c r="AC181" s="432"/>
      <c r="AD181" s="158"/>
      <c r="AE181" s="158"/>
      <c r="AF181" s="434"/>
      <c r="AG181" s="434"/>
      <c r="AH181" s="434"/>
      <c r="AI181" s="434"/>
      <c r="AJ181" s="434"/>
      <c r="AK181" s="434"/>
      <c r="AL181" s="434"/>
      <c r="AM181" s="434"/>
      <c r="AN181" s="396"/>
      <c r="AO181" s="396"/>
      <c r="AP181" s="396"/>
      <c r="AQ181" s="396"/>
      <c r="AR181" s="396"/>
      <c r="AS181" s="396"/>
      <c r="AT181" s="396"/>
      <c r="AU181" s="396"/>
      <c r="AV181" s="396"/>
      <c r="AW181" s="396"/>
      <c r="AX181" s="396"/>
      <c r="AY181" s="396"/>
      <c r="AZ181" s="396"/>
      <c r="BA181" s="396"/>
      <c r="BB181" s="396"/>
      <c r="BC181" s="396"/>
      <c r="BD181" s="396"/>
    </row>
    <row r="182" spans="2:56" s="322" customFormat="1" x14ac:dyDescent="0.25">
      <c r="B182" s="397"/>
      <c r="C182" s="397"/>
      <c r="D182" s="397"/>
      <c r="E182" s="397"/>
      <c r="F182" s="397"/>
      <c r="G182" s="397"/>
      <c r="H182" s="397"/>
      <c r="I182" s="397"/>
      <c r="J182" s="397"/>
      <c r="K182" s="397"/>
      <c r="L182" s="397"/>
      <c r="M182" s="397"/>
      <c r="N182" s="394"/>
      <c r="AB182" s="432"/>
      <c r="AC182" s="432"/>
      <c r="AD182" s="158"/>
      <c r="AE182" s="158"/>
      <c r="AF182" s="434"/>
      <c r="AG182" s="434"/>
      <c r="AH182" s="434"/>
      <c r="AI182" s="434"/>
      <c r="AJ182" s="434"/>
      <c r="AK182" s="434"/>
      <c r="AL182" s="434"/>
      <c r="AM182" s="434"/>
      <c r="AN182" s="396"/>
      <c r="AO182" s="396"/>
      <c r="AP182" s="396"/>
      <c r="AQ182" s="396"/>
      <c r="AR182" s="396"/>
      <c r="AS182" s="396"/>
      <c r="AT182" s="396"/>
      <c r="AU182" s="396"/>
      <c r="AV182" s="396"/>
      <c r="AW182" s="396"/>
      <c r="AX182" s="396"/>
      <c r="AY182" s="396"/>
      <c r="AZ182" s="396"/>
      <c r="BA182" s="396"/>
      <c r="BB182" s="396"/>
      <c r="BC182" s="396"/>
      <c r="BD182" s="396"/>
    </row>
    <row r="183" spans="2:56" s="322" customFormat="1" x14ac:dyDescent="0.25">
      <c r="B183" s="397"/>
      <c r="C183" s="397"/>
      <c r="D183" s="397"/>
      <c r="E183" s="397"/>
      <c r="F183" s="397"/>
      <c r="G183" s="397"/>
      <c r="H183" s="397"/>
      <c r="I183" s="397"/>
      <c r="J183" s="397"/>
      <c r="K183" s="397"/>
      <c r="L183" s="397"/>
      <c r="M183" s="397"/>
      <c r="N183" s="394"/>
      <c r="AB183" s="432"/>
      <c r="AC183" s="432"/>
      <c r="AD183" s="158"/>
      <c r="AE183" s="158"/>
      <c r="AF183" s="434"/>
      <c r="AG183" s="434"/>
      <c r="AH183" s="434"/>
      <c r="AI183" s="434"/>
      <c r="AJ183" s="434"/>
      <c r="AK183" s="434"/>
      <c r="AL183" s="434"/>
      <c r="AM183" s="434"/>
      <c r="AN183" s="396"/>
      <c r="AO183" s="396"/>
      <c r="AP183" s="396"/>
      <c r="AQ183" s="396"/>
      <c r="AR183" s="396"/>
      <c r="AS183" s="396"/>
      <c r="AT183" s="396"/>
      <c r="AU183" s="396"/>
      <c r="AV183" s="396"/>
      <c r="AW183" s="396"/>
      <c r="AX183" s="396"/>
      <c r="AY183" s="396"/>
      <c r="AZ183" s="396"/>
      <c r="BA183" s="396"/>
      <c r="BB183" s="396"/>
      <c r="BC183" s="396"/>
      <c r="BD183" s="396"/>
    </row>
    <row r="184" spans="2:56" s="322" customFormat="1" x14ac:dyDescent="0.25">
      <c r="B184" s="397"/>
      <c r="C184" s="397"/>
      <c r="D184" s="397"/>
      <c r="E184" s="397"/>
      <c r="F184" s="397"/>
      <c r="G184" s="397"/>
      <c r="H184" s="397"/>
      <c r="I184" s="397"/>
      <c r="J184" s="397"/>
      <c r="K184" s="397"/>
      <c r="L184" s="397"/>
      <c r="M184" s="397"/>
      <c r="N184" s="394"/>
      <c r="AB184" s="432"/>
      <c r="AC184" s="432"/>
      <c r="AD184" s="158"/>
      <c r="AE184" s="158"/>
      <c r="AF184" s="434"/>
      <c r="AG184" s="434"/>
      <c r="AH184" s="434"/>
      <c r="AI184" s="434"/>
      <c r="AJ184" s="434"/>
      <c r="AK184" s="434"/>
      <c r="AL184" s="434"/>
      <c r="AM184" s="434"/>
      <c r="AN184" s="396"/>
      <c r="AO184" s="396"/>
      <c r="AP184" s="396"/>
      <c r="AQ184" s="396"/>
      <c r="AR184" s="396"/>
      <c r="AS184" s="396"/>
      <c r="AT184" s="396"/>
      <c r="AU184" s="396"/>
      <c r="AV184" s="396"/>
      <c r="AW184" s="396"/>
      <c r="AX184" s="396"/>
      <c r="AY184" s="396"/>
      <c r="AZ184" s="396"/>
      <c r="BA184" s="396"/>
      <c r="BB184" s="396"/>
      <c r="BC184" s="396"/>
      <c r="BD184" s="396"/>
    </row>
    <row r="185" spans="2:56" s="322" customFormat="1" x14ac:dyDescent="0.25">
      <c r="B185" s="397"/>
      <c r="C185" s="397"/>
      <c r="D185" s="397"/>
      <c r="E185" s="397"/>
      <c r="F185" s="397"/>
      <c r="G185" s="397"/>
      <c r="H185" s="397"/>
      <c r="I185" s="397"/>
      <c r="J185" s="397"/>
      <c r="K185" s="397"/>
      <c r="L185" s="397"/>
      <c r="M185" s="397"/>
      <c r="N185" s="394"/>
      <c r="AB185" s="432"/>
      <c r="AC185" s="432"/>
      <c r="AD185" s="158"/>
      <c r="AE185" s="158"/>
      <c r="AF185" s="434"/>
      <c r="AG185" s="434"/>
      <c r="AH185" s="434"/>
      <c r="AI185" s="434"/>
      <c r="AJ185" s="434"/>
      <c r="AK185" s="434"/>
      <c r="AL185" s="434"/>
      <c r="AM185" s="434"/>
      <c r="AN185" s="396"/>
      <c r="AO185" s="396"/>
      <c r="AP185" s="396"/>
      <c r="AQ185" s="396"/>
      <c r="AR185" s="396"/>
      <c r="AS185" s="396"/>
      <c r="AT185" s="396"/>
      <c r="AU185" s="396"/>
      <c r="AV185" s="396"/>
      <c r="AW185" s="396"/>
      <c r="AX185" s="396"/>
      <c r="AY185" s="396"/>
      <c r="AZ185" s="396"/>
      <c r="BA185" s="396"/>
      <c r="BB185" s="396"/>
      <c r="BC185" s="396"/>
      <c r="BD185" s="396"/>
    </row>
    <row r="186" spans="2:56" s="322" customFormat="1" x14ac:dyDescent="0.25">
      <c r="B186" s="397"/>
      <c r="C186" s="397"/>
      <c r="D186" s="397"/>
      <c r="E186" s="397"/>
      <c r="F186" s="397"/>
      <c r="G186" s="397"/>
      <c r="H186" s="397"/>
      <c r="I186" s="397"/>
      <c r="J186" s="397"/>
      <c r="K186" s="397"/>
      <c r="L186" s="397"/>
      <c r="M186" s="397"/>
      <c r="N186" s="394"/>
      <c r="AB186" s="432"/>
      <c r="AC186" s="432"/>
      <c r="AD186" s="158"/>
      <c r="AE186" s="158"/>
      <c r="AF186" s="434"/>
      <c r="AG186" s="434"/>
      <c r="AH186" s="434"/>
      <c r="AI186" s="434"/>
      <c r="AJ186" s="434"/>
      <c r="AK186" s="434"/>
      <c r="AL186" s="434"/>
      <c r="AM186" s="434"/>
      <c r="AN186" s="396"/>
      <c r="AO186" s="396"/>
      <c r="AP186" s="396"/>
      <c r="AQ186" s="396"/>
      <c r="AR186" s="396"/>
      <c r="AS186" s="396"/>
      <c r="AT186" s="396"/>
      <c r="AU186" s="396"/>
      <c r="AV186" s="396"/>
      <c r="AW186" s="396"/>
      <c r="AX186" s="396"/>
      <c r="AY186" s="396"/>
      <c r="AZ186" s="396"/>
      <c r="BA186" s="396"/>
      <c r="BB186" s="396"/>
      <c r="BC186" s="396"/>
      <c r="BD186" s="396"/>
    </row>
    <row r="187" spans="2:56" s="322" customFormat="1" x14ac:dyDescent="0.25">
      <c r="B187" s="397"/>
      <c r="C187" s="397"/>
      <c r="D187" s="397"/>
      <c r="E187" s="397"/>
      <c r="F187" s="397"/>
      <c r="G187" s="397"/>
      <c r="H187" s="397"/>
      <c r="I187" s="397"/>
      <c r="J187" s="397"/>
      <c r="K187" s="397"/>
      <c r="L187" s="397"/>
      <c r="M187" s="397"/>
      <c r="N187" s="394"/>
      <c r="AB187" s="432"/>
      <c r="AC187" s="432"/>
      <c r="AD187" s="158"/>
      <c r="AE187" s="158"/>
      <c r="AF187" s="434"/>
      <c r="AG187" s="434"/>
      <c r="AH187" s="434"/>
      <c r="AI187" s="434"/>
      <c r="AJ187" s="434"/>
      <c r="AK187" s="434"/>
      <c r="AL187" s="434"/>
      <c r="AM187" s="434"/>
      <c r="AN187" s="396"/>
      <c r="AO187" s="396"/>
      <c r="AP187" s="396"/>
      <c r="AQ187" s="396"/>
      <c r="AR187" s="396"/>
      <c r="AS187" s="396"/>
      <c r="AT187" s="396"/>
      <c r="AU187" s="396"/>
      <c r="AV187" s="396"/>
      <c r="AW187" s="396"/>
      <c r="AX187" s="396"/>
      <c r="AY187" s="396"/>
      <c r="AZ187" s="396"/>
      <c r="BA187" s="396"/>
      <c r="BB187" s="396"/>
      <c r="BC187" s="396"/>
      <c r="BD187" s="396"/>
    </row>
    <row r="188" spans="2:56" s="322" customFormat="1" x14ac:dyDescent="0.25">
      <c r="B188" s="397"/>
      <c r="C188" s="397"/>
      <c r="D188" s="397"/>
      <c r="E188" s="397"/>
      <c r="F188" s="397"/>
      <c r="G188" s="397"/>
      <c r="H188" s="397"/>
      <c r="I188" s="397"/>
      <c r="J188" s="397"/>
      <c r="K188" s="397"/>
      <c r="L188" s="397"/>
      <c r="M188" s="397"/>
      <c r="N188" s="394"/>
      <c r="AB188" s="432"/>
      <c r="AC188" s="432"/>
      <c r="AD188" s="158"/>
      <c r="AE188" s="158"/>
      <c r="AF188" s="434"/>
      <c r="AG188" s="434"/>
      <c r="AH188" s="434"/>
      <c r="AI188" s="434"/>
      <c r="AJ188" s="434"/>
      <c r="AK188" s="434"/>
      <c r="AL188" s="434"/>
      <c r="AM188" s="434"/>
      <c r="AN188" s="396"/>
      <c r="AO188" s="396"/>
      <c r="AP188" s="396"/>
      <c r="AQ188" s="396"/>
      <c r="AR188" s="396"/>
      <c r="AS188" s="396"/>
      <c r="AT188" s="396"/>
      <c r="AU188" s="396"/>
      <c r="AV188" s="396"/>
      <c r="AW188" s="396"/>
      <c r="AX188" s="396"/>
      <c r="AY188" s="396"/>
      <c r="AZ188" s="396"/>
      <c r="BA188" s="396"/>
      <c r="BB188" s="396"/>
      <c r="BC188" s="396"/>
      <c r="BD188" s="396"/>
    </row>
    <row r="189" spans="2:56" s="322" customFormat="1" x14ac:dyDescent="0.25">
      <c r="B189" s="397"/>
      <c r="C189" s="397"/>
      <c r="D189" s="397"/>
      <c r="E189" s="397"/>
      <c r="F189" s="397"/>
      <c r="G189" s="397"/>
      <c r="H189" s="397"/>
      <c r="I189" s="397"/>
      <c r="J189" s="397"/>
      <c r="K189" s="397"/>
      <c r="L189" s="397"/>
      <c r="M189" s="397"/>
      <c r="N189" s="394"/>
      <c r="AB189" s="432"/>
      <c r="AC189" s="432"/>
      <c r="AD189" s="158"/>
      <c r="AE189" s="158"/>
      <c r="AF189" s="434"/>
      <c r="AG189" s="434"/>
      <c r="AH189" s="434"/>
      <c r="AI189" s="434"/>
      <c r="AJ189" s="434"/>
      <c r="AK189" s="434"/>
      <c r="AL189" s="434"/>
      <c r="AM189" s="434"/>
      <c r="AN189" s="396"/>
      <c r="AO189" s="396"/>
      <c r="AP189" s="396"/>
      <c r="AQ189" s="396"/>
      <c r="AR189" s="396"/>
      <c r="AS189" s="396"/>
      <c r="AT189" s="396"/>
      <c r="AU189" s="396"/>
      <c r="AV189" s="396"/>
      <c r="AW189" s="396"/>
      <c r="AX189" s="396"/>
      <c r="AY189" s="396"/>
      <c r="AZ189" s="396"/>
      <c r="BA189" s="396"/>
      <c r="BB189" s="396"/>
      <c r="BC189" s="396"/>
      <c r="BD189" s="396"/>
    </row>
    <row r="190" spans="2:56" s="322" customFormat="1" x14ac:dyDescent="0.25">
      <c r="B190" s="397"/>
      <c r="C190" s="397"/>
      <c r="D190" s="397"/>
      <c r="E190" s="397"/>
      <c r="F190" s="397"/>
      <c r="G190" s="397"/>
      <c r="H190" s="397"/>
      <c r="I190" s="397"/>
      <c r="J190" s="397"/>
      <c r="K190" s="397"/>
      <c r="L190" s="397"/>
      <c r="M190" s="397"/>
      <c r="N190" s="394"/>
      <c r="AB190" s="432"/>
      <c r="AC190" s="432"/>
      <c r="AD190" s="158"/>
      <c r="AE190" s="158"/>
      <c r="AF190" s="434"/>
      <c r="AG190" s="434"/>
      <c r="AH190" s="434"/>
      <c r="AI190" s="434"/>
      <c r="AJ190" s="434"/>
      <c r="AK190" s="434"/>
      <c r="AL190" s="434"/>
      <c r="AM190" s="434"/>
      <c r="AN190" s="396"/>
      <c r="AO190" s="396"/>
      <c r="AP190" s="396"/>
      <c r="AQ190" s="396"/>
      <c r="AR190" s="396"/>
      <c r="AS190" s="396"/>
      <c r="AT190" s="396"/>
      <c r="AU190" s="396"/>
      <c r="AV190" s="396"/>
      <c r="AW190" s="396"/>
      <c r="AX190" s="396"/>
      <c r="AY190" s="396"/>
      <c r="AZ190" s="396"/>
      <c r="BA190" s="396"/>
      <c r="BB190" s="396"/>
      <c r="BC190" s="396"/>
      <c r="BD190" s="396"/>
    </row>
    <row r="191" spans="2:56" s="322" customFormat="1" x14ac:dyDescent="0.25">
      <c r="B191" s="397"/>
      <c r="C191" s="397"/>
      <c r="D191" s="397"/>
      <c r="E191" s="397"/>
      <c r="F191" s="397"/>
      <c r="G191" s="397"/>
      <c r="H191" s="397"/>
      <c r="I191" s="397"/>
      <c r="J191" s="397"/>
      <c r="K191" s="397"/>
      <c r="L191" s="397"/>
      <c r="M191" s="397"/>
      <c r="N191" s="394"/>
      <c r="AB191" s="432"/>
      <c r="AC191" s="432"/>
      <c r="AD191" s="158"/>
      <c r="AE191" s="158"/>
      <c r="AF191" s="434"/>
      <c r="AG191" s="434"/>
      <c r="AH191" s="434"/>
      <c r="AI191" s="434"/>
      <c r="AJ191" s="434"/>
      <c r="AK191" s="434"/>
      <c r="AL191" s="434"/>
      <c r="AM191" s="434"/>
      <c r="AN191" s="396"/>
      <c r="AO191" s="396"/>
      <c r="AP191" s="396"/>
      <c r="AQ191" s="396"/>
      <c r="AR191" s="396"/>
      <c r="AS191" s="396"/>
      <c r="AT191" s="396"/>
      <c r="AU191" s="396"/>
      <c r="AV191" s="396"/>
      <c r="AW191" s="396"/>
      <c r="AX191" s="396"/>
      <c r="AY191" s="396"/>
      <c r="AZ191" s="396"/>
      <c r="BA191" s="396"/>
      <c r="BB191" s="396"/>
      <c r="BC191" s="396"/>
      <c r="BD191" s="396"/>
    </row>
    <row r="192" spans="2:56" s="322" customFormat="1" x14ac:dyDescent="0.25">
      <c r="B192" s="397"/>
      <c r="C192" s="397"/>
      <c r="D192" s="397"/>
      <c r="E192" s="397"/>
      <c r="F192" s="397"/>
      <c r="G192" s="397"/>
      <c r="H192" s="397"/>
      <c r="I192" s="397"/>
      <c r="J192" s="397"/>
      <c r="K192" s="397"/>
      <c r="L192" s="397"/>
      <c r="M192" s="397"/>
      <c r="N192" s="394"/>
      <c r="AB192" s="432"/>
      <c r="AC192" s="432"/>
      <c r="AD192" s="158"/>
      <c r="AE192" s="158"/>
      <c r="AF192" s="434"/>
      <c r="AG192" s="434"/>
      <c r="AH192" s="434"/>
      <c r="AI192" s="434"/>
      <c r="AJ192" s="434"/>
      <c r="AK192" s="434"/>
      <c r="AL192" s="434"/>
      <c r="AM192" s="434"/>
      <c r="AN192" s="396"/>
      <c r="AO192" s="396"/>
      <c r="AP192" s="396"/>
      <c r="AQ192" s="396"/>
      <c r="AR192" s="396"/>
      <c r="AS192" s="396"/>
      <c r="AT192" s="396"/>
      <c r="AU192" s="396"/>
      <c r="AV192" s="396"/>
      <c r="AW192" s="396"/>
      <c r="AX192" s="396"/>
      <c r="AY192" s="396"/>
      <c r="AZ192" s="396"/>
      <c r="BA192" s="396"/>
      <c r="BB192" s="396"/>
      <c r="BC192" s="396"/>
      <c r="BD192" s="396"/>
    </row>
    <row r="193" spans="1:56" s="322" customFormat="1" x14ac:dyDescent="0.25">
      <c r="B193" s="397"/>
      <c r="C193" s="397"/>
      <c r="D193" s="397"/>
      <c r="E193" s="397"/>
      <c r="F193" s="397"/>
      <c r="G193" s="397"/>
      <c r="H193" s="397"/>
      <c r="I193" s="397"/>
      <c r="J193" s="397"/>
      <c r="K193" s="397"/>
      <c r="L193" s="397"/>
      <c r="M193" s="397"/>
      <c r="N193" s="394"/>
      <c r="AB193" s="432"/>
      <c r="AC193" s="432"/>
      <c r="AD193" s="158"/>
      <c r="AE193" s="158"/>
      <c r="AF193" s="434"/>
      <c r="AG193" s="434"/>
      <c r="AH193" s="434"/>
      <c r="AI193" s="434"/>
      <c r="AJ193" s="434"/>
      <c r="AK193" s="434"/>
      <c r="AL193" s="434"/>
      <c r="AM193" s="434"/>
      <c r="AN193" s="396"/>
      <c r="AO193" s="396"/>
      <c r="AP193" s="396"/>
      <c r="AQ193" s="396"/>
      <c r="AR193" s="396"/>
      <c r="AS193" s="396"/>
      <c r="AT193" s="396"/>
      <c r="AU193" s="396"/>
      <c r="AV193" s="396"/>
      <c r="AW193" s="396"/>
      <c r="AX193" s="396"/>
      <c r="AY193" s="396"/>
      <c r="AZ193" s="396"/>
      <c r="BA193" s="396"/>
      <c r="BB193" s="396"/>
      <c r="BC193" s="396"/>
      <c r="BD193" s="396"/>
    </row>
    <row r="194" spans="1:56" s="322" customFormat="1" x14ac:dyDescent="0.25">
      <c r="B194" s="397"/>
      <c r="C194" s="397"/>
      <c r="D194" s="397"/>
      <c r="E194" s="397"/>
      <c r="F194" s="397"/>
      <c r="G194" s="397"/>
      <c r="H194" s="397"/>
      <c r="I194" s="397"/>
      <c r="J194" s="397"/>
      <c r="K194" s="397"/>
      <c r="L194" s="397"/>
      <c r="M194" s="397"/>
      <c r="N194" s="394"/>
      <c r="AB194" s="432"/>
      <c r="AC194" s="432"/>
      <c r="AD194" s="158"/>
      <c r="AE194" s="158"/>
      <c r="AF194" s="434"/>
      <c r="AG194" s="434"/>
      <c r="AH194" s="434"/>
      <c r="AI194" s="434"/>
      <c r="AJ194" s="434"/>
      <c r="AK194" s="434"/>
      <c r="AL194" s="434"/>
      <c r="AM194" s="434"/>
      <c r="AN194" s="396"/>
      <c r="AO194" s="396"/>
      <c r="AP194" s="396"/>
      <c r="AQ194" s="396"/>
      <c r="AR194" s="396"/>
      <c r="AS194" s="396"/>
      <c r="AT194" s="396"/>
      <c r="AU194" s="396"/>
      <c r="AV194" s="396"/>
      <c r="AW194" s="396"/>
      <c r="AX194" s="396"/>
      <c r="AY194" s="396"/>
      <c r="AZ194" s="396"/>
      <c r="BA194" s="396"/>
      <c r="BB194" s="396"/>
      <c r="BC194" s="396"/>
      <c r="BD194" s="396"/>
    </row>
    <row r="195" spans="1:56" s="322" customFormat="1" x14ac:dyDescent="0.25">
      <c r="B195" s="397"/>
      <c r="C195" s="397"/>
      <c r="D195" s="397"/>
      <c r="E195" s="397"/>
      <c r="F195" s="397"/>
      <c r="G195" s="397"/>
      <c r="H195" s="397"/>
      <c r="I195" s="397"/>
      <c r="J195" s="397"/>
      <c r="K195" s="397"/>
      <c r="L195" s="397"/>
      <c r="M195" s="397"/>
      <c r="N195" s="394"/>
      <c r="AB195" s="432"/>
      <c r="AC195" s="432"/>
      <c r="AD195" s="158"/>
      <c r="AE195" s="158"/>
      <c r="AF195" s="434"/>
      <c r="AG195" s="434"/>
      <c r="AH195" s="434"/>
      <c r="AI195" s="434"/>
      <c r="AJ195" s="434"/>
      <c r="AK195" s="434"/>
      <c r="AL195" s="434"/>
      <c r="AM195" s="434"/>
      <c r="AN195" s="396"/>
      <c r="AO195" s="396"/>
      <c r="AP195" s="396"/>
      <c r="AQ195" s="396"/>
      <c r="AR195" s="396"/>
      <c r="AS195" s="396"/>
      <c r="AT195" s="396"/>
      <c r="AU195" s="396"/>
      <c r="AV195" s="396"/>
      <c r="AW195" s="396"/>
      <c r="AX195" s="396"/>
      <c r="AY195" s="396"/>
      <c r="AZ195" s="396"/>
      <c r="BA195" s="396"/>
      <c r="BB195" s="396"/>
      <c r="BC195" s="396"/>
      <c r="BD195" s="396"/>
    </row>
    <row r="196" spans="1:56" s="322" customFormat="1" x14ac:dyDescent="0.25">
      <c r="B196" s="397"/>
      <c r="C196" s="397"/>
      <c r="D196" s="397"/>
      <c r="E196" s="397"/>
      <c r="F196" s="397"/>
      <c r="G196" s="397"/>
      <c r="H196" s="397"/>
      <c r="I196" s="397"/>
      <c r="J196" s="397"/>
      <c r="K196" s="397"/>
      <c r="L196" s="397"/>
      <c r="M196" s="397"/>
      <c r="N196" s="394"/>
      <c r="AB196" s="432"/>
      <c r="AC196" s="432"/>
      <c r="AD196" s="158"/>
      <c r="AE196" s="158"/>
      <c r="AF196" s="434"/>
      <c r="AG196" s="434"/>
      <c r="AH196" s="434"/>
      <c r="AI196" s="434"/>
      <c r="AJ196" s="434"/>
      <c r="AK196" s="434"/>
      <c r="AL196" s="434"/>
      <c r="AM196" s="434"/>
      <c r="AN196" s="396"/>
      <c r="AO196" s="396"/>
      <c r="AP196" s="396"/>
      <c r="AQ196" s="396"/>
      <c r="AR196" s="396"/>
      <c r="AS196" s="396"/>
      <c r="AT196" s="396"/>
      <c r="AU196" s="396"/>
      <c r="AV196" s="396"/>
      <c r="AW196" s="396"/>
      <c r="AX196" s="396"/>
      <c r="AY196" s="396"/>
      <c r="AZ196" s="396"/>
      <c r="BA196" s="396"/>
      <c r="BB196" s="396"/>
      <c r="BC196" s="396"/>
      <c r="BD196" s="396"/>
    </row>
    <row r="197" spans="1:56" s="322" customFormat="1" x14ac:dyDescent="0.25">
      <c r="B197" s="397"/>
      <c r="C197" s="397"/>
      <c r="D197" s="397"/>
      <c r="E197" s="397"/>
      <c r="F197" s="397"/>
      <c r="G197" s="397"/>
      <c r="H197" s="397"/>
      <c r="I197" s="397"/>
      <c r="J197" s="397"/>
      <c r="K197" s="397"/>
      <c r="L197" s="397"/>
      <c r="M197" s="397"/>
      <c r="N197" s="394"/>
      <c r="AB197" s="432"/>
      <c r="AC197" s="432"/>
      <c r="AD197" s="158"/>
      <c r="AE197" s="158"/>
      <c r="AF197" s="434"/>
      <c r="AG197" s="434"/>
      <c r="AH197" s="434"/>
      <c r="AI197" s="434"/>
      <c r="AJ197" s="434"/>
      <c r="AK197" s="434"/>
      <c r="AL197" s="434"/>
      <c r="AM197" s="434"/>
      <c r="AN197" s="396"/>
      <c r="AO197" s="396"/>
      <c r="AP197" s="396"/>
      <c r="AQ197" s="396"/>
      <c r="AR197" s="396"/>
      <c r="AS197" s="396"/>
      <c r="AT197" s="396"/>
      <c r="AU197" s="396"/>
      <c r="AV197" s="396"/>
      <c r="AW197" s="396"/>
      <c r="AX197" s="396"/>
      <c r="AY197" s="396"/>
      <c r="AZ197" s="396"/>
      <c r="BA197" s="396"/>
      <c r="BB197" s="396"/>
      <c r="BC197" s="396"/>
      <c r="BD197" s="396"/>
    </row>
    <row r="198" spans="1:56" s="322" customFormat="1" x14ac:dyDescent="0.25">
      <c r="B198" s="397"/>
      <c r="C198" s="397"/>
      <c r="D198" s="397"/>
      <c r="E198" s="397"/>
      <c r="F198" s="397"/>
      <c r="G198" s="397"/>
      <c r="H198" s="397"/>
      <c r="I198" s="397"/>
      <c r="J198" s="397"/>
      <c r="K198" s="397"/>
      <c r="L198" s="397"/>
      <c r="M198" s="397"/>
      <c r="N198" s="394"/>
      <c r="AB198" s="432"/>
      <c r="AC198" s="432"/>
      <c r="AD198" s="158"/>
      <c r="AE198" s="158"/>
      <c r="AF198" s="434"/>
      <c r="AG198" s="434"/>
      <c r="AH198" s="434"/>
      <c r="AI198" s="434"/>
      <c r="AJ198" s="434"/>
      <c r="AK198" s="434"/>
      <c r="AL198" s="434"/>
      <c r="AM198" s="434"/>
      <c r="AN198" s="396"/>
      <c r="AO198" s="396"/>
      <c r="AP198" s="396"/>
      <c r="AQ198" s="396"/>
      <c r="AR198" s="396"/>
      <c r="AS198" s="396"/>
      <c r="AT198" s="396"/>
      <c r="AU198" s="396"/>
      <c r="AV198" s="396"/>
      <c r="AW198" s="396"/>
      <c r="AX198" s="396"/>
      <c r="AY198" s="396"/>
      <c r="AZ198" s="396"/>
      <c r="BA198" s="396"/>
      <c r="BB198" s="396"/>
      <c r="BC198" s="396"/>
      <c r="BD198" s="396"/>
    </row>
    <row r="199" spans="1:56" s="322" customFormat="1" x14ac:dyDescent="0.25">
      <c r="B199" s="397"/>
      <c r="C199" s="397"/>
      <c r="D199" s="397"/>
      <c r="E199" s="397"/>
      <c r="F199" s="397"/>
      <c r="G199" s="397"/>
      <c r="H199" s="397"/>
      <c r="I199" s="397"/>
      <c r="J199" s="397"/>
      <c r="K199" s="397"/>
      <c r="L199" s="397"/>
      <c r="M199" s="397"/>
      <c r="N199" s="394"/>
      <c r="AB199" s="432"/>
      <c r="AC199" s="432"/>
      <c r="AD199" s="158"/>
      <c r="AE199" s="158"/>
      <c r="AF199" s="434"/>
      <c r="AG199" s="434"/>
      <c r="AH199" s="434"/>
      <c r="AI199" s="434"/>
      <c r="AJ199" s="434"/>
      <c r="AK199" s="434"/>
      <c r="AL199" s="434"/>
      <c r="AM199" s="434"/>
      <c r="AN199" s="396"/>
      <c r="AO199" s="396"/>
      <c r="AP199" s="396"/>
      <c r="AQ199" s="396"/>
      <c r="AR199" s="396"/>
      <c r="AS199" s="396"/>
      <c r="AT199" s="396"/>
      <c r="AU199" s="396"/>
      <c r="AV199" s="396"/>
      <c r="AW199" s="396"/>
      <c r="AX199" s="396"/>
      <c r="AY199" s="396"/>
      <c r="AZ199" s="396"/>
      <c r="BA199" s="396"/>
      <c r="BB199" s="396"/>
      <c r="BC199" s="396"/>
      <c r="BD199" s="396"/>
    </row>
    <row r="200" spans="1:56" s="322" customFormat="1" x14ac:dyDescent="0.25">
      <c r="B200" s="397"/>
      <c r="C200" s="397"/>
      <c r="D200" s="397"/>
      <c r="E200" s="397"/>
      <c r="F200" s="397"/>
      <c r="G200" s="397"/>
      <c r="H200" s="397"/>
      <c r="I200" s="397"/>
      <c r="J200" s="397"/>
      <c r="K200" s="397"/>
      <c r="L200" s="397"/>
      <c r="M200" s="397"/>
      <c r="N200" s="394"/>
      <c r="AB200" s="432"/>
      <c r="AC200" s="432"/>
      <c r="AD200" s="158"/>
      <c r="AE200" s="158"/>
      <c r="AF200" s="434"/>
      <c r="AG200" s="434"/>
      <c r="AH200" s="434"/>
      <c r="AI200" s="434"/>
      <c r="AJ200" s="434"/>
      <c r="AK200" s="434"/>
      <c r="AL200" s="434"/>
      <c r="AM200" s="434"/>
      <c r="AN200" s="396"/>
      <c r="AO200" s="396"/>
      <c r="AP200" s="396"/>
      <c r="AQ200" s="396"/>
      <c r="AR200" s="396"/>
      <c r="AS200" s="396"/>
      <c r="AT200" s="396"/>
      <c r="AU200" s="396"/>
      <c r="AV200" s="396"/>
      <c r="AW200" s="396"/>
      <c r="AX200" s="396"/>
      <c r="AY200" s="396"/>
      <c r="AZ200" s="396"/>
      <c r="BA200" s="396"/>
      <c r="BB200" s="396"/>
      <c r="BC200" s="396"/>
      <c r="BD200" s="396"/>
    </row>
    <row r="201" spans="1:56" x14ac:dyDescent="0.25">
      <c r="B201" s="391"/>
      <c r="C201" s="391"/>
      <c r="D201" s="391"/>
      <c r="E201" s="391"/>
      <c r="F201" s="391"/>
      <c r="G201" s="391"/>
      <c r="H201" s="391"/>
      <c r="I201" s="391"/>
      <c r="J201" s="391"/>
      <c r="K201" s="391"/>
      <c r="L201" s="391"/>
      <c r="M201" s="391"/>
      <c r="AB201" s="432"/>
      <c r="AC201" s="432"/>
      <c r="AF201" s="434"/>
      <c r="AG201" s="434"/>
      <c r="AH201" s="434"/>
      <c r="AI201" s="434"/>
      <c r="AJ201" s="434"/>
      <c r="AK201" s="434"/>
      <c r="AL201" s="434"/>
      <c r="AM201" s="434"/>
      <c r="AN201" s="187"/>
      <c r="AO201" s="187"/>
      <c r="AP201" s="187"/>
      <c r="AQ201" s="187"/>
      <c r="AR201" s="187"/>
      <c r="AS201" s="187"/>
      <c r="AT201" s="187"/>
      <c r="AU201" s="187"/>
      <c r="AV201" s="187"/>
      <c r="AW201" s="187"/>
      <c r="AX201" s="187"/>
      <c r="AY201" s="187"/>
      <c r="AZ201" s="187"/>
      <c r="BA201" s="187"/>
      <c r="BB201" s="187"/>
      <c r="BC201" s="187"/>
      <c r="BD201" s="187"/>
    </row>
    <row r="202" spans="1:56" ht="15.75" x14ac:dyDescent="0.25">
      <c r="A202" s="450">
        <v>5</v>
      </c>
      <c r="B202" s="35" t="s">
        <v>23</v>
      </c>
      <c r="C202" s="36"/>
      <c r="D202" s="36"/>
      <c r="E202" s="36"/>
      <c r="F202" s="8"/>
      <c r="G202" s="8"/>
      <c r="H202" s="8"/>
      <c r="I202" s="8"/>
      <c r="J202" s="8"/>
      <c r="K202" s="8"/>
      <c r="L202" s="8"/>
      <c r="M202" s="38"/>
      <c r="AB202" s="432"/>
      <c r="AC202" s="432"/>
      <c r="AF202" s="434"/>
      <c r="AG202" s="434"/>
      <c r="AH202" s="434"/>
      <c r="AI202" s="434"/>
      <c r="AJ202" s="434"/>
      <c r="AK202" s="434"/>
      <c r="AL202" s="434"/>
      <c r="AM202" s="434"/>
    </row>
    <row r="203" spans="1:56" ht="32.1" customHeight="1" x14ac:dyDescent="0.25">
      <c r="A203" s="451"/>
      <c r="B203" s="454" t="str">
        <f>IF(F3="","Average weekly gross rent (£ per week) and units","Average weekly gross rent (£ per week) and units for "&amp;$F$3&amp;", "&amp;$B$48&amp; " and England")</f>
        <v>Average weekly gross rent (£ per week) and units</v>
      </c>
      <c r="C203" s="455"/>
      <c r="D203" s="456"/>
      <c r="E203" s="456"/>
      <c r="F203" s="456"/>
      <c r="G203" s="456"/>
      <c r="H203" s="456"/>
      <c r="I203" s="456"/>
      <c r="J203" s="456"/>
      <c r="K203" s="316"/>
      <c r="L203" s="316"/>
      <c r="M203" s="39"/>
      <c r="AB203" s="432"/>
      <c r="AC203" s="432"/>
      <c r="AF203" s="434"/>
      <c r="AG203" s="434"/>
      <c r="AH203" s="434"/>
      <c r="AI203" s="434"/>
      <c r="AJ203" s="434"/>
      <c r="AK203" s="434"/>
      <c r="AL203" s="434"/>
      <c r="AM203" s="434"/>
    </row>
    <row r="204" spans="1:56" x14ac:dyDescent="0.25">
      <c r="B204" s="339" t="str">
        <f>IF(F3="","Average weekly Affordable Rent general needs gross rent (£ per week)","Average weekly Affordable Rent general needs gross rent (£ per week) for "&amp;$F$3&amp;", "&amp;$B$48&amp; " and England")</f>
        <v>Average weekly Affordable Rent general needs gross rent (£ per week)</v>
      </c>
      <c r="C204" s="386"/>
      <c r="D204" s="61"/>
      <c r="E204" s="61"/>
      <c r="F204" s="61"/>
      <c r="G204" s="61"/>
      <c r="H204" s="61"/>
      <c r="I204" s="61"/>
      <c r="J204" s="61"/>
      <c r="K204" s="319"/>
      <c r="L204" s="319"/>
      <c r="M204" s="62"/>
      <c r="AB204" s="432"/>
      <c r="AC204" s="432"/>
      <c r="AF204" s="434"/>
      <c r="AG204" s="434"/>
      <c r="AH204" s="434"/>
      <c r="AI204" s="434"/>
      <c r="AJ204" s="434"/>
      <c r="AK204" s="434"/>
      <c r="AL204" s="434"/>
      <c r="AM204" s="434"/>
    </row>
    <row r="205" spans="1:56" x14ac:dyDescent="0.25">
      <c r="B205" s="53"/>
      <c r="C205" s="386"/>
      <c r="D205" s="331" t="s">
        <v>801</v>
      </c>
      <c r="E205" s="54">
        <v>2015</v>
      </c>
      <c r="F205" s="54">
        <v>2016</v>
      </c>
      <c r="G205" s="54">
        <v>2017</v>
      </c>
      <c r="H205" s="54">
        <v>2018</v>
      </c>
      <c r="I205" s="54">
        <v>2019</v>
      </c>
      <c r="J205" s="54">
        <v>2020</v>
      </c>
      <c r="K205" s="54">
        <v>2021</v>
      </c>
      <c r="L205" s="54">
        <v>2022</v>
      </c>
      <c r="M205" s="55">
        <v>2023</v>
      </c>
      <c r="AB205" s="432"/>
      <c r="AC205" s="432"/>
      <c r="AF205" s="434"/>
      <c r="AG205" s="434"/>
      <c r="AH205" s="434"/>
      <c r="AI205" s="434"/>
      <c r="AJ205" s="434"/>
      <c r="AK205" s="434"/>
      <c r="AL205" s="434"/>
      <c r="AM205" s="434"/>
    </row>
    <row r="206" spans="1:56" x14ac:dyDescent="0.25">
      <c r="B206" s="56">
        <f>$F$3</f>
        <v>0</v>
      </c>
      <c r="C206" s="57"/>
      <c r="D206" s="57"/>
      <c r="E206" s="241"/>
      <c r="F206" s="241"/>
      <c r="G206" s="241"/>
      <c r="H206" s="241"/>
      <c r="I206" s="241"/>
      <c r="J206" s="241"/>
      <c r="K206" s="241"/>
      <c r="L206" s="241"/>
      <c r="M206" s="242"/>
      <c r="AB206" s="432"/>
      <c r="AC206" s="432"/>
      <c r="AF206" s="434"/>
      <c r="AG206" s="434"/>
      <c r="AH206" s="434"/>
      <c r="AI206" s="434"/>
      <c r="AJ206" s="434"/>
      <c r="AK206" s="434"/>
      <c r="AL206" s="434"/>
      <c r="AM206" s="434"/>
    </row>
    <row r="207" spans="1:56" x14ac:dyDescent="0.25">
      <c r="B207" s="220" t="s">
        <v>24</v>
      </c>
      <c r="C207" s="221"/>
      <c r="D207" s="221"/>
      <c r="E207" s="243" t="str">
        <f>IFERROR(VLOOKUP($F$3,Y_1,20,0),"")</f>
        <v/>
      </c>
      <c r="F207" s="243" t="str">
        <f>IFERROR(VLOOKUP($F$3,Y_2,20,0),"")</f>
        <v/>
      </c>
      <c r="G207" s="243" t="str">
        <f>IFERROR(VLOOKUP($F$3,Y_3,20,0),"")</f>
        <v/>
      </c>
      <c r="H207" s="243" t="str">
        <f>IFERROR(VLOOKUP($F$3,Y_4,20,0),"")</f>
        <v/>
      </c>
      <c r="I207" s="243" t="str">
        <f>IFERROR(VLOOKUP($F$3,Y_5,20,0),"")</f>
        <v/>
      </c>
      <c r="J207" s="243" t="str">
        <f>IFERROR(VLOOKUP($F$3,Y_6,20,0),"")</f>
        <v/>
      </c>
      <c r="K207" s="243" t="str">
        <f>IFERROR(VLOOKUP($F$3,Y_7,20,0),"")</f>
        <v/>
      </c>
      <c r="L207" s="243" t="str">
        <f>IFERROR(VLOOKUP($F$3,Y_8,20,0),"")</f>
        <v/>
      </c>
      <c r="M207" s="244" t="str">
        <f>IFERROR(VLOOKUP($F$3,Y_9,20,0),"")</f>
        <v/>
      </c>
      <c r="AB207" s="432"/>
      <c r="AC207" s="432"/>
      <c r="AF207" s="434"/>
      <c r="AG207" s="434"/>
      <c r="AH207" s="434"/>
      <c r="AI207" s="434"/>
      <c r="AJ207" s="434"/>
      <c r="AK207" s="434"/>
      <c r="AL207" s="434"/>
      <c r="AM207" s="434"/>
    </row>
    <row r="208" spans="1:56" x14ac:dyDescent="0.25">
      <c r="B208" s="223" t="s">
        <v>21</v>
      </c>
      <c r="C208" s="224"/>
      <c r="D208" s="224"/>
      <c r="E208" s="247" t="str">
        <f>IFERROR(VLOOKUP($F$3,Y_1,21,0),"")</f>
        <v/>
      </c>
      <c r="F208" s="247" t="str">
        <f>IFERROR(VLOOKUP($F$3,Y_2,21,0),"")</f>
        <v/>
      </c>
      <c r="G208" s="247" t="str">
        <f>IFERROR(VLOOKUP($F$3,Y_3,21,0),"")</f>
        <v/>
      </c>
      <c r="H208" s="247" t="str">
        <f>IFERROR(VLOOKUP($F$3,Y_4,21,0),"")</f>
        <v/>
      </c>
      <c r="I208" s="247" t="str">
        <f>IFERROR(VLOOKUP($F$3,Y_5,21,0),"")</f>
        <v/>
      </c>
      <c r="J208" s="247" t="str">
        <f>IFERROR(VLOOKUP($F$3,Y_6,21,0),"")</f>
        <v/>
      </c>
      <c r="K208" s="247" t="str">
        <f>IFERROR(VLOOKUP($F$3,Y_7,21,0),"")</f>
        <v/>
      </c>
      <c r="L208" s="247" t="str">
        <f>IFERROR(VLOOKUP($F$3,Y_8,21,0),"")</f>
        <v/>
      </c>
      <c r="M208" s="248" t="str">
        <f>IFERROR(VLOOKUP($F$3,Y_9,21,0),"")</f>
        <v/>
      </c>
      <c r="AB208" s="432"/>
      <c r="AC208" s="432"/>
      <c r="AF208" s="434"/>
      <c r="AG208" s="434"/>
      <c r="AH208" s="434"/>
      <c r="AI208" s="434"/>
      <c r="AJ208" s="434"/>
      <c r="AK208" s="434"/>
      <c r="AL208" s="434"/>
      <c r="AM208" s="434"/>
    </row>
    <row r="209" spans="1:56" x14ac:dyDescent="0.25">
      <c r="B209" s="56" t="str">
        <f>$B$48</f>
        <v/>
      </c>
      <c r="C209" s="57"/>
      <c r="D209" s="57"/>
      <c r="E209" s="241"/>
      <c r="F209" s="241"/>
      <c r="G209" s="241"/>
      <c r="H209" s="241"/>
      <c r="I209" s="241"/>
      <c r="J209" s="241"/>
      <c r="K209" s="241"/>
      <c r="L209" s="241"/>
      <c r="M209" s="242"/>
      <c r="AB209" s="432"/>
      <c r="AC209" s="432"/>
      <c r="AF209" s="434"/>
      <c r="AG209" s="434"/>
      <c r="AH209" s="434"/>
      <c r="AI209" s="434"/>
      <c r="AJ209" s="434"/>
      <c r="AK209" s="434"/>
      <c r="AL209" s="434"/>
      <c r="AM209" s="434"/>
    </row>
    <row r="210" spans="1:56" x14ac:dyDescent="0.25">
      <c r="B210" s="220" t="s">
        <v>24</v>
      </c>
      <c r="C210" s="221"/>
      <c r="D210" s="221"/>
      <c r="E210" s="243" t="str">
        <f>IFERROR(VLOOKUP($F$4,Y_1,20,0),"")</f>
        <v/>
      </c>
      <c r="F210" s="243" t="str">
        <f>IFERROR(VLOOKUP($F$4,Y_2,20,0),"")</f>
        <v/>
      </c>
      <c r="G210" s="243" t="str">
        <f>IFERROR(VLOOKUP($F$4,Y_3,20,0),"")</f>
        <v/>
      </c>
      <c r="H210" s="63" t="str">
        <f>IFERROR(VLOOKUP($F$4,Y_4,20,0),"")</f>
        <v/>
      </c>
      <c r="I210" s="243" t="str">
        <f>IFERROR(VLOOKUP($F$4,Y_5,20,0),"")</f>
        <v/>
      </c>
      <c r="J210" s="243" t="str">
        <f>IFERROR(VLOOKUP($F$4,Y_6,20,0),"")</f>
        <v/>
      </c>
      <c r="K210" s="243" t="str">
        <f>IFERROR(VLOOKUP($F$4,Y_7,20,0),"")</f>
        <v/>
      </c>
      <c r="L210" s="243" t="str">
        <f>IFERROR(VLOOKUP($F$4,Y_8,20,0),"")</f>
        <v/>
      </c>
      <c r="M210" s="244" t="str">
        <f>IFERROR(VLOOKUP($F$4,Y_9,20,0),"")</f>
        <v/>
      </c>
      <c r="AB210" s="432"/>
      <c r="AC210" s="432"/>
      <c r="AF210" s="434"/>
      <c r="AG210" s="434"/>
      <c r="AH210" s="434"/>
      <c r="AI210" s="434"/>
      <c r="AJ210" s="434"/>
      <c r="AK210" s="434"/>
      <c r="AL210" s="434"/>
      <c r="AM210" s="434"/>
    </row>
    <row r="211" spans="1:56" x14ac:dyDescent="0.25">
      <c r="B211" s="223" t="s">
        <v>21</v>
      </c>
      <c r="C211" s="224"/>
      <c r="D211" s="224"/>
      <c r="E211" s="247" t="str">
        <f>IFERROR(VLOOKUP($F$4,Y_1,21,0),"")</f>
        <v/>
      </c>
      <c r="F211" s="247" t="str">
        <f>IFERROR(VLOOKUP($F$4,Y_2,21,0),"")</f>
        <v/>
      </c>
      <c r="G211" s="247" t="str">
        <f>IFERROR(VLOOKUP($F$4,Y_3,21,0),"")</f>
        <v/>
      </c>
      <c r="H211" s="247" t="str">
        <f>IFERROR(VLOOKUP($F$4,Y_4,21,0),"")</f>
        <v/>
      </c>
      <c r="I211" s="247" t="str">
        <f>IFERROR(VLOOKUP($F$4,Y_5,21,0),"")</f>
        <v/>
      </c>
      <c r="J211" s="247" t="str">
        <f>IFERROR(VLOOKUP($F$4,Y_6,21,0),"")</f>
        <v/>
      </c>
      <c r="K211" s="247" t="str">
        <f>IFERROR(VLOOKUP($F$4,Y_7,21,0),"")</f>
        <v/>
      </c>
      <c r="L211" s="247" t="str">
        <f>IFERROR(VLOOKUP($F$4,Y_8,21,0),"")</f>
        <v/>
      </c>
      <c r="M211" s="248" t="str">
        <f>IFERROR(VLOOKUP($F$4,Y_9,21,0),"")</f>
        <v/>
      </c>
      <c r="AB211" s="432"/>
      <c r="AC211" s="432"/>
      <c r="AF211" s="434"/>
      <c r="AG211" s="434"/>
      <c r="AH211" s="434"/>
      <c r="AI211" s="434"/>
      <c r="AJ211" s="434"/>
      <c r="AK211" s="434"/>
      <c r="AL211" s="434"/>
      <c r="AM211" s="434"/>
    </row>
    <row r="212" spans="1:56" x14ac:dyDescent="0.25">
      <c r="B212" s="56" t="s">
        <v>13</v>
      </c>
      <c r="C212" s="57"/>
      <c r="D212" s="57"/>
      <c r="E212" s="241"/>
      <c r="F212" s="241"/>
      <c r="G212" s="241"/>
      <c r="H212" s="241"/>
      <c r="I212" s="241"/>
      <c r="J212" s="241"/>
      <c r="K212" s="241"/>
      <c r="L212" s="241"/>
      <c r="M212" s="242"/>
      <c r="AB212" s="432"/>
      <c r="AC212" s="432"/>
      <c r="AF212" s="434"/>
      <c r="AG212" s="434"/>
      <c r="AH212" s="434"/>
      <c r="AI212" s="434"/>
      <c r="AJ212" s="434"/>
      <c r="AK212" s="434"/>
      <c r="AL212" s="434"/>
      <c r="AM212" s="434"/>
    </row>
    <row r="213" spans="1:56" x14ac:dyDescent="0.25">
      <c r="B213" s="220" t="s">
        <v>24</v>
      </c>
      <c r="C213" s="221"/>
      <c r="D213" s="221"/>
      <c r="E213" s="243">
        <f>IF($F$4&lt;&gt;"",VLOOKUP($B$49,Y_1,20,0),"")</f>
        <v>124.34</v>
      </c>
      <c r="F213" s="243">
        <f>IF($F$4&lt;&gt;"",VLOOKUP($B$49,Y_2,20,0),"")</f>
        <v>128.6</v>
      </c>
      <c r="G213" s="243">
        <f>IF($F$4&lt;&gt;"",VLOOKUP($B$49,Y_3,20,0),"")</f>
        <v>127.95</v>
      </c>
      <c r="H213" s="63">
        <f>IF($F$4&lt;&gt;"",VLOOKUP($B$49,Y_4,20,0),"")</f>
        <v>127.8</v>
      </c>
      <c r="I213" s="243">
        <f>IF($F$4&lt;&gt;"",VLOOKUP($B$49,Y_5,20,0),"")</f>
        <v>128.05000000000001</v>
      </c>
      <c r="J213" s="243">
        <f>IF($F$4&lt;&gt;"",VLOOKUP($B$49,Y_6,20,0),"")</f>
        <v>128.62</v>
      </c>
      <c r="K213" s="243">
        <f>IF($F$4&lt;&gt;"",VLOOKUP($B$49,Y_7,20,0),"")</f>
        <v>133.31</v>
      </c>
      <c r="L213" s="243">
        <f>IF($F$4&lt;&gt;"",VLOOKUP($B$49,Y_8,20,0),"")</f>
        <v>136.72</v>
      </c>
      <c r="M213" s="244">
        <f>IF($F$4&lt;&gt;"",VLOOKUP($B$49,Y_9,20,0),"")</f>
        <v>143.80000000000001</v>
      </c>
      <c r="AB213" s="432"/>
      <c r="AC213" s="432"/>
      <c r="AF213" s="434"/>
      <c r="AG213" s="434"/>
      <c r="AH213" s="434"/>
      <c r="AI213" s="434"/>
      <c r="AJ213" s="434"/>
      <c r="AK213" s="434"/>
      <c r="AL213" s="434"/>
      <c r="AM213" s="434"/>
    </row>
    <row r="214" spans="1:56" x14ac:dyDescent="0.25">
      <c r="B214" s="223" t="s">
        <v>21</v>
      </c>
      <c r="C214" s="224"/>
      <c r="D214" s="224"/>
      <c r="E214" s="247">
        <f>IF($F$4&lt;&gt;"",VLOOKUP($B$49,Y_1,21,0),"")</f>
        <v>117288</v>
      </c>
      <c r="F214" s="247">
        <f>IF($F$4&lt;&gt;"",VLOOKUP($B$49,Y_2,21,0),"")</f>
        <v>151611</v>
      </c>
      <c r="G214" s="247">
        <f>IF($F$4&lt;&gt;"",VLOOKUP($B$49,Y_3,21,0),"")</f>
        <v>182115</v>
      </c>
      <c r="H214" s="247">
        <f>IF($F$4&lt;&gt;"",VLOOKUP($B$49,Y_4,21,0),"")</f>
        <v>208889</v>
      </c>
      <c r="I214" s="247">
        <f>IF($F$4&lt;&gt;"",VLOOKUP($B$49,Y_5,21,0),"")</f>
        <v>231212</v>
      </c>
      <c r="J214" s="247">
        <f>IF($F$4&lt;&gt;"",VLOOKUP($B$49,Y_6,21,0),"")</f>
        <v>254218</v>
      </c>
      <c r="K214" s="247">
        <f>IF($F$4&lt;&gt;"",VLOOKUP($B$49,Y_7,21,0),"")</f>
        <v>272045</v>
      </c>
      <c r="L214" s="247">
        <f>IF($F$4&lt;&gt;"",VLOOKUP($B$49,Y_8,21,0),"")</f>
        <v>294526</v>
      </c>
      <c r="M214" s="248">
        <f>IF($F$4&lt;&gt;"",VLOOKUP($B$49,Y_9,21,0),"")</f>
        <v>315847</v>
      </c>
      <c r="AB214" s="432"/>
      <c r="AC214" s="432"/>
      <c r="AF214" s="434"/>
      <c r="AG214" s="434"/>
      <c r="AH214" s="434"/>
      <c r="AI214" s="434"/>
      <c r="AJ214" s="434"/>
      <c r="AK214" s="434"/>
      <c r="AL214" s="434"/>
      <c r="AM214" s="434"/>
    </row>
    <row r="215" spans="1:56" x14ac:dyDescent="0.25">
      <c r="B215" s="31"/>
      <c r="C215" s="32"/>
      <c r="D215" s="32"/>
      <c r="E215" s="32"/>
      <c r="F215" s="32"/>
      <c r="G215" s="32"/>
      <c r="H215" s="32"/>
      <c r="I215" s="32"/>
      <c r="J215" s="32"/>
      <c r="K215" s="32"/>
      <c r="L215" s="32"/>
      <c r="M215" s="48"/>
      <c r="AB215" s="432"/>
      <c r="AC215" s="432"/>
      <c r="AF215" s="434"/>
      <c r="AG215" s="434"/>
      <c r="AH215" s="434"/>
      <c r="AI215" s="434"/>
      <c r="AJ215" s="434"/>
      <c r="AK215" s="434"/>
      <c r="AL215" s="434"/>
      <c r="AM215" s="434"/>
    </row>
    <row r="216" spans="1:56" x14ac:dyDescent="0.25">
      <c r="B216" s="46" t="s">
        <v>805</v>
      </c>
      <c r="C216" s="47"/>
      <c r="D216" s="47"/>
      <c r="E216" s="47"/>
      <c r="M216" s="49"/>
      <c r="AB216" s="432"/>
      <c r="AC216" s="432"/>
      <c r="AF216" s="434"/>
      <c r="AG216" s="434"/>
      <c r="AH216" s="434"/>
      <c r="AI216" s="434"/>
      <c r="AJ216" s="434"/>
      <c r="AK216" s="434"/>
      <c r="AL216" s="434"/>
      <c r="AM216" s="434"/>
    </row>
    <row r="217" spans="1:56" x14ac:dyDescent="0.25">
      <c r="B217" s="33"/>
      <c r="C217" s="34"/>
      <c r="D217" s="34"/>
      <c r="E217" s="34"/>
      <c r="F217" s="34"/>
      <c r="G217" s="34"/>
      <c r="H217" s="34"/>
      <c r="I217" s="34"/>
      <c r="J217" s="34"/>
      <c r="K217" s="34"/>
      <c r="L217" s="34"/>
      <c r="M217" s="64"/>
      <c r="AB217" s="432"/>
      <c r="AC217" s="432"/>
      <c r="AF217" s="434"/>
      <c r="AG217" s="434"/>
      <c r="AH217" s="434"/>
      <c r="AI217" s="434"/>
      <c r="AJ217" s="434"/>
      <c r="AK217" s="434"/>
      <c r="AL217" s="434"/>
      <c r="AM217" s="434"/>
    </row>
    <row r="218" spans="1:56" x14ac:dyDescent="0.25">
      <c r="B218" s="317"/>
      <c r="C218" s="317"/>
      <c r="D218" s="317"/>
      <c r="E218" s="317"/>
      <c r="F218" s="317"/>
      <c r="G218" s="317"/>
      <c r="H218" s="317"/>
      <c r="I218" s="317"/>
      <c r="J218" s="317"/>
      <c r="K218" s="317"/>
      <c r="L218" s="317"/>
      <c r="M218" s="317"/>
      <c r="AB218" s="432"/>
      <c r="AC218" s="432"/>
      <c r="AF218" s="434"/>
      <c r="AG218" s="434"/>
      <c r="AH218" s="434"/>
      <c r="AI218" s="434"/>
      <c r="AJ218" s="434"/>
      <c r="AK218" s="434"/>
      <c r="AL218" s="434"/>
      <c r="AM218" s="434"/>
      <c r="AW218" s="187"/>
      <c r="AX218" s="187"/>
      <c r="AY218" s="187"/>
      <c r="AZ218" s="187"/>
      <c r="BA218" s="187"/>
      <c r="BB218" s="187"/>
      <c r="BC218" s="187"/>
      <c r="BD218" s="187"/>
    </row>
    <row r="219" spans="1:56" s="322" customFormat="1" x14ac:dyDescent="0.25">
      <c r="A219" s="441">
        <v>6</v>
      </c>
      <c r="B219" s="398"/>
      <c r="C219" s="398"/>
      <c r="D219" s="398"/>
      <c r="E219" s="398"/>
      <c r="F219" s="398"/>
      <c r="G219" s="398"/>
      <c r="H219" s="398"/>
      <c r="I219" s="398"/>
      <c r="J219" s="398"/>
      <c r="K219" s="398"/>
      <c r="L219" s="398"/>
      <c r="M219" s="398"/>
      <c r="N219" s="394"/>
      <c r="AB219" s="432"/>
      <c r="AC219" s="432"/>
      <c r="AD219" s="158"/>
      <c r="AE219" s="158"/>
      <c r="AF219" s="434"/>
      <c r="AG219" s="434"/>
      <c r="AH219" s="434"/>
      <c r="AI219" s="434"/>
      <c r="AJ219" s="434"/>
      <c r="AK219" s="434"/>
      <c r="AL219" s="434"/>
      <c r="AM219" s="434"/>
      <c r="AN219" s="396"/>
      <c r="AO219" s="396"/>
      <c r="AP219" s="396"/>
      <c r="AQ219" s="396"/>
      <c r="AR219" s="396"/>
      <c r="AS219" s="396"/>
      <c r="AT219" s="396"/>
      <c r="AU219" s="396"/>
      <c r="AV219" s="396"/>
      <c r="AW219" s="396"/>
      <c r="AX219" s="396"/>
      <c r="AY219" s="396"/>
      <c r="AZ219" s="396"/>
      <c r="BA219" s="396"/>
      <c r="BB219" s="396"/>
      <c r="BC219" s="396"/>
      <c r="BD219" s="396"/>
    </row>
    <row r="220" spans="1:56" s="322" customFormat="1" x14ac:dyDescent="0.25">
      <c r="A220" s="442"/>
      <c r="B220" s="398"/>
      <c r="C220" s="398"/>
      <c r="D220" s="398"/>
      <c r="E220" s="398"/>
      <c r="F220" s="398"/>
      <c r="G220" s="398"/>
      <c r="H220" s="398"/>
      <c r="I220" s="398"/>
      <c r="J220" s="398"/>
      <c r="K220" s="398"/>
      <c r="L220" s="398"/>
      <c r="M220" s="398"/>
      <c r="N220" s="394"/>
      <c r="AB220" s="432"/>
      <c r="AC220" s="432"/>
      <c r="AD220" s="158"/>
      <c r="AE220" s="158"/>
      <c r="AF220" s="434"/>
      <c r="AG220" s="434"/>
      <c r="AH220" s="434"/>
      <c r="AI220" s="434"/>
      <c r="AJ220" s="434"/>
      <c r="AK220" s="434"/>
      <c r="AL220" s="434"/>
      <c r="AM220" s="434"/>
      <c r="AN220" s="396"/>
      <c r="AO220" s="396"/>
      <c r="AP220" s="396"/>
      <c r="AQ220" s="396"/>
      <c r="AR220" s="396"/>
      <c r="AS220" s="396"/>
      <c r="AT220" s="396"/>
      <c r="AU220" s="396"/>
      <c r="AV220" s="396"/>
      <c r="AW220" s="396"/>
      <c r="AX220" s="396"/>
      <c r="AY220" s="396"/>
      <c r="AZ220" s="396"/>
      <c r="BA220" s="396"/>
      <c r="BB220" s="396"/>
      <c r="BC220" s="396"/>
      <c r="BD220" s="396"/>
    </row>
    <row r="221" spans="1:56" s="322" customFormat="1" x14ac:dyDescent="0.25">
      <c r="B221" s="398"/>
      <c r="C221" s="398"/>
      <c r="D221" s="398"/>
      <c r="E221" s="398"/>
      <c r="F221" s="398"/>
      <c r="G221" s="398"/>
      <c r="H221" s="398"/>
      <c r="I221" s="398"/>
      <c r="J221" s="398"/>
      <c r="K221" s="398"/>
      <c r="L221" s="398"/>
      <c r="M221" s="398"/>
      <c r="N221" s="394"/>
      <c r="AB221" s="432"/>
      <c r="AC221" s="432"/>
      <c r="AD221" s="158"/>
      <c r="AE221" s="158"/>
      <c r="AF221" s="434"/>
      <c r="AG221" s="434"/>
      <c r="AH221" s="434"/>
      <c r="AI221" s="434"/>
      <c r="AJ221" s="434"/>
      <c r="AK221" s="434"/>
      <c r="AL221" s="434"/>
      <c r="AM221" s="434"/>
      <c r="AN221" s="396"/>
      <c r="AO221" s="396"/>
      <c r="AP221" s="396"/>
      <c r="AQ221" s="396"/>
      <c r="AR221" s="396"/>
      <c r="AS221" s="396"/>
      <c r="AT221" s="396"/>
      <c r="AU221" s="396"/>
      <c r="AV221" s="396"/>
      <c r="AW221" s="396"/>
      <c r="AX221" s="396"/>
      <c r="AY221" s="396"/>
      <c r="AZ221" s="396"/>
      <c r="BA221" s="396"/>
      <c r="BB221" s="396"/>
      <c r="BC221" s="396"/>
      <c r="BD221" s="396"/>
    </row>
    <row r="222" spans="1:56" s="322" customFormat="1" x14ac:dyDescent="0.25">
      <c r="B222" s="398"/>
      <c r="C222" s="398"/>
      <c r="D222" s="398"/>
      <c r="E222" s="398"/>
      <c r="F222" s="398"/>
      <c r="G222" s="398"/>
      <c r="H222" s="398"/>
      <c r="I222" s="398"/>
      <c r="J222" s="398"/>
      <c r="K222" s="398"/>
      <c r="L222" s="398"/>
      <c r="M222" s="398"/>
      <c r="N222" s="394"/>
      <c r="AB222" s="432"/>
      <c r="AC222" s="432"/>
      <c r="AD222" s="158"/>
      <c r="AE222" s="158"/>
      <c r="AF222" s="434"/>
      <c r="AG222" s="434"/>
      <c r="AH222" s="434"/>
      <c r="AI222" s="434"/>
      <c r="AJ222" s="434"/>
      <c r="AK222" s="434"/>
      <c r="AL222" s="434"/>
      <c r="AM222" s="434"/>
      <c r="AN222" s="396"/>
      <c r="AO222" s="396"/>
      <c r="AP222" s="396"/>
      <c r="AQ222" s="396"/>
      <c r="AR222" s="396"/>
      <c r="AS222" s="396"/>
      <c r="AT222" s="396"/>
      <c r="AU222" s="396"/>
      <c r="AV222" s="396"/>
      <c r="AW222" s="396"/>
      <c r="AX222" s="396"/>
      <c r="AY222" s="396"/>
      <c r="AZ222" s="396"/>
      <c r="BA222" s="396"/>
      <c r="BB222" s="396"/>
      <c r="BC222" s="396"/>
      <c r="BD222" s="396"/>
    </row>
    <row r="223" spans="1:56" s="322" customFormat="1" x14ac:dyDescent="0.25">
      <c r="B223" s="398"/>
      <c r="C223" s="398"/>
      <c r="D223" s="398"/>
      <c r="E223" s="398"/>
      <c r="F223" s="398"/>
      <c r="G223" s="398"/>
      <c r="H223" s="398"/>
      <c r="I223" s="398"/>
      <c r="J223" s="398"/>
      <c r="K223" s="398"/>
      <c r="L223" s="398"/>
      <c r="M223" s="398"/>
      <c r="N223" s="394"/>
      <c r="AB223" s="432"/>
      <c r="AC223" s="432"/>
      <c r="AD223" s="158"/>
      <c r="AE223" s="158"/>
      <c r="AF223" s="434"/>
      <c r="AG223" s="434"/>
      <c r="AH223" s="434"/>
      <c r="AI223" s="434"/>
      <c r="AJ223" s="434"/>
      <c r="AK223" s="434"/>
      <c r="AL223" s="434"/>
      <c r="AM223" s="434"/>
      <c r="AN223" s="396"/>
      <c r="AO223" s="396"/>
      <c r="AP223" s="396"/>
      <c r="AQ223" s="396"/>
      <c r="AR223" s="396"/>
      <c r="AS223" s="396"/>
      <c r="AT223" s="396"/>
      <c r="AU223" s="396"/>
      <c r="AV223" s="396"/>
      <c r="AW223" s="396"/>
      <c r="AX223" s="396"/>
      <c r="AY223" s="396"/>
      <c r="AZ223" s="396"/>
      <c r="BA223" s="396"/>
      <c r="BB223" s="396"/>
      <c r="BC223" s="396"/>
      <c r="BD223" s="396"/>
    </row>
    <row r="224" spans="1:56" s="322" customFormat="1" x14ac:dyDescent="0.25">
      <c r="B224" s="398"/>
      <c r="C224" s="398"/>
      <c r="D224" s="398"/>
      <c r="E224" s="398"/>
      <c r="F224" s="398"/>
      <c r="G224" s="398"/>
      <c r="H224" s="398"/>
      <c r="I224" s="398"/>
      <c r="J224" s="398"/>
      <c r="K224" s="398"/>
      <c r="L224" s="398"/>
      <c r="M224" s="398"/>
      <c r="N224" s="394"/>
      <c r="AB224" s="432"/>
      <c r="AC224" s="432"/>
      <c r="AD224" s="158"/>
      <c r="AE224" s="158"/>
      <c r="AF224" s="434"/>
      <c r="AG224" s="434"/>
      <c r="AH224" s="434"/>
      <c r="AI224" s="434"/>
      <c r="AJ224" s="434"/>
      <c r="AK224" s="434"/>
      <c r="AL224" s="434"/>
      <c r="AM224" s="434"/>
      <c r="AN224" s="396"/>
      <c r="AO224" s="396"/>
      <c r="AP224" s="396"/>
      <c r="AQ224" s="396"/>
      <c r="AR224" s="396"/>
      <c r="AS224" s="396"/>
      <c r="AT224" s="396"/>
      <c r="AU224" s="396"/>
      <c r="AV224" s="396"/>
      <c r="AW224" s="396"/>
      <c r="AX224" s="396"/>
      <c r="AY224" s="396"/>
      <c r="AZ224" s="396"/>
      <c r="BA224" s="396"/>
      <c r="BB224" s="396"/>
      <c r="BC224" s="396"/>
      <c r="BD224" s="396"/>
    </row>
    <row r="225" spans="2:56" s="322" customFormat="1" x14ac:dyDescent="0.25">
      <c r="B225" s="398"/>
      <c r="C225" s="398"/>
      <c r="D225" s="398"/>
      <c r="E225" s="398"/>
      <c r="F225" s="398"/>
      <c r="G225" s="398"/>
      <c r="H225" s="398"/>
      <c r="I225" s="398"/>
      <c r="J225" s="398"/>
      <c r="K225" s="398"/>
      <c r="L225" s="398"/>
      <c r="M225" s="398"/>
      <c r="N225" s="394"/>
      <c r="AB225" s="432"/>
      <c r="AC225" s="432"/>
      <c r="AD225" s="158"/>
      <c r="AE225" s="158"/>
      <c r="AF225" s="434"/>
      <c r="AG225" s="434"/>
      <c r="AH225" s="434"/>
      <c r="AI225" s="434"/>
      <c r="AJ225" s="434"/>
      <c r="AK225" s="434"/>
      <c r="AL225" s="434"/>
      <c r="AM225" s="434"/>
      <c r="AN225" s="396"/>
      <c r="AO225" s="396"/>
      <c r="AP225" s="396"/>
      <c r="AQ225" s="396"/>
      <c r="AR225" s="396"/>
      <c r="AS225" s="396"/>
      <c r="AT225" s="396"/>
      <c r="AU225" s="396"/>
      <c r="AV225" s="396"/>
      <c r="AW225" s="396"/>
      <c r="AX225" s="396"/>
      <c r="AY225" s="396"/>
      <c r="AZ225" s="396"/>
      <c r="BA225" s="396"/>
      <c r="BB225" s="396"/>
      <c r="BC225" s="396"/>
      <c r="BD225" s="396"/>
    </row>
    <row r="226" spans="2:56" s="322" customFormat="1" x14ac:dyDescent="0.25">
      <c r="B226" s="398"/>
      <c r="C226" s="398"/>
      <c r="D226" s="398"/>
      <c r="E226" s="398"/>
      <c r="F226" s="398"/>
      <c r="G226" s="398"/>
      <c r="H226" s="398"/>
      <c r="I226" s="398"/>
      <c r="J226" s="398"/>
      <c r="K226" s="398"/>
      <c r="L226" s="398"/>
      <c r="M226" s="398"/>
      <c r="N226" s="394"/>
      <c r="AB226" s="432"/>
      <c r="AC226" s="432"/>
      <c r="AD226" s="158"/>
      <c r="AE226" s="158"/>
      <c r="AF226" s="434"/>
      <c r="AG226" s="434"/>
      <c r="AH226" s="434"/>
      <c r="AI226" s="434"/>
      <c r="AJ226" s="434"/>
      <c r="AK226" s="434"/>
      <c r="AL226" s="434"/>
      <c r="AM226" s="434"/>
      <c r="AN226" s="396"/>
      <c r="AO226" s="396"/>
      <c r="AP226" s="396"/>
      <c r="AQ226" s="396"/>
      <c r="AR226" s="396"/>
      <c r="AS226" s="396"/>
      <c r="AT226" s="396"/>
      <c r="AU226" s="396"/>
      <c r="AV226" s="396"/>
      <c r="AW226" s="396"/>
      <c r="AX226" s="396"/>
      <c r="AY226" s="396"/>
      <c r="AZ226" s="396"/>
      <c r="BA226" s="396"/>
      <c r="BB226" s="396"/>
      <c r="BC226" s="396"/>
      <c r="BD226" s="396"/>
    </row>
    <row r="227" spans="2:56" s="322" customFormat="1" x14ac:dyDescent="0.25">
      <c r="B227" s="398"/>
      <c r="C227" s="398"/>
      <c r="D227" s="398"/>
      <c r="E227" s="398"/>
      <c r="F227" s="398"/>
      <c r="G227" s="398"/>
      <c r="H227" s="398"/>
      <c r="I227" s="398"/>
      <c r="J227" s="398"/>
      <c r="K227" s="398"/>
      <c r="L227" s="398"/>
      <c r="M227" s="398"/>
      <c r="N227" s="394"/>
      <c r="AB227" s="432"/>
      <c r="AC227" s="432"/>
      <c r="AD227" s="158"/>
      <c r="AE227" s="158"/>
      <c r="AF227" s="434"/>
      <c r="AG227" s="434"/>
      <c r="AH227" s="434"/>
      <c r="AI227" s="434"/>
      <c r="AJ227" s="434"/>
      <c r="AK227" s="434"/>
      <c r="AL227" s="434"/>
      <c r="AM227" s="434"/>
      <c r="AN227" s="396"/>
      <c r="AO227" s="396"/>
      <c r="AP227" s="396"/>
      <c r="AQ227" s="396"/>
      <c r="AR227" s="396"/>
      <c r="AS227" s="396"/>
      <c r="AT227" s="396"/>
      <c r="AU227" s="396"/>
      <c r="AV227" s="396"/>
      <c r="AW227" s="396"/>
      <c r="AX227" s="396"/>
      <c r="AY227" s="396"/>
      <c r="AZ227" s="396"/>
      <c r="BA227" s="396"/>
      <c r="BB227" s="396"/>
      <c r="BC227" s="396"/>
      <c r="BD227" s="396"/>
    </row>
    <row r="228" spans="2:56" s="322" customFormat="1" x14ac:dyDescent="0.25">
      <c r="B228" s="398"/>
      <c r="C228" s="398"/>
      <c r="D228" s="398"/>
      <c r="E228" s="398"/>
      <c r="F228" s="398"/>
      <c r="G228" s="398"/>
      <c r="H228" s="398"/>
      <c r="I228" s="398"/>
      <c r="J228" s="398"/>
      <c r="K228" s="398"/>
      <c r="L228" s="398"/>
      <c r="M228" s="398"/>
      <c r="N228" s="394"/>
      <c r="AB228" s="432"/>
      <c r="AC228" s="432"/>
      <c r="AD228" s="158"/>
      <c r="AE228" s="158"/>
      <c r="AF228" s="434"/>
      <c r="AG228" s="434"/>
      <c r="AH228" s="434"/>
      <c r="AI228" s="434"/>
      <c r="AJ228" s="434"/>
      <c r="AK228" s="434"/>
      <c r="AL228" s="434"/>
      <c r="AM228" s="434"/>
      <c r="AN228" s="396"/>
      <c r="AO228" s="396"/>
      <c r="AP228" s="396"/>
      <c r="AQ228" s="396"/>
      <c r="AR228" s="396"/>
      <c r="AS228" s="396"/>
      <c r="AT228" s="396"/>
      <c r="AU228" s="396"/>
      <c r="AV228" s="396"/>
      <c r="AW228" s="396"/>
      <c r="AX228" s="396"/>
      <c r="AY228" s="396"/>
      <c r="AZ228" s="396"/>
      <c r="BA228" s="396"/>
      <c r="BB228" s="396"/>
      <c r="BC228" s="396"/>
      <c r="BD228" s="396"/>
    </row>
    <row r="229" spans="2:56" s="322" customFormat="1" x14ac:dyDescent="0.25">
      <c r="B229" s="398"/>
      <c r="C229" s="398"/>
      <c r="D229" s="398"/>
      <c r="E229" s="398"/>
      <c r="F229" s="398"/>
      <c r="G229" s="398"/>
      <c r="H229" s="398"/>
      <c r="I229" s="398"/>
      <c r="J229" s="398"/>
      <c r="K229" s="398"/>
      <c r="L229" s="398"/>
      <c r="M229" s="398"/>
      <c r="N229" s="394"/>
      <c r="AB229" s="432"/>
      <c r="AC229" s="432"/>
      <c r="AD229" s="158"/>
      <c r="AE229" s="158"/>
      <c r="AF229" s="434"/>
      <c r="AG229" s="434"/>
      <c r="AH229" s="434"/>
      <c r="AI229" s="434"/>
      <c r="AJ229" s="434"/>
      <c r="AK229" s="434"/>
      <c r="AL229" s="434"/>
      <c r="AM229" s="434"/>
      <c r="AN229" s="396"/>
      <c r="AO229" s="396"/>
      <c r="AP229" s="396"/>
      <c r="AQ229" s="396"/>
      <c r="AR229" s="396"/>
      <c r="AS229" s="396"/>
      <c r="AT229" s="396"/>
      <c r="AU229" s="396"/>
      <c r="AV229" s="396"/>
      <c r="AW229" s="396"/>
      <c r="AX229" s="396"/>
      <c r="AY229" s="396"/>
      <c r="AZ229" s="396"/>
      <c r="BA229" s="396"/>
      <c r="BB229" s="396"/>
      <c r="BC229" s="396"/>
      <c r="BD229" s="396"/>
    </row>
    <row r="230" spans="2:56" s="322" customFormat="1" x14ac:dyDescent="0.25">
      <c r="B230" s="398"/>
      <c r="C230" s="398"/>
      <c r="D230" s="398"/>
      <c r="E230" s="398"/>
      <c r="F230" s="398"/>
      <c r="G230" s="398"/>
      <c r="H230" s="398"/>
      <c r="I230" s="398"/>
      <c r="J230" s="398"/>
      <c r="K230" s="398"/>
      <c r="L230" s="398"/>
      <c r="M230" s="398"/>
      <c r="N230" s="394"/>
      <c r="AB230" s="432"/>
      <c r="AC230" s="432"/>
      <c r="AD230" s="158"/>
      <c r="AE230" s="158"/>
      <c r="AF230" s="434"/>
      <c r="AG230" s="434"/>
      <c r="AH230" s="434"/>
      <c r="AI230" s="434"/>
      <c r="AJ230" s="434"/>
      <c r="AK230" s="434"/>
      <c r="AL230" s="434"/>
      <c r="AM230" s="434"/>
      <c r="AN230" s="396"/>
      <c r="AO230" s="396"/>
      <c r="AP230" s="396"/>
      <c r="AQ230" s="396"/>
      <c r="AR230" s="396"/>
      <c r="AS230" s="396"/>
      <c r="AT230" s="396"/>
      <c r="AU230" s="396"/>
      <c r="AV230" s="396"/>
      <c r="AW230" s="396"/>
      <c r="AX230" s="396"/>
      <c r="AY230" s="396"/>
      <c r="AZ230" s="396"/>
      <c r="BA230" s="396"/>
      <c r="BB230" s="396"/>
      <c r="BC230" s="396"/>
      <c r="BD230" s="396"/>
    </row>
    <row r="231" spans="2:56" s="322" customFormat="1" x14ac:dyDescent="0.25">
      <c r="B231" s="398"/>
      <c r="C231" s="398"/>
      <c r="D231" s="398"/>
      <c r="E231" s="398"/>
      <c r="F231" s="398"/>
      <c r="G231" s="398"/>
      <c r="H231" s="398"/>
      <c r="I231" s="398"/>
      <c r="J231" s="398"/>
      <c r="K231" s="398"/>
      <c r="L231" s="398"/>
      <c r="M231" s="398"/>
      <c r="N231" s="394"/>
      <c r="AB231" s="432"/>
      <c r="AC231" s="432"/>
      <c r="AD231" s="158"/>
      <c r="AE231" s="158"/>
      <c r="AF231" s="434"/>
      <c r="AG231" s="434"/>
      <c r="AH231" s="434"/>
      <c r="AI231" s="434"/>
      <c r="AJ231" s="434"/>
      <c r="AK231" s="434"/>
      <c r="AL231" s="434"/>
      <c r="AM231" s="434"/>
      <c r="AN231" s="396"/>
      <c r="AO231" s="396"/>
      <c r="AP231" s="396"/>
      <c r="AQ231" s="396"/>
      <c r="AR231" s="396"/>
      <c r="AS231" s="396"/>
      <c r="AT231" s="396"/>
      <c r="AU231" s="396"/>
      <c r="AV231" s="396"/>
      <c r="AW231" s="396"/>
      <c r="AX231" s="396"/>
      <c r="AY231" s="396"/>
      <c r="AZ231" s="396"/>
      <c r="BA231" s="396"/>
      <c r="BB231" s="396"/>
      <c r="BC231" s="396"/>
      <c r="BD231" s="396"/>
    </row>
    <row r="232" spans="2:56" s="322" customFormat="1" x14ac:dyDescent="0.25">
      <c r="B232" s="398"/>
      <c r="C232" s="398"/>
      <c r="D232" s="398"/>
      <c r="E232" s="398"/>
      <c r="F232" s="398"/>
      <c r="G232" s="398"/>
      <c r="H232" s="398"/>
      <c r="I232" s="398"/>
      <c r="J232" s="398"/>
      <c r="K232" s="398"/>
      <c r="L232" s="398"/>
      <c r="M232" s="398"/>
      <c r="N232" s="394"/>
      <c r="AB232" s="432"/>
      <c r="AC232" s="432"/>
      <c r="AD232" s="158"/>
      <c r="AE232" s="158"/>
      <c r="AF232" s="434"/>
      <c r="AG232" s="434"/>
      <c r="AH232" s="434"/>
      <c r="AI232" s="434"/>
      <c r="AJ232" s="434"/>
      <c r="AK232" s="434"/>
      <c r="AL232" s="434"/>
      <c r="AM232" s="434"/>
      <c r="AN232" s="396"/>
      <c r="AO232" s="396"/>
      <c r="AP232" s="396"/>
      <c r="AQ232" s="396"/>
      <c r="AR232" s="396"/>
      <c r="AS232" s="396"/>
      <c r="AT232" s="396"/>
      <c r="AU232" s="396"/>
      <c r="AV232" s="396"/>
      <c r="AW232" s="396"/>
      <c r="AX232" s="396"/>
      <c r="AY232" s="396"/>
      <c r="AZ232" s="396"/>
      <c r="BA232" s="396"/>
      <c r="BB232" s="396"/>
      <c r="BC232" s="396"/>
      <c r="BD232" s="396"/>
    </row>
    <row r="233" spans="2:56" s="322" customFormat="1" x14ac:dyDescent="0.25">
      <c r="B233" s="398"/>
      <c r="C233" s="398"/>
      <c r="D233" s="398"/>
      <c r="E233" s="398"/>
      <c r="F233" s="398"/>
      <c r="G233" s="398"/>
      <c r="H233" s="398"/>
      <c r="I233" s="398"/>
      <c r="J233" s="398"/>
      <c r="K233" s="398"/>
      <c r="L233" s="398"/>
      <c r="M233" s="398"/>
      <c r="N233" s="394"/>
      <c r="AB233" s="432"/>
      <c r="AC233" s="432"/>
      <c r="AD233" s="158"/>
      <c r="AE233" s="158"/>
      <c r="AF233" s="434"/>
      <c r="AG233" s="434"/>
      <c r="AH233" s="434"/>
      <c r="AI233" s="434"/>
      <c r="AJ233" s="434"/>
      <c r="AK233" s="434"/>
      <c r="AL233" s="434"/>
      <c r="AM233" s="434"/>
      <c r="AN233" s="396"/>
      <c r="AO233" s="396"/>
      <c r="AP233" s="396"/>
      <c r="AQ233" s="396"/>
      <c r="AR233" s="396"/>
      <c r="AS233" s="396"/>
      <c r="AT233" s="396"/>
      <c r="AU233" s="396"/>
      <c r="AV233" s="396"/>
      <c r="AW233" s="396"/>
      <c r="AX233" s="396"/>
      <c r="AY233" s="396"/>
      <c r="AZ233" s="396"/>
      <c r="BA233" s="396"/>
      <c r="BB233" s="396"/>
      <c r="BC233" s="396"/>
      <c r="BD233" s="396"/>
    </row>
    <row r="234" spans="2:56" s="322" customFormat="1" x14ac:dyDescent="0.25">
      <c r="B234" s="398"/>
      <c r="C234" s="398"/>
      <c r="D234" s="398"/>
      <c r="E234" s="398"/>
      <c r="F234" s="398"/>
      <c r="G234" s="398"/>
      <c r="H234" s="398"/>
      <c r="I234" s="398"/>
      <c r="J234" s="398"/>
      <c r="K234" s="398"/>
      <c r="L234" s="398"/>
      <c r="M234" s="398"/>
      <c r="N234" s="394"/>
      <c r="AB234" s="432"/>
      <c r="AC234" s="432"/>
      <c r="AD234" s="158"/>
      <c r="AE234" s="158"/>
      <c r="AF234" s="434"/>
      <c r="AG234" s="434"/>
      <c r="AH234" s="434"/>
      <c r="AI234" s="434"/>
      <c r="AJ234" s="434"/>
      <c r="AK234" s="434"/>
      <c r="AL234" s="434"/>
      <c r="AM234" s="434"/>
      <c r="AN234" s="396"/>
      <c r="AO234" s="396"/>
      <c r="AP234" s="396"/>
      <c r="AQ234" s="396"/>
      <c r="AR234" s="396"/>
      <c r="AS234" s="396"/>
      <c r="AT234" s="396"/>
      <c r="AU234" s="396"/>
      <c r="AV234" s="396"/>
      <c r="AW234" s="396"/>
      <c r="AX234" s="396"/>
      <c r="AY234" s="396"/>
      <c r="AZ234" s="396"/>
      <c r="BA234" s="396"/>
      <c r="BB234" s="396"/>
      <c r="BC234" s="396"/>
      <c r="BD234" s="396"/>
    </row>
    <row r="235" spans="2:56" s="322" customFormat="1" x14ac:dyDescent="0.25">
      <c r="B235" s="398"/>
      <c r="C235" s="398"/>
      <c r="D235" s="398"/>
      <c r="E235" s="398"/>
      <c r="F235" s="398"/>
      <c r="G235" s="398"/>
      <c r="H235" s="398"/>
      <c r="I235" s="398"/>
      <c r="J235" s="398"/>
      <c r="K235" s="398"/>
      <c r="L235" s="398"/>
      <c r="M235" s="398"/>
      <c r="N235" s="394"/>
      <c r="AB235" s="432"/>
      <c r="AC235" s="432"/>
      <c r="AD235" s="158"/>
      <c r="AE235" s="158"/>
      <c r="AF235" s="434"/>
      <c r="AG235" s="434"/>
      <c r="AH235" s="434"/>
      <c r="AI235" s="434"/>
      <c r="AJ235" s="434"/>
      <c r="AK235" s="434"/>
      <c r="AL235" s="434"/>
      <c r="AM235" s="434"/>
      <c r="AN235" s="396"/>
      <c r="AO235" s="396"/>
      <c r="AP235" s="396"/>
      <c r="AQ235" s="396"/>
      <c r="AR235" s="396"/>
      <c r="AS235" s="396"/>
      <c r="AT235" s="396"/>
      <c r="AU235" s="396"/>
      <c r="AV235" s="396"/>
      <c r="AW235" s="396"/>
      <c r="AX235" s="396"/>
      <c r="AY235" s="396"/>
      <c r="AZ235" s="396"/>
      <c r="BA235" s="396"/>
      <c r="BB235" s="396"/>
      <c r="BC235" s="396"/>
      <c r="BD235" s="396"/>
    </row>
    <row r="236" spans="2:56" s="322" customFormat="1" x14ac:dyDescent="0.25">
      <c r="B236" s="398"/>
      <c r="C236" s="398"/>
      <c r="D236" s="398"/>
      <c r="E236" s="398"/>
      <c r="F236" s="398"/>
      <c r="G236" s="398"/>
      <c r="H236" s="398"/>
      <c r="I236" s="398"/>
      <c r="J236" s="398"/>
      <c r="K236" s="398"/>
      <c r="L236" s="398"/>
      <c r="M236" s="398"/>
      <c r="N236" s="394"/>
      <c r="AB236" s="432"/>
      <c r="AC236" s="432"/>
      <c r="AD236" s="158"/>
      <c r="AE236" s="158"/>
      <c r="AF236" s="434"/>
      <c r="AG236" s="434"/>
      <c r="AH236" s="434"/>
      <c r="AI236" s="434"/>
      <c r="AJ236" s="434"/>
      <c r="AK236" s="434"/>
      <c r="AL236" s="434"/>
      <c r="AM236" s="434"/>
      <c r="AN236" s="396"/>
      <c r="AO236" s="396"/>
      <c r="AP236" s="396"/>
      <c r="AQ236" s="396"/>
      <c r="AR236" s="396"/>
      <c r="AS236" s="396"/>
      <c r="AT236" s="396"/>
      <c r="AU236" s="396"/>
      <c r="AV236" s="396"/>
      <c r="AW236" s="396"/>
      <c r="AX236" s="396"/>
      <c r="AY236" s="396"/>
      <c r="AZ236" s="396"/>
      <c r="BA236" s="396"/>
      <c r="BB236" s="396"/>
      <c r="BC236" s="396"/>
      <c r="BD236" s="396"/>
    </row>
    <row r="237" spans="2:56" s="322" customFormat="1" x14ac:dyDescent="0.25">
      <c r="B237" s="398"/>
      <c r="C237" s="398"/>
      <c r="D237" s="398"/>
      <c r="E237" s="398"/>
      <c r="F237" s="398"/>
      <c r="G237" s="398"/>
      <c r="H237" s="398"/>
      <c r="I237" s="398"/>
      <c r="J237" s="398"/>
      <c r="K237" s="398"/>
      <c r="L237" s="398"/>
      <c r="M237" s="398"/>
      <c r="N237" s="394"/>
      <c r="AB237" s="432"/>
      <c r="AC237" s="432"/>
      <c r="AD237" s="158"/>
      <c r="AE237" s="158"/>
      <c r="AF237" s="434"/>
      <c r="AG237" s="434"/>
      <c r="AH237" s="434"/>
      <c r="AI237" s="434"/>
      <c r="AJ237" s="434"/>
      <c r="AK237" s="434"/>
      <c r="AL237" s="434"/>
      <c r="AM237" s="434"/>
      <c r="AN237" s="396"/>
      <c r="AO237" s="396"/>
      <c r="AP237" s="396"/>
      <c r="AQ237" s="396"/>
      <c r="AR237" s="396"/>
      <c r="AS237" s="396"/>
      <c r="AT237" s="396"/>
      <c r="AU237" s="396"/>
      <c r="AV237" s="396"/>
      <c r="AW237" s="396"/>
      <c r="AX237" s="396"/>
      <c r="AY237" s="396"/>
      <c r="AZ237" s="396"/>
      <c r="BA237" s="396"/>
      <c r="BB237" s="396"/>
      <c r="BC237" s="396"/>
      <c r="BD237" s="396"/>
    </row>
    <row r="238" spans="2:56" s="322" customFormat="1" x14ac:dyDescent="0.25">
      <c r="B238" s="398"/>
      <c r="C238" s="398"/>
      <c r="D238" s="398"/>
      <c r="E238" s="398"/>
      <c r="F238" s="398"/>
      <c r="G238" s="398"/>
      <c r="H238" s="398"/>
      <c r="I238" s="398"/>
      <c r="J238" s="398"/>
      <c r="K238" s="398"/>
      <c r="L238" s="398"/>
      <c r="M238" s="398"/>
      <c r="N238" s="394"/>
      <c r="AB238" s="432"/>
      <c r="AC238" s="432"/>
      <c r="AD238" s="158"/>
      <c r="AE238" s="158"/>
      <c r="AF238" s="434"/>
      <c r="AG238" s="434"/>
      <c r="AH238" s="434"/>
      <c r="AI238" s="434"/>
      <c r="AJ238" s="434"/>
      <c r="AK238" s="434"/>
      <c r="AL238" s="434"/>
      <c r="AM238" s="434"/>
      <c r="AN238" s="396"/>
      <c r="AO238" s="396"/>
      <c r="AP238" s="396"/>
      <c r="AQ238" s="396"/>
      <c r="AR238" s="396"/>
      <c r="AS238" s="396"/>
      <c r="AT238" s="396"/>
      <c r="AU238" s="396"/>
      <c r="AV238" s="396"/>
      <c r="AW238" s="396"/>
      <c r="AX238" s="396"/>
      <c r="AY238" s="396"/>
      <c r="AZ238" s="396"/>
      <c r="BA238" s="396"/>
      <c r="BB238" s="396"/>
      <c r="BC238" s="396"/>
      <c r="BD238" s="396"/>
    </row>
    <row r="239" spans="2:56" s="322" customFormat="1" x14ac:dyDescent="0.25">
      <c r="B239" s="398"/>
      <c r="C239" s="398"/>
      <c r="D239" s="398"/>
      <c r="E239" s="398"/>
      <c r="F239" s="398"/>
      <c r="G239" s="398"/>
      <c r="H239" s="398"/>
      <c r="I239" s="398"/>
      <c r="J239" s="398"/>
      <c r="K239" s="398"/>
      <c r="L239" s="398"/>
      <c r="M239" s="398"/>
      <c r="N239" s="394"/>
      <c r="AB239" s="432"/>
      <c r="AC239" s="432"/>
      <c r="AD239" s="158"/>
      <c r="AE239" s="158"/>
      <c r="AF239" s="434"/>
      <c r="AG239" s="434"/>
      <c r="AH239" s="434"/>
      <c r="AI239" s="434"/>
      <c r="AJ239" s="434"/>
      <c r="AK239" s="434"/>
      <c r="AL239" s="434"/>
      <c r="AM239" s="434"/>
      <c r="AN239" s="396"/>
      <c r="AO239" s="396"/>
      <c r="AP239" s="396"/>
      <c r="AQ239" s="396"/>
      <c r="AR239" s="396"/>
      <c r="AS239" s="396"/>
      <c r="AT239" s="396"/>
      <c r="AU239" s="396"/>
      <c r="AV239" s="396"/>
      <c r="AW239" s="396"/>
      <c r="AX239" s="396"/>
      <c r="AY239" s="396"/>
      <c r="AZ239" s="396"/>
      <c r="BA239" s="396"/>
      <c r="BB239" s="396"/>
      <c r="BC239" s="396"/>
      <c r="BD239" s="396"/>
    </row>
    <row r="240" spans="2:56" s="322" customFormat="1" x14ac:dyDescent="0.25">
      <c r="B240" s="398"/>
      <c r="C240" s="398"/>
      <c r="D240" s="398"/>
      <c r="E240" s="398"/>
      <c r="F240" s="398"/>
      <c r="G240" s="398"/>
      <c r="H240" s="398"/>
      <c r="I240" s="398"/>
      <c r="J240" s="398"/>
      <c r="K240" s="398"/>
      <c r="L240" s="398"/>
      <c r="M240" s="398"/>
      <c r="N240" s="394"/>
      <c r="AB240" s="432"/>
      <c r="AC240" s="432"/>
      <c r="AD240" s="158"/>
      <c r="AE240" s="158"/>
      <c r="AF240" s="434"/>
      <c r="AG240" s="434"/>
      <c r="AH240" s="434"/>
      <c r="AI240" s="434"/>
      <c r="AJ240" s="434"/>
      <c r="AK240" s="434"/>
      <c r="AL240" s="434"/>
      <c r="AM240" s="434"/>
      <c r="AN240" s="396"/>
      <c r="AO240" s="396"/>
      <c r="AP240" s="396"/>
      <c r="AQ240" s="396"/>
      <c r="AR240" s="396"/>
      <c r="AS240" s="396"/>
      <c r="AT240" s="396"/>
      <c r="AU240" s="396"/>
      <c r="AV240" s="396"/>
      <c r="AW240" s="396"/>
      <c r="AX240" s="396"/>
      <c r="AY240" s="396"/>
      <c r="AZ240" s="396"/>
      <c r="BA240" s="396"/>
      <c r="BB240" s="396"/>
      <c r="BC240" s="396"/>
      <c r="BD240" s="396"/>
    </row>
    <row r="241" spans="1:56" s="322" customFormat="1" x14ac:dyDescent="0.25">
      <c r="B241" s="398"/>
      <c r="C241" s="398"/>
      <c r="D241" s="398"/>
      <c r="E241" s="398"/>
      <c r="F241" s="398"/>
      <c r="G241" s="398"/>
      <c r="H241" s="398"/>
      <c r="I241" s="398"/>
      <c r="J241" s="398"/>
      <c r="K241" s="398"/>
      <c r="L241" s="398"/>
      <c r="M241" s="398"/>
      <c r="N241" s="394"/>
      <c r="AB241" s="432"/>
      <c r="AC241" s="432"/>
      <c r="AD241" s="158"/>
      <c r="AE241" s="158"/>
      <c r="AF241" s="434"/>
      <c r="AG241" s="434"/>
      <c r="AH241" s="434"/>
      <c r="AI241" s="434"/>
      <c r="AJ241" s="434"/>
      <c r="AK241" s="434"/>
      <c r="AL241" s="434"/>
      <c r="AM241" s="434"/>
      <c r="AN241" s="396"/>
      <c r="AO241" s="396"/>
      <c r="AP241" s="396"/>
      <c r="AQ241" s="396"/>
      <c r="AR241" s="396"/>
      <c r="AS241" s="396"/>
      <c r="AT241" s="396"/>
      <c r="AU241" s="396"/>
      <c r="AV241" s="396"/>
      <c r="AW241" s="396"/>
      <c r="AX241" s="396"/>
      <c r="AY241" s="396"/>
      <c r="AZ241" s="396"/>
      <c r="BA241" s="396"/>
      <c r="BB241" s="396"/>
      <c r="BC241" s="396"/>
      <c r="BD241" s="396"/>
    </row>
    <row r="242" spans="1:56" s="322" customFormat="1" x14ac:dyDescent="0.25">
      <c r="B242" s="398"/>
      <c r="C242" s="398"/>
      <c r="D242" s="398"/>
      <c r="E242" s="398"/>
      <c r="F242" s="398"/>
      <c r="G242" s="398"/>
      <c r="H242" s="398"/>
      <c r="I242" s="398"/>
      <c r="J242" s="398"/>
      <c r="K242" s="398"/>
      <c r="L242" s="398"/>
      <c r="M242" s="398"/>
      <c r="N242" s="394"/>
      <c r="AB242" s="432"/>
      <c r="AC242" s="432"/>
      <c r="AD242" s="158"/>
      <c r="AE242" s="158"/>
      <c r="AF242" s="434"/>
      <c r="AG242" s="434"/>
      <c r="AH242" s="434"/>
      <c r="AI242" s="434"/>
      <c r="AJ242" s="434"/>
      <c r="AK242" s="434"/>
      <c r="AL242" s="434"/>
      <c r="AM242" s="434"/>
      <c r="AN242" s="396"/>
      <c r="AO242" s="396"/>
      <c r="AP242" s="396"/>
      <c r="AQ242" s="396"/>
      <c r="AR242" s="396"/>
      <c r="AS242" s="396"/>
      <c r="AT242" s="396"/>
      <c r="AU242" s="396"/>
      <c r="AV242" s="396"/>
      <c r="AW242" s="396"/>
      <c r="AX242" s="396"/>
      <c r="AY242" s="396"/>
      <c r="AZ242" s="396"/>
      <c r="BA242" s="396"/>
      <c r="BB242" s="396"/>
      <c r="BC242" s="396"/>
      <c r="BD242" s="396"/>
    </row>
    <row r="243" spans="1:56" s="322" customFormat="1" x14ac:dyDescent="0.25">
      <c r="B243" s="398"/>
      <c r="C243" s="398"/>
      <c r="D243" s="398"/>
      <c r="E243" s="398"/>
      <c r="F243" s="398"/>
      <c r="G243" s="398"/>
      <c r="H243" s="398"/>
      <c r="I243" s="398"/>
      <c r="J243" s="398"/>
      <c r="K243" s="398"/>
      <c r="L243" s="398"/>
      <c r="M243" s="398"/>
      <c r="N243" s="394"/>
      <c r="AB243" s="432"/>
      <c r="AC243" s="432"/>
      <c r="AD243" s="158"/>
      <c r="AE243" s="158"/>
      <c r="AF243" s="434"/>
      <c r="AG243" s="434"/>
      <c r="AH243" s="434"/>
      <c r="AI243" s="434"/>
      <c r="AJ243" s="434"/>
      <c r="AK243" s="434"/>
      <c r="AL243" s="434"/>
      <c r="AM243" s="434"/>
      <c r="AN243" s="396"/>
      <c r="AO243" s="396"/>
      <c r="AP243" s="396"/>
      <c r="AQ243" s="396"/>
      <c r="AR243" s="396"/>
      <c r="AS243" s="396"/>
      <c r="AT243" s="396"/>
      <c r="AU243" s="396"/>
      <c r="AV243" s="396"/>
      <c r="AW243" s="396"/>
      <c r="AX243" s="396"/>
      <c r="AY243" s="396"/>
      <c r="AZ243" s="396"/>
      <c r="BA243" s="396"/>
      <c r="BB243" s="396"/>
      <c r="BC243" s="396"/>
      <c r="BD243" s="396"/>
    </row>
    <row r="244" spans="1:56" s="322" customFormat="1" x14ac:dyDescent="0.25">
      <c r="B244" s="398"/>
      <c r="C244" s="398"/>
      <c r="D244" s="398"/>
      <c r="E244" s="398"/>
      <c r="F244" s="398"/>
      <c r="G244" s="398"/>
      <c r="H244" s="398"/>
      <c r="I244" s="398"/>
      <c r="J244" s="398"/>
      <c r="K244" s="398"/>
      <c r="L244" s="398"/>
      <c r="M244" s="398"/>
      <c r="N244" s="394"/>
      <c r="AB244" s="432"/>
      <c r="AC244" s="432"/>
      <c r="AD244" s="158"/>
      <c r="AE244" s="158"/>
      <c r="AF244" s="434"/>
      <c r="AG244" s="434"/>
      <c r="AH244" s="434"/>
      <c r="AI244" s="434"/>
      <c r="AJ244" s="434"/>
      <c r="AK244" s="434"/>
      <c r="AL244" s="434"/>
      <c r="AM244" s="434"/>
      <c r="AN244" s="396"/>
      <c r="AO244" s="396"/>
      <c r="AP244" s="396"/>
      <c r="AQ244" s="396"/>
      <c r="AR244" s="396"/>
      <c r="AS244" s="396"/>
      <c r="AT244" s="396"/>
      <c r="AU244" s="396"/>
      <c r="AV244" s="396"/>
      <c r="AW244" s="396"/>
      <c r="AX244" s="396"/>
      <c r="AY244" s="396"/>
      <c r="AZ244" s="396"/>
      <c r="BA244" s="396"/>
      <c r="BB244" s="396"/>
      <c r="BC244" s="396"/>
      <c r="BD244" s="396"/>
    </row>
    <row r="245" spans="1:56" x14ac:dyDescent="0.25">
      <c r="B245" s="317"/>
      <c r="C245" s="317"/>
      <c r="D245" s="317"/>
      <c r="E245" s="317"/>
      <c r="F245" s="317"/>
      <c r="G245" s="317"/>
      <c r="H245" s="317"/>
      <c r="I245" s="317"/>
      <c r="J245" s="317"/>
      <c r="K245" s="317"/>
      <c r="L245" s="317"/>
      <c r="M245" s="317"/>
      <c r="AB245" s="432"/>
      <c r="AC245" s="432"/>
      <c r="AF245" s="434"/>
      <c r="AG245" s="434"/>
      <c r="AH245" s="434"/>
      <c r="AI245" s="434"/>
      <c r="AJ245" s="434"/>
      <c r="AK245" s="434"/>
      <c r="AL245" s="434"/>
      <c r="AM245" s="434"/>
      <c r="AN245" s="187"/>
      <c r="AO245" s="187"/>
      <c r="AP245" s="187"/>
      <c r="AQ245" s="187"/>
      <c r="AR245" s="187"/>
      <c r="AS245" s="187"/>
      <c r="AT245" s="187"/>
      <c r="AU245" s="187"/>
      <c r="AV245" s="187"/>
      <c r="AW245" s="187"/>
      <c r="AX245" s="187"/>
      <c r="AY245" s="187"/>
      <c r="AZ245" s="187"/>
      <c r="BA245" s="187"/>
      <c r="BB245" s="187"/>
      <c r="BC245" s="187"/>
      <c r="BD245" s="187"/>
    </row>
    <row r="246" spans="1:56" ht="15.75" x14ac:dyDescent="0.25">
      <c r="A246" s="450">
        <v>6</v>
      </c>
      <c r="B246" s="35" t="s">
        <v>778</v>
      </c>
      <c r="C246" s="36"/>
      <c r="D246" s="36"/>
      <c r="E246" s="36"/>
      <c r="F246" s="8"/>
      <c r="G246" s="8"/>
      <c r="H246" s="8"/>
      <c r="I246" s="8"/>
      <c r="J246" s="8"/>
      <c r="K246" s="8"/>
      <c r="L246" s="8"/>
      <c r="M246" s="38"/>
      <c r="AB246" s="432"/>
      <c r="AC246" s="432"/>
      <c r="AF246" s="434"/>
      <c r="AG246" s="434"/>
      <c r="AH246" s="434"/>
      <c r="AI246" s="434"/>
      <c r="AJ246" s="434"/>
      <c r="AK246" s="434"/>
      <c r="AL246" s="434"/>
      <c r="AM246" s="434"/>
    </row>
    <row r="247" spans="1:56" ht="32.1" customHeight="1" x14ac:dyDescent="0.25">
      <c r="A247" s="451"/>
      <c r="B247" s="454" t="str">
        <f>IF(F3="","Average weekly gross rent (£ per week) and units","Average weekly gross rent (£ per week) and units for "&amp;$F$3&amp;", "&amp;$B$48&amp; " and England")</f>
        <v>Average weekly gross rent (£ per week) and units</v>
      </c>
      <c r="C247" s="455"/>
      <c r="D247" s="456"/>
      <c r="E247" s="456"/>
      <c r="F247" s="456"/>
      <c r="G247" s="456"/>
      <c r="H247" s="456"/>
      <c r="I247" s="456"/>
      <c r="J247" s="456"/>
      <c r="K247" s="316"/>
      <c r="L247" s="316"/>
      <c r="M247" s="39"/>
      <c r="AB247" s="432"/>
      <c r="AC247" s="432"/>
      <c r="AF247" s="434"/>
      <c r="AG247" s="434"/>
      <c r="AH247" s="434"/>
      <c r="AI247" s="434"/>
      <c r="AJ247" s="434"/>
      <c r="AK247" s="434"/>
      <c r="AL247" s="434"/>
      <c r="AM247" s="434"/>
    </row>
    <row r="248" spans="1:56" x14ac:dyDescent="0.25">
      <c r="B248" s="339" t="str">
        <f>IF(F3="","Average weekly Affordable Rent supported housing/housing for older people gross rent (£ per week)","Average weekly Affordable Rent supported housing/housing for older people gross rent (£ per week) for "&amp;$F$3&amp;", "&amp;$B$48&amp; " and England")</f>
        <v>Average weekly Affordable Rent supported housing/housing for older people gross rent (£ per week)</v>
      </c>
      <c r="C248" s="386"/>
      <c r="D248" s="65"/>
      <c r="E248" s="65"/>
      <c r="F248" s="65"/>
      <c r="G248" s="65"/>
      <c r="H248" s="65"/>
      <c r="I248" s="65"/>
      <c r="J248" s="65"/>
      <c r="K248" s="320"/>
      <c r="L248" s="320"/>
      <c r="M248" s="66"/>
      <c r="AB248" s="432"/>
      <c r="AC248" s="432"/>
      <c r="AF248" s="434"/>
      <c r="AG248" s="434"/>
      <c r="AH248" s="434"/>
      <c r="AI248" s="434"/>
      <c r="AJ248" s="434"/>
      <c r="AK248" s="434"/>
      <c r="AL248" s="434"/>
      <c r="AM248" s="434"/>
    </row>
    <row r="249" spans="1:56" x14ac:dyDescent="0.25">
      <c r="B249" s="53"/>
      <c r="C249" s="386"/>
      <c r="D249" s="331" t="s">
        <v>801</v>
      </c>
      <c r="E249" s="54">
        <v>2015</v>
      </c>
      <c r="F249" s="54">
        <v>2016</v>
      </c>
      <c r="G249" s="54">
        <v>2017</v>
      </c>
      <c r="H249" s="54">
        <v>2018</v>
      </c>
      <c r="I249" s="54">
        <v>2019</v>
      </c>
      <c r="J249" s="54">
        <v>2020</v>
      </c>
      <c r="K249" s="54">
        <v>2021</v>
      </c>
      <c r="L249" s="54">
        <v>2022</v>
      </c>
      <c r="M249" s="55">
        <v>2023</v>
      </c>
      <c r="AB249" s="432"/>
      <c r="AC249" s="432"/>
      <c r="AF249" s="434"/>
      <c r="AG249" s="434"/>
      <c r="AH249" s="434"/>
      <c r="AI249" s="434"/>
      <c r="AJ249" s="434"/>
      <c r="AK249" s="434"/>
      <c r="AL249" s="434"/>
      <c r="AM249" s="434"/>
    </row>
    <row r="250" spans="1:56" x14ac:dyDescent="0.25">
      <c r="B250" s="56">
        <f>$F$3</f>
        <v>0</v>
      </c>
      <c r="C250" s="57"/>
      <c r="D250" s="57"/>
      <c r="E250" s="241"/>
      <c r="F250" s="241"/>
      <c r="G250" s="241"/>
      <c r="H250" s="241"/>
      <c r="I250" s="241"/>
      <c r="J250" s="241"/>
      <c r="K250" s="241"/>
      <c r="L250" s="241"/>
      <c r="M250" s="242"/>
      <c r="AB250" s="432"/>
      <c r="AC250" s="432"/>
      <c r="AF250" s="434"/>
      <c r="AG250" s="434"/>
      <c r="AH250" s="434"/>
      <c r="AI250" s="434"/>
      <c r="AJ250" s="434"/>
      <c r="AK250" s="434"/>
      <c r="AL250" s="434"/>
      <c r="AM250" s="434"/>
    </row>
    <row r="251" spans="1:56" x14ac:dyDescent="0.25">
      <c r="B251" s="220" t="s">
        <v>24</v>
      </c>
      <c r="C251" s="221"/>
      <c r="D251" s="221"/>
      <c r="E251" s="369" t="str">
        <f>IFERROR(VLOOKUP($F$3,Y_1,22,0),"")</f>
        <v/>
      </c>
      <c r="F251" s="369" t="str">
        <f>IFERROR(VLOOKUP($F$3,Y_2,22,0),"")</f>
        <v/>
      </c>
      <c r="G251" s="369" t="str">
        <f>IFERROR(VLOOKUP($F$3,Y_3,22,0),"")</f>
        <v/>
      </c>
      <c r="H251" s="369" t="str">
        <f>IFERROR(VLOOKUP($F$3,Y_4,22,0),"")</f>
        <v/>
      </c>
      <c r="I251" s="369" t="str">
        <f>IFERROR(VLOOKUP($F$3,Y_5,22,0),"")</f>
        <v/>
      </c>
      <c r="J251" s="369" t="str">
        <f>IFERROR(VLOOKUP($F$3,Y_6,22,0),"")</f>
        <v/>
      </c>
      <c r="K251" s="369" t="str">
        <f>IFERROR(VLOOKUP($F$3,Y_7,22,0),"")</f>
        <v/>
      </c>
      <c r="L251" s="369" t="str">
        <f>IFERROR(VLOOKUP($F$3,Y_8,22,0),"")</f>
        <v/>
      </c>
      <c r="M251" s="370" t="str">
        <f>IFERROR(VLOOKUP($F$3,Y_9,22,0),"")</f>
        <v/>
      </c>
      <c r="AB251" s="432"/>
      <c r="AC251" s="432"/>
      <c r="AF251" s="434"/>
      <c r="AG251" s="434"/>
      <c r="AH251" s="434"/>
      <c r="AI251" s="434"/>
      <c r="AJ251" s="434"/>
      <c r="AK251" s="434"/>
      <c r="AL251" s="434"/>
      <c r="AM251" s="434"/>
    </row>
    <row r="252" spans="1:56" x14ac:dyDescent="0.25">
      <c r="B252" s="223" t="s">
        <v>21</v>
      </c>
      <c r="C252" s="224"/>
      <c r="D252" s="224"/>
      <c r="E252" s="249" t="str">
        <f>IFERROR(VLOOKUP($F$3,Y_1,23,0),"")</f>
        <v/>
      </c>
      <c r="F252" s="249" t="str">
        <f>IFERROR(VLOOKUP($F$3,Y_2,23,0),"")</f>
        <v/>
      </c>
      <c r="G252" s="249" t="str">
        <f>IFERROR(VLOOKUP($F$3,Y_3,23,0),"")</f>
        <v/>
      </c>
      <c r="H252" s="249" t="str">
        <f>IFERROR(VLOOKUP($F$3,Y_4,23,0),"")</f>
        <v/>
      </c>
      <c r="I252" s="249" t="str">
        <f>IFERROR(VLOOKUP($F$3,Y_5,23,0),"")</f>
        <v/>
      </c>
      <c r="J252" s="249" t="str">
        <f>IFERROR(VLOOKUP($F$3,Y_6,23,0),"")</f>
        <v/>
      </c>
      <c r="K252" s="249" t="str">
        <f>IFERROR(VLOOKUP($F$3,Y_7,23,0),"")</f>
        <v/>
      </c>
      <c r="L252" s="249" t="str">
        <f>IFERROR(VLOOKUP($F$3,Y_8,23,0),"")</f>
        <v/>
      </c>
      <c r="M252" s="250" t="str">
        <f>IFERROR(VLOOKUP($F$3,Y_9,23,0),"")</f>
        <v/>
      </c>
      <c r="AB252" s="432"/>
      <c r="AC252" s="432"/>
      <c r="AF252" s="434"/>
      <c r="AG252" s="434"/>
      <c r="AH252" s="434"/>
      <c r="AI252" s="434"/>
      <c r="AJ252" s="434"/>
      <c r="AK252" s="434"/>
      <c r="AL252" s="434"/>
      <c r="AM252" s="434"/>
    </row>
    <row r="253" spans="1:56" x14ac:dyDescent="0.25">
      <c r="B253" s="56" t="str">
        <f>$B$48</f>
        <v/>
      </c>
      <c r="C253" s="57"/>
      <c r="D253" s="57"/>
      <c r="E253" s="241"/>
      <c r="F253" s="241"/>
      <c r="G253" s="241"/>
      <c r="H253" s="241"/>
      <c r="I253" s="241"/>
      <c r="J253" s="241"/>
      <c r="K253" s="241"/>
      <c r="L253" s="241"/>
      <c r="M253" s="242"/>
      <c r="AB253" s="432"/>
      <c r="AC253" s="432"/>
      <c r="AF253" s="434"/>
      <c r="AG253" s="434"/>
      <c r="AH253" s="434"/>
      <c r="AI253" s="434"/>
      <c r="AJ253" s="434"/>
      <c r="AK253" s="434"/>
      <c r="AL253" s="434"/>
      <c r="AM253" s="434"/>
    </row>
    <row r="254" spans="1:56" x14ac:dyDescent="0.25">
      <c r="B254" s="220" t="s">
        <v>24</v>
      </c>
      <c r="C254" s="221"/>
      <c r="D254" s="221"/>
      <c r="E254" s="243" t="str">
        <f>IFERROR(VLOOKUP($F$4,Y_1,22,0),"")</f>
        <v/>
      </c>
      <c r="F254" s="243" t="str">
        <f>IFERROR(VLOOKUP($F$4,Y_2,22,0),"")</f>
        <v/>
      </c>
      <c r="G254" s="243" t="str">
        <f>IFERROR(VLOOKUP($F$4,Y_3,22,0),"")</f>
        <v/>
      </c>
      <c r="H254" s="243" t="str">
        <f>IFERROR(VLOOKUP($F$4,Y_4,22,0),"")</f>
        <v/>
      </c>
      <c r="I254" s="243" t="str">
        <f>IFERROR(VLOOKUP($F$4,Y_5,22,0),"")</f>
        <v/>
      </c>
      <c r="J254" s="243" t="str">
        <f>IFERROR(VLOOKUP($F$4,Y_6,22,0),"")</f>
        <v/>
      </c>
      <c r="K254" s="243" t="str">
        <f>IFERROR(VLOOKUP($F$4,Y_7,22,0),"")</f>
        <v/>
      </c>
      <c r="L254" s="243" t="str">
        <f>IFERROR(VLOOKUP($F$4,Y_8,22,0),"")</f>
        <v/>
      </c>
      <c r="M254" s="244" t="str">
        <f>IFERROR(VLOOKUP($F$4,Y_9,22,0),"")</f>
        <v/>
      </c>
      <c r="AB254" s="432"/>
      <c r="AC254" s="432"/>
      <c r="AF254" s="434"/>
      <c r="AG254" s="434"/>
      <c r="AH254" s="434"/>
      <c r="AI254" s="434"/>
      <c r="AJ254" s="434"/>
      <c r="AK254" s="434"/>
      <c r="AL254" s="434"/>
      <c r="AM254" s="434"/>
    </row>
    <row r="255" spans="1:56" x14ac:dyDescent="0.25">
      <c r="B255" s="223" t="s">
        <v>21</v>
      </c>
      <c r="C255" s="224"/>
      <c r="D255" s="224"/>
      <c r="E255" s="249" t="str">
        <f>IFERROR(VLOOKUP($F$4,Y_1,23,0),"")</f>
        <v/>
      </c>
      <c r="F255" s="249" t="str">
        <f>IFERROR(VLOOKUP($F$4,Y_2,23,0),"")</f>
        <v/>
      </c>
      <c r="G255" s="249" t="str">
        <f>IFERROR(VLOOKUP($F$4,Y_3,23,0),"")</f>
        <v/>
      </c>
      <c r="H255" s="249" t="str">
        <f>IFERROR(VLOOKUP($F$4,Y_4,23,0),"")</f>
        <v/>
      </c>
      <c r="I255" s="249" t="str">
        <f>IFERROR(VLOOKUP($F$4,Y_5,23,0),"")</f>
        <v/>
      </c>
      <c r="J255" s="249" t="str">
        <f>IFERROR(VLOOKUP($F$4,Y_6,23,0),"")</f>
        <v/>
      </c>
      <c r="K255" s="249" t="str">
        <f>IFERROR(VLOOKUP($F$4,Y_7,23,0),"")</f>
        <v/>
      </c>
      <c r="L255" s="249" t="str">
        <f>IFERROR(VLOOKUP($F$4,Y_8,23,0),"")</f>
        <v/>
      </c>
      <c r="M255" s="250" t="str">
        <f>IFERROR(VLOOKUP($F$4,Y_9,23,0),"")</f>
        <v/>
      </c>
      <c r="AB255" s="432"/>
      <c r="AC255" s="432"/>
      <c r="AF255" s="434"/>
      <c r="AG255" s="434"/>
      <c r="AH255" s="434"/>
      <c r="AI255" s="434"/>
      <c r="AJ255" s="434"/>
      <c r="AK255" s="434"/>
      <c r="AL255" s="434"/>
      <c r="AM255" s="434"/>
    </row>
    <row r="256" spans="1:56" x14ac:dyDescent="0.25">
      <c r="B256" s="56" t="s">
        <v>13</v>
      </c>
      <c r="C256" s="57"/>
      <c r="D256" s="57"/>
      <c r="E256" s="241"/>
      <c r="F256" s="241"/>
      <c r="G256" s="241"/>
      <c r="H256" s="241"/>
      <c r="I256" s="241"/>
      <c r="J256" s="241"/>
      <c r="K256" s="241"/>
      <c r="L256" s="241"/>
      <c r="M256" s="242"/>
      <c r="AB256" s="432"/>
      <c r="AC256" s="432"/>
      <c r="AF256" s="434"/>
      <c r="AG256" s="434"/>
      <c r="AH256" s="434"/>
      <c r="AI256" s="434"/>
      <c r="AJ256" s="434"/>
      <c r="AK256" s="434"/>
      <c r="AL256" s="434"/>
      <c r="AM256" s="434"/>
    </row>
    <row r="257" spans="1:56" x14ac:dyDescent="0.25">
      <c r="B257" s="220" t="s">
        <v>24</v>
      </c>
      <c r="C257" s="221"/>
      <c r="D257" s="221"/>
      <c r="E257" s="243">
        <f>IF($F$4&lt;&gt;"",VLOOKUP($B$49,Y_1,22,0),"")</f>
        <v>146.38999999999999</v>
      </c>
      <c r="F257" s="243">
        <f>IF($F$4&lt;&gt;"",VLOOKUP($B$49,Y_2,22,0),"")</f>
        <v>154.62</v>
      </c>
      <c r="G257" s="243">
        <f>IF($F$4&lt;&gt;"",VLOOKUP($B$49,Y_3,22,0),"")</f>
        <v>163.69999999999999</v>
      </c>
      <c r="H257" s="243">
        <f>IF($F$4&lt;&gt;"",VLOOKUP($B$49,Y_4,22,0),"")</f>
        <v>166.43</v>
      </c>
      <c r="I257" s="243">
        <f>IF($F$4&lt;&gt;"",VLOOKUP($B$49,Y_5,22,0),"")</f>
        <v>169.93</v>
      </c>
      <c r="J257" s="243">
        <f>IF($F$4&lt;&gt;"",VLOOKUP($B$49,Y_6,22,0),"")</f>
        <v>172.58</v>
      </c>
      <c r="K257" s="243">
        <f>IF($F$4&lt;&gt;"",VLOOKUP($B$49,Y_7,22,0),"")</f>
        <v>176.5</v>
      </c>
      <c r="L257" s="243">
        <f>IF($F$4&lt;&gt;"",VLOOKUP($B$49,Y_8,22,0),"")</f>
        <v>181.29</v>
      </c>
      <c r="M257" s="244">
        <f>IF($F$4&lt;&gt;"",VLOOKUP($B$49,Y_9,22,0),"")</f>
        <v>193.03</v>
      </c>
      <c r="AB257" s="432"/>
      <c r="AC257" s="432"/>
      <c r="AF257" s="434"/>
      <c r="AG257" s="434"/>
      <c r="AH257" s="434"/>
      <c r="AI257" s="434"/>
      <c r="AJ257" s="434"/>
      <c r="AK257" s="434"/>
      <c r="AL257" s="434"/>
      <c r="AM257" s="434"/>
    </row>
    <row r="258" spans="1:56" x14ac:dyDescent="0.25">
      <c r="B258" s="223" t="s">
        <v>21</v>
      </c>
      <c r="C258" s="224"/>
      <c r="D258" s="224"/>
      <c r="E258" s="249">
        <f>IF($F$4&lt;&gt;"",VLOOKUP($B$49,Y_1,23,0),"")</f>
        <v>5976</v>
      </c>
      <c r="F258" s="249">
        <f>IF($F$4&lt;&gt;"",VLOOKUP($B$49,Y_2,23,0),"")</f>
        <v>9582</v>
      </c>
      <c r="G258" s="249">
        <f>IF($F$4&lt;&gt;"",VLOOKUP($B$49,Y_3,23,0),"")</f>
        <v>10633</v>
      </c>
      <c r="H258" s="249">
        <f>IF($F$4&lt;&gt;"",VLOOKUP($B$49,Y_4,23,0),"")</f>
        <v>12354</v>
      </c>
      <c r="I258" s="249">
        <f>IF($F$4&lt;&gt;"",VLOOKUP($B$49,Y_5,23,0),"")</f>
        <v>13668</v>
      </c>
      <c r="J258" s="249">
        <f>IF($F$4&lt;&gt;"",VLOOKUP($B$49,Y_6,23,0),"")</f>
        <v>14553</v>
      </c>
      <c r="K258" s="249">
        <f>IF($F$4&lt;&gt;"",VLOOKUP($B$49,Y_7,23,0),"")</f>
        <v>16901</v>
      </c>
      <c r="L258" s="249">
        <f>IF($F$4&lt;&gt;"",VLOOKUP($B$49,Y_8,23,0),"")</f>
        <v>14731</v>
      </c>
      <c r="M258" s="250">
        <f>IF($F$4&lt;&gt;"",VLOOKUP($B$49,Y_9,23,0),"")</f>
        <v>15683</v>
      </c>
      <c r="AB258" s="432"/>
      <c r="AC258" s="432"/>
      <c r="AF258" s="434"/>
      <c r="AG258" s="434"/>
      <c r="AH258" s="434"/>
      <c r="AI258" s="434"/>
      <c r="AJ258" s="434"/>
      <c r="AK258" s="434"/>
      <c r="AL258" s="434"/>
      <c r="AM258" s="434"/>
    </row>
    <row r="259" spans="1:56" x14ac:dyDescent="0.25">
      <c r="B259" s="31"/>
      <c r="C259" s="32"/>
      <c r="D259" s="32"/>
      <c r="E259" s="32"/>
      <c r="F259" s="32"/>
      <c r="G259" s="32"/>
      <c r="H259" s="32"/>
      <c r="I259" s="32"/>
      <c r="J259" s="32"/>
      <c r="K259" s="32"/>
      <c r="L259" s="32"/>
      <c r="M259" s="48"/>
      <c r="AB259" s="432"/>
      <c r="AC259" s="432"/>
      <c r="AF259" s="434"/>
      <c r="AG259" s="434"/>
      <c r="AH259" s="434"/>
      <c r="AI259" s="434"/>
      <c r="AJ259" s="434"/>
      <c r="AK259" s="434"/>
      <c r="AL259" s="434"/>
      <c r="AM259" s="434"/>
    </row>
    <row r="260" spans="1:56" x14ac:dyDescent="0.25">
      <c r="B260" s="46" t="s">
        <v>805</v>
      </c>
      <c r="C260" s="47"/>
      <c r="D260" s="47"/>
      <c r="E260" s="47"/>
      <c r="M260" s="49"/>
      <c r="AB260" s="432"/>
      <c r="AC260" s="432"/>
      <c r="AF260" s="434"/>
      <c r="AG260" s="434"/>
      <c r="AH260" s="434"/>
      <c r="AI260" s="434"/>
      <c r="AJ260" s="434"/>
      <c r="AK260" s="434"/>
      <c r="AL260" s="434"/>
      <c r="AM260" s="434"/>
    </row>
    <row r="261" spans="1:56" x14ac:dyDescent="0.25">
      <c r="B261" s="33"/>
      <c r="C261" s="34"/>
      <c r="D261" s="34"/>
      <c r="E261" s="34"/>
      <c r="F261" s="34"/>
      <c r="G261" s="34"/>
      <c r="H261" s="34"/>
      <c r="I261" s="34"/>
      <c r="J261" s="34"/>
      <c r="K261" s="34"/>
      <c r="L261" s="34"/>
      <c r="M261" s="64"/>
      <c r="AB261" s="432"/>
      <c r="AC261" s="432"/>
      <c r="AF261" s="434"/>
      <c r="AG261" s="434"/>
      <c r="AH261" s="434"/>
      <c r="AI261" s="434"/>
      <c r="AJ261" s="434"/>
      <c r="AK261" s="434"/>
      <c r="AL261" s="434"/>
      <c r="AM261" s="434"/>
    </row>
    <row r="262" spans="1:56" x14ac:dyDescent="0.25">
      <c r="B262" s="317"/>
      <c r="C262" s="317"/>
      <c r="D262" s="317"/>
      <c r="E262" s="317"/>
      <c r="F262" s="317"/>
      <c r="G262" s="317"/>
      <c r="H262" s="317"/>
      <c r="I262" s="317"/>
      <c r="J262" s="317"/>
      <c r="K262" s="317"/>
      <c r="L262" s="317"/>
      <c r="M262" s="317"/>
      <c r="AB262" s="432"/>
      <c r="AC262" s="432"/>
      <c r="AF262" s="434"/>
      <c r="AG262" s="434"/>
      <c r="AH262" s="434"/>
      <c r="AI262" s="434"/>
      <c r="AJ262" s="434"/>
      <c r="AK262" s="434"/>
      <c r="AL262" s="434"/>
      <c r="AM262" s="434"/>
      <c r="AW262" s="187"/>
      <c r="AX262" s="187"/>
      <c r="AY262" s="187"/>
      <c r="AZ262" s="187"/>
      <c r="BA262" s="187"/>
      <c r="BB262" s="187"/>
      <c r="BC262" s="187"/>
      <c r="BD262" s="187"/>
    </row>
    <row r="263" spans="1:56" s="322" customFormat="1" x14ac:dyDescent="0.25">
      <c r="A263" s="441">
        <v>7</v>
      </c>
      <c r="B263" s="398"/>
      <c r="C263" s="398"/>
      <c r="D263" s="398"/>
      <c r="E263" s="398"/>
      <c r="F263" s="398"/>
      <c r="G263" s="398"/>
      <c r="H263" s="398"/>
      <c r="I263" s="398"/>
      <c r="J263" s="398"/>
      <c r="K263" s="398"/>
      <c r="L263" s="398"/>
      <c r="M263" s="398"/>
      <c r="N263" s="394"/>
      <c r="AB263" s="432"/>
      <c r="AC263" s="432"/>
      <c r="AD263" s="158"/>
      <c r="AE263" s="158"/>
      <c r="AF263" s="434"/>
      <c r="AG263" s="434"/>
      <c r="AH263" s="434"/>
      <c r="AI263" s="434"/>
      <c r="AJ263" s="434"/>
      <c r="AK263" s="434"/>
      <c r="AL263" s="434"/>
      <c r="AM263" s="434"/>
      <c r="AN263" s="396"/>
      <c r="AO263" s="396"/>
      <c r="AP263" s="396"/>
      <c r="AQ263" s="396"/>
      <c r="AR263" s="396"/>
      <c r="AS263" s="396"/>
      <c r="AT263" s="396"/>
      <c r="AU263" s="396"/>
      <c r="AV263" s="396"/>
      <c r="AW263" s="396"/>
      <c r="AX263" s="396"/>
      <c r="AY263" s="396"/>
      <c r="AZ263" s="396"/>
      <c r="BA263" s="396"/>
      <c r="BB263" s="396"/>
      <c r="BC263" s="396"/>
      <c r="BD263" s="396"/>
    </row>
    <row r="264" spans="1:56" s="322" customFormat="1" x14ac:dyDescent="0.25">
      <c r="A264" s="442"/>
      <c r="B264" s="398"/>
      <c r="C264" s="398"/>
      <c r="D264" s="398"/>
      <c r="E264" s="398"/>
      <c r="F264" s="398"/>
      <c r="G264" s="398"/>
      <c r="H264" s="398"/>
      <c r="I264" s="398"/>
      <c r="J264" s="398"/>
      <c r="K264" s="398"/>
      <c r="L264" s="398"/>
      <c r="M264" s="398"/>
      <c r="N264" s="394"/>
      <c r="AB264" s="432"/>
      <c r="AC264" s="432"/>
      <c r="AD264" s="158"/>
      <c r="AE264" s="158"/>
      <c r="AF264" s="434"/>
      <c r="AG264" s="434"/>
      <c r="AH264" s="434"/>
      <c r="AI264" s="434"/>
      <c r="AJ264" s="434"/>
      <c r="AK264" s="434"/>
      <c r="AL264" s="434"/>
      <c r="AM264" s="434"/>
      <c r="AN264" s="396"/>
      <c r="AO264" s="396"/>
      <c r="AP264" s="396"/>
      <c r="AQ264" s="396"/>
      <c r="AR264" s="396"/>
      <c r="AS264" s="396"/>
      <c r="AT264" s="396"/>
      <c r="AU264" s="396"/>
      <c r="AV264" s="396"/>
      <c r="AW264" s="396"/>
      <c r="AX264" s="396"/>
      <c r="AY264" s="396"/>
      <c r="AZ264" s="396"/>
      <c r="BA264" s="396"/>
      <c r="BB264" s="396"/>
      <c r="BC264" s="396"/>
      <c r="BD264" s="396"/>
    </row>
    <row r="265" spans="1:56" s="322" customFormat="1" x14ac:dyDescent="0.25">
      <c r="B265" s="398"/>
      <c r="C265" s="398"/>
      <c r="D265" s="398"/>
      <c r="E265" s="398"/>
      <c r="F265" s="398"/>
      <c r="G265" s="398"/>
      <c r="H265" s="398"/>
      <c r="I265" s="398"/>
      <c r="J265" s="398"/>
      <c r="K265" s="398"/>
      <c r="L265" s="398"/>
      <c r="M265" s="398"/>
      <c r="N265" s="394"/>
      <c r="AB265" s="432"/>
      <c r="AC265" s="432"/>
      <c r="AD265" s="158"/>
      <c r="AE265" s="158"/>
      <c r="AF265" s="434"/>
      <c r="AG265" s="434"/>
      <c r="AH265" s="434"/>
      <c r="AI265" s="434"/>
      <c r="AJ265" s="434"/>
      <c r="AK265" s="434"/>
      <c r="AL265" s="434"/>
      <c r="AM265" s="434"/>
      <c r="AN265" s="396"/>
      <c r="AO265" s="396"/>
      <c r="AP265" s="396"/>
      <c r="AQ265" s="396"/>
      <c r="AR265" s="396"/>
      <c r="AS265" s="396"/>
      <c r="AT265" s="396"/>
      <c r="AU265" s="396"/>
      <c r="AV265" s="396"/>
      <c r="AW265" s="396"/>
      <c r="AX265" s="396"/>
      <c r="AY265" s="396"/>
      <c r="AZ265" s="396"/>
      <c r="BA265" s="396"/>
      <c r="BB265" s="396"/>
      <c r="BC265" s="396"/>
      <c r="BD265" s="396"/>
    </row>
    <row r="266" spans="1:56" s="322" customFormat="1" x14ac:dyDescent="0.25">
      <c r="B266" s="398"/>
      <c r="C266" s="398"/>
      <c r="D266" s="398"/>
      <c r="E266" s="398"/>
      <c r="F266" s="398"/>
      <c r="G266" s="398"/>
      <c r="H266" s="398"/>
      <c r="I266" s="398"/>
      <c r="J266" s="398"/>
      <c r="K266" s="398"/>
      <c r="L266" s="398"/>
      <c r="M266" s="398"/>
      <c r="N266" s="394"/>
      <c r="AB266" s="432"/>
      <c r="AC266" s="432"/>
      <c r="AD266" s="158"/>
      <c r="AE266" s="158"/>
      <c r="AF266" s="434"/>
      <c r="AG266" s="434"/>
      <c r="AH266" s="434"/>
      <c r="AI266" s="434"/>
      <c r="AJ266" s="434"/>
      <c r="AK266" s="434"/>
      <c r="AL266" s="434"/>
      <c r="AM266" s="434"/>
      <c r="AN266" s="396"/>
      <c r="AO266" s="396"/>
      <c r="AP266" s="396"/>
      <c r="AQ266" s="396"/>
      <c r="AR266" s="396"/>
      <c r="AS266" s="396"/>
      <c r="AT266" s="396"/>
      <c r="AU266" s="396"/>
      <c r="AV266" s="396"/>
      <c r="AW266" s="396"/>
      <c r="AX266" s="396"/>
      <c r="AY266" s="396"/>
      <c r="AZ266" s="396"/>
      <c r="BA266" s="396"/>
      <c r="BB266" s="396"/>
      <c r="BC266" s="396"/>
      <c r="BD266" s="396"/>
    </row>
    <row r="267" spans="1:56" s="322" customFormat="1" x14ac:dyDescent="0.25">
      <c r="B267" s="398"/>
      <c r="C267" s="398"/>
      <c r="D267" s="398"/>
      <c r="E267" s="398"/>
      <c r="F267" s="398"/>
      <c r="G267" s="398"/>
      <c r="H267" s="398"/>
      <c r="I267" s="398"/>
      <c r="J267" s="398"/>
      <c r="K267" s="398"/>
      <c r="L267" s="398"/>
      <c r="M267" s="398"/>
      <c r="N267" s="394"/>
      <c r="AB267" s="432"/>
      <c r="AC267" s="432"/>
      <c r="AD267" s="158"/>
      <c r="AE267" s="158"/>
      <c r="AF267" s="434"/>
      <c r="AG267" s="434"/>
      <c r="AH267" s="434"/>
      <c r="AI267" s="434"/>
      <c r="AJ267" s="434"/>
      <c r="AK267" s="434"/>
      <c r="AL267" s="434"/>
      <c r="AM267" s="434"/>
      <c r="AN267" s="396"/>
      <c r="AO267" s="396"/>
      <c r="AP267" s="396"/>
      <c r="AQ267" s="396"/>
      <c r="AR267" s="396"/>
      <c r="AS267" s="396"/>
      <c r="AT267" s="396"/>
      <c r="AU267" s="396"/>
      <c r="AV267" s="396"/>
      <c r="AW267" s="396"/>
      <c r="AX267" s="396"/>
      <c r="AY267" s="396"/>
      <c r="AZ267" s="396"/>
      <c r="BA267" s="396"/>
      <c r="BB267" s="396"/>
      <c r="BC267" s="396"/>
      <c r="BD267" s="396"/>
    </row>
    <row r="268" spans="1:56" s="322" customFormat="1" x14ac:dyDescent="0.25">
      <c r="B268" s="398"/>
      <c r="C268" s="398"/>
      <c r="D268" s="398"/>
      <c r="E268" s="398"/>
      <c r="F268" s="398"/>
      <c r="G268" s="398"/>
      <c r="H268" s="398"/>
      <c r="I268" s="398"/>
      <c r="J268" s="398"/>
      <c r="K268" s="398"/>
      <c r="L268" s="398"/>
      <c r="M268" s="398"/>
      <c r="N268" s="394"/>
      <c r="AB268" s="432"/>
      <c r="AC268" s="432"/>
      <c r="AD268" s="158"/>
      <c r="AE268" s="158"/>
      <c r="AF268" s="434"/>
      <c r="AG268" s="434"/>
      <c r="AH268" s="434"/>
      <c r="AI268" s="434"/>
      <c r="AJ268" s="434"/>
      <c r="AK268" s="434"/>
      <c r="AL268" s="434"/>
      <c r="AM268" s="434"/>
      <c r="AN268" s="396"/>
      <c r="AO268" s="396"/>
      <c r="AP268" s="396"/>
      <c r="AQ268" s="396"/>
      <c r="AR268" s="396"/>
      <c r="AS268" s="396"/>
      <c r="AT268" s="396"/>
      <c r="AU268" s="396"/>
      <c r="AV268" s="396"/>
      <c r="AW268" s="396"/>
      <c r="AX268" s="396"/>
      <c r="AY268" s="396"/>
      <c r="AZ268" s="396"/>
      <c r="BA268" s="396"/>
      <c r="BB268" s="396"/>
      <c r="BC268" s="396"/>
      <c r="BD268" s="396"/>
    </row>
    <row r="269" spans="1:56" s="322" customFormat="1" x14ac:dyDescent="0.25">
      <c r="B269" s="398"/>
      <c r="C269" s="398"/>
      <c r="D269" s="398"/>
      <c r="E269" s="398"/>
      <c r="F269" s="398"/>
      <c r="G269" s="398"/>
      <c r="H269" s="398"/>
      <c r="I269" s="398"/>
      <c r="J269" s="398"/>
      <c r="K269" s="398"/>
      <c r="L269" s="398"/>
      <c r="M269" s="398"/>
      <c r="N269" s="394"/>
      <c r="AB269" s="432"/>
      <c r="AC269" s="432"/>
      <c r="AD269" s="158"/>
      <c r="AE269" s="158"/>
      <c r="AF269" s="434"/>
      <c r="AG269" s="434"/>
      <c r="AH269" s="434"/>
      <c r="AI269" s="434"/>
      <c r="AJ269" s="434"/>
      <c r="AK269" s="434"/>
      <c r="AL269" s="434"/>
      <c r="AM269" s="434"/>
      <c r="AN269" s="396"/>
      <c r="AO269" s="396"/>
      <c r="AP269" s="396"/>
      <c r="AQ269" s="396"/>
      <c r="AR269" s="396"/>
      <c r="AS269" s="396"/>
      <c r="AT269" s="396"/>
      <c r="AU269" s="396"/>
      <c r="AV269" s="396"/>
      <c r="AW269" s="396"/>
      <c r="AX269" s="396"/>
      <c r="AY269" s="396"/>
      <c r="AZ269" s="396"/>
      <c r="BA269" s="396"/>
      <c r="BB269" s="396"/>
      <c r="BC269" s="396"/>
      <c r="BD269" s="396"/>
    </row>
    <row r="270" spans="1:56" s="322" customFormat="1" x14ac:dyDescent="0.25">
      <c r="B270" s="398"/>
      <c r="C270" s="398"/>
      <c r="D270" s="398"/>
      <c r="E270" s="398"/>
      <c r="F270" s="398"/>
      <c r="G270" s="398"/>
      <c r="H270" s="398"/>
      <c r="I270" s="398"/>
      <c r="J270" s="398"/>
      <c r="K270" s="398"/>
      <c r="L270" s="398"/>
      <c r="M270" s="398"/>
      <c r="N270" s="394"/>
      <c r="AB270" s="432"/>
      <c r="AC270" s="432"/>
      <c r="AD270" s="158"/>
      <c r="AE270" s="158"/>
      <c r="AF270" s="434"/>
      <c r="AG270" s="434"/>
      <c r="AH270" s="434"/>
      <c r="AI270" s="434"/>
      <c r="AJ270" s="434"/>
      <c r="AK270" s="434"/>
      <c r="AL270" s="434"/>
      <c r="AM270" s="434"/>
      <c r="AN270" s="396"/>
      <c r="AO270" s="396"/>
      <c r="AP270" s="396"/>
      <c r="AQ270" s="396"/>
      <c r="AR270" s="396"/>
      <c r="AS270" s="396"/>
      <c r="AT270" s="396"/>
      <c r="AU270" s="396"/>
      <c r="AV270" s="396"/>
      <c r="AW270" s="396"/>
      <c r="AX270" s="396"/>
      <c r="AY270" s="396"/>
      <c r="AZ270" s="396"/>
      <c r="BA270" s="396"/>
      <c r="BB270" s="396"/>
      <c r="BC270" s="396"/>
      <c r="BD270" s="396"/>
    </row>
    <row r="271" spans="1:56" s="322" customFormat="1" x14ac:dyDescent="0.25">
      <c r="B271" s="398"/>
      <c r="C271" s="398"/>
      <c r="D271" s="398"/>
      <c r="E271" s="398"/>
      <c r="F271" s="398"/>
      <c r="G271" s="398"/>
      <c r="H271" s="398"/>
      <c r="I271" s="398"/>
      <c r="J271" s="398"/>
      <c r="K271" s="398"/>
      <c r="L271" s="398"/>
      <c r="M271" s="398"/>
      <c r="N271" s="394"/>
      <c r="Q271" s="399" t="s">
        <v>709</v>
      </c>
      <c r="R271" s="395"/>
      <c r="S271" s="395"/>
      <c r="T271" s="395"/>
      <c r="U271" s="395"/>
      <c r="V271" s="395"/>
      <c r="W271" s="395"/>
      <c r="X271" s="395"/>
      <c r="Y271" s="395"/>
      <c r="Z271" s="395"/>
      <c r="AB271" s="432"/>
      <c r="AC271" s="432"/>
      <c r="AD271" s="158"/>
      <c r="AE271" s="158"/>
      <c r="AF271" s="434"/>
      <c r="AG271" s="434"/>
      <c r="AH271" s="434"/>
      <c r="AI271" s="434"/>
      <c r="AJ271" s="434"/>
      <c r="AK271" s="434"/>
      <c r="AL271" s="434"/>
      <c r="AM271" s="434"/>
      <c r="AN271" s="396"/>
      <c r="AO271" s="396"/>
      <c r="AP271" s="396"/>
      <c r="AQ271" s="396"/>
      <c r="AR271" s="396"/>
      <c r="AS271" s="396"/>
      <c r="AT271" s="396"/>
      <c r="AU271" s="396"/>
      <c r="AV271" s="396"/>
      <c r="AW271" s="396"/>
      <c r="AX271" s="396"/>
      <c r="AY271" s="396"/>
      <c r="AZ271" s="396"/>
      <c r="BA271" s="396"/>
      <c r="BB271" s="396"/>
      <c r="BC271" s="396"/>
      <c r="BD271" s="396"/>
    </row>
    <row r="272" spans="1:56" s="322" customFormat="1" x14ac:dyDescent="0.25">
      <c r="B272" s="398"/>
      <c r="C272" s="398"/>
      <c r="D272" s="398"/>
      <c r="E272" s="398"/>
      <c r="F272" s="398"/>
      <c r="G272" s="398"/>
      <c r="H272" s="398"/>
      <c r="I272" s="398"/>
      <c r="J272" s="398"/>
      <c r="K272" s="398"/>
      <c r="L272" s="398"/>
      <c r="M272" s="398"/>
      <c r="N272" s="394"/>
      <c r="Q272" s="400"/>
      <c r="R272" s="401">
        <v>2015</v>
      </c>
      <c r="S272" s="401">
        <v>2016</v>
      </c>
      <c r="T272" s="402">
        <v>2017</v>
      </c>
      <c r="U272" s="402">
        <v>2018</v>
      </c>
      <c r="V272" s="402">
        <v>2019</v>
      </c>
      <c r="W272" s="402">
        <v>2020</v>
      </c>
      <c r="X272" s="402">
        <v>2021</v>
      </c>
      <c r="Y272" s="402">
        <v>2022</v>
      </c>
      <c r="Z272" s="402">
        <v>2023</v>
      </c>
      <c r="AB272" s="432"/>
      <c r="AC272" s="432"/>
      <c r="AD272" s="158"/>
      <c r="AE272" s="158"/>
      <c r="AF272" s="434"/>
      <c r="AG272" s="434"/>
      <c r="AH272" s="434"/>
      <c r="AI272" s="434"/>
      <c r="AJ272" s="434"/>
      <c r="AK272" s="434"/>
      <c r="AL272" s="434"/>
      <c r="AM272" s="434"/>
      <c r="AN272" s="396"/>
      <c r="AO272" s="396"/>
      <c r="AP272" s="396"/>
      <c r="AQ272" s="396"/>
      <c r="AR272" s="396"/>
      <c r="AS272" s="396"/>
      <c r="AT272" s="396"/>
      <c r="AU272" s="396"/>
      <c r="AV272" s="396"/>
      <c r="AW272" s="396"/>
      <c r="AX272" s="396"/>
      <c r="AY272" s="396"/>
      <c r="AZ272" s="396"/>
      <c r="BA272" s="396"/>
      <c r="BB272" s="396"/>
      <c r="BC272" s="396"/>
      <c r="BD272" s="396"/>
    </row>
    <row r="273" spans="2:56" s="322" customFormat="1" x14ac:dyDescent="0.25">
      <c r="B273" s="398"/>
      <c r="C273" s="398"/>
      <c r="D273" s="398"/>
      <c r="E273" s="398"/>
      <c r="F273" s="398"/>
      <c r="G273" s="398"/>
      <c r="H273" s="398"/>
      <c r="I273" s="398"/>
      <c r="J273" s="398"/>
      <c r="K273" s="398"/>
      <c r="L273" s="398"/>
      <c r="M273" s="398"/>
      <c r="N273" s="394"/>
      <c r="Q273" s="403" t="s">
        <v>26</v>
      </c>
      <c r="R273" s="157" t="e">
        <f>'PRP LA trend tool 2015-23'!$E$294/SUM('PRP LA trend tool 2015-23'!$E$294:$E$298)</f>
        <v>#VALUE!</v>
      </c>
      <c r="S273" s="157" t="e">
        <f>'PRP LA trend tool 2015-23'!$F$294/SUM('PRP LA trend tool 2015-23'!$F$294:$F$298)</f>
        <v>#VALUE!</v>
      </c>
      <c r="T273" s="157" t="e">
        <f>'PRP LA trend tool 2015-23'!$G$294/SUM('PRP LA trend tool 2015-23'!$G$294:$G$298)</f>
        <v>#VALUE!</v>
      </c>
      <c r="U273" s="157" t="e">
        <f>'PRP LA trend tool 2015-23'!$H$294/SUM('PRP LA trend tool 2015-23'!$H$294:$H$298)</f>
        <v>#VALUE!</v>
      </c>
      <c r="V273" s="157" t="e">
        <f>'PRP LA trend tool 2015-23'!$I$294/SUM('PRP LA trend tool 2015-23'!$I$294:$I$298)</f>
        <v>#VALUE!</v>
      </c>
      <c r="W273" s="157" t="e">
        <f>'PRP LA trend tool 2015-23'!$J$294/SUM('PRP LA trend tool 2015-23'!$J$294:$J$298)</f>
        <v>#VALUE!</v>
      </c>
      <c r="X273" s="157" t="e">
        <f>'PRP LA trend tool 2015-23'!$K$294/SUM('PRP LA trend tool 2015-23'!$K$294:$K$298)</f>
        <v>#VALUE!</v>
      </c>
      <c r="Y273" s="157" t="e">
        <f>'PRP LA trend tool 2015-23'!$L$294/SUM('PRP LA trend tool 2015-23'!$L$294:$L$298)</f>
        <v>#VALUE!</v>
      </c>
      <c r="Z273" s="157" t="e">
        <f>'PRP LA trend tool 2015-23'!$M$294/SUM('PRP LA trend tool 2015-23'!$M$294:$M$298)</f>
        <v>#VALUE!</v>
      </c>
      <c r="AB273" s="432"/>
      <c r="AC273" s="432"/>
      <c r="AD273" s="158"/>
      <c r="AE273" s="158"/>
      <c r="AF273" s="434"/>
      <c r="AG273" s="434"/>
      <c r="AH273" s="434"/>
      <c r="AI273" s="434"/>
      <c r="AJ273" s="434"/>
      <c r="AK273" s="434"/>
      <c r="AL273" s="434"/>
      <c r="AM273" s="434"/>
      <c r="AN273" s="396"/>
      <c r="AO273" s="396"/>
      <c r="AP273" s="396"/>
      <c r="AQ273" s="396"/>
      <c r="AR273" s="396"/>
      <c r="AS273" s="396"/>
      <c r="AT273" s="396"/>
      <c r="AU273" s="396"/>
      <c r="AV273" s="396"/>
      <c r="AW273" s="396"/>
      <c r="AX273" s="396"/>
      <c r="AY273" s="396"/>
      <c r="AZ273" s="396"/>
      <c r="BA273" s="396"/>
      <c r="BB273" s="396"/>
      <c r="BC273" s="396"/>
      <c r="BD273" s="396"/>
    </row>
    <row r="274" spans="2:56" s="322" customFormat="1" x14ac:dyDescent="0.25">
      <c r="B274" s="398"/>
      <c r="C274" s="398"/>
      <c r="D274" s="398"/>
      <c r="E274" s="398"/>
      <c r="F274" s="398"/>
      <c r="G274" s="398"/>
      <c r="H274" s="398"/>
      <c r="I274" s="398"/>
      <c r="J274" s="398"/>
      <c r="K274" s="398"/>
      <c r="L274" s="398"/>
      <c r="M274" s="398"/>
      <c r="N274" s="394"/>
      <c r="Q274" s="403" t="s">
        <v>27</v>
      </c>
      <c r="R274" s="157" t="e">
        <f>'PRP LA trend tool 2015-23'!$E$295/SUM('PRP LA trend tool 2015-23'!$E$294:$E$298)</f>
        <v>#VALUE!</v>
      </c>
      <c r="S274" s="157" t="e">
        <f>'PRP LA trend tool 2015-23'!$F$295/SUM('PRP LA trend tool 2015-23'!$F$294:$F$298)</f>
        <v>#VALUE!</v>
      </c>
      <c r="T274" s="157" t="e">
        <f>'PRP LA trend tool 2015-23'!$G$295/SUM('PRP LA trend tool 2015-23'!$G$294:$G$298)</f>
        <v>#VALUE!</v>
      </c>
      <c r="U274" s="157" t="e">
        <f>'PRP LA trend tool 2015-23'!$H$295/SUM('PRP LA trend tool 2015-23'!$H$294:$H$298)</f>
        <v>#VALUE!</v>
      </c>
      <c r="V274" s="157" t="e">
        <f>'PRP LA trend tool 2015-23'!$I$295/SUM('PRP LA trend tool 2015-23'!$I$294:$I$298)</f>
        <v>#VALUE!</v>
      </c>
      <c r="W274" s="157" t="e">
        <f>'PRP LA trend tool 2015-23'!$J$295/SUM('PRP LA trend tool 2015-23'!$J$294:$J$298)</f>
        <v>#VALUE!</v>
      </c>
      <c r="X274" s="157" t="e">
        <f>'PRP LA trend tool 2015-23'!$K$295/SUM('PRP LA trend tool 2015-23'!$K$294:$K$298)</f>
        <v>#VALUE!</v>
      </c>
      <c r="Y274" s="157" t="e">
        <f>'PRP LA trend tool 2015-23'!$L$295/SUM('PRP LA trend tool 2015-23'!$L$294:$L$298)</f>
        <v>#VALUE!</v>
      </c>
      <c r="Z274" s="157" t="e">
        <f>'PRP LA trend tool 2015-23'!$M$295/SUM('PRP LA trend tool 2015-23'!$M$294:$M$298)</f>
        <v>#VALUE!</v>
      </c>
      <c r="AB274" s="432"/>
      <c r="AC274" s="432"/>
      <c r="AD274" s="158"/>
      <c r="AE274" s="158"/>
      <c r="AF274" s="434"/>
      <c r="AG274" s="434"/>
      <c r="AH274" s="434"/>
      <c r="AI274" s="434"/>
      <c r="AJ274" s="434"/>
      <c r="AK274" s="434"/>
      <c r="AL274" s="434"/>
      <c r="AM274" s="434"/>
      <c r="AN274" s="396"/>
      <c r="AO274" s="396"/>
      <c r="AP274" s="396"/>
      <c r="AQ274" s="396"/>
      <c r="AR274" s="396"/>
      <c r="AS274" s="396"/>
      <c r="AT274" s="396"/>
      <c r="AU274" s="396"/>
      <c r="AV274" s="396"/>
      <c r="AW274" s="396"/>
      <c r="AX274" s="396"/>
      <c r="AY274" s="396"/>
      <c r="AZ274" s="396"/>
      <c r="BA274" s="396"/>
      <c r="BB274" s="396"/>
      <c r="BC274" s="396"/>
      <c r="BD274" s="396"/>
    </row>
    <row r="275" spans="2:56" s="322" customFormat="1" x14ac:dyDescent="0.25">
      <c r="B275" s="398"/>
      <c r="C275" s="398"/>
      <c r="D275" s="398"/>
      <c r="E275" s="398"/>
      <c r="F275" s="398"/>
      <c r="G275" s="398"/>
      <c r="H275" s="398"/>
      <c r="I275" s="398"/>
      <c r="J275" s="398"/>
      <c r="K275" s="398"/>
      <c r="L275" s="398"/>
      <c r="M275" s="398"/>
      <c r="N275" s="394"/>
      <c r="Q275" s="403" t="s">
        <v>28</v>
      </c>
      <c r="R275" s="157" t="e">
        <f>'PRP LA trend tool 2015-23'!$E$296/SUM('PRP LA trend tool 2015-23'!$E$294:$E$298)</f>
        <v>#VALUE!</v>
      </c>
      <c r="S275" s="157" t="e">
        <f>'PRP LA trend tool 2015-23'!$F$296/SUM('PRP LA trend tool 2015-23'!$F$294:$F$298)</f>
        <v>#VALUE!</v>
      </c>
      <c r="T275" s="157" t="e">
        <f>'PRP LA trend tool 2015-23'!$G$296/SUM('PRP LA trend tool 2015-23'!$G$294:$G$298)</f>
        <v>#VALUE!</v>
      </c>
      <c r="U275" s="157" t="e">
        <f>'PRP LA trend tool 2015-23'!$H$296/SUM('PRP LA trend tool 2015-23'!$H$294:$H$298)</f>
        <v>#VALUE!</v>
      </c>
      <c r="V275" s="157" t="e">
        <f>'PRP LA trend tool 2015-23'!$I$296/SUM('PRP LA trend tool 2015-23'!$I$294:$I$298)</f>
        <v>#VALUE!</v>
      </c>
      <c r="W275" s="157" t="e">
        <f>'PRP LA trend tool 2015-23'!$J$296/SUM('PRP LA trend tool 2015-23'!$J$294:$J$298)</f>
        <v>#VALUE!</v>
      </c>
      <c r="X275" s="157" t="e">
        <f>'PRP LA trend tool 2015-23'!$K$296/SUM('PRP LA trend tool 2015-23'!$K$294:$K$298)</f>
        <v>#VALUE!</v>
      </c>
      <c r="Y275" s="157" t="e">
        <f>'PRP LA trend tool 2015-23'!$L$296/SUM('PRP LA trend tool 2015-23'!$L$294:$L$298)</f>
        <v>#VALUE!</v>
      </c>
      <c r="Z275" s="157" t="e">
        <f>'PRP LA trend tool 2015-23'!$M$296/SUM('PRP LA trend tool 2015-23'!$M$294:$M$298)</f>
        <v>#VALUE!</v>
      </c>
      <c r="AB275" s="432"/>
      <c r="AC275" s="432"/>
      <c r="AD275" s="158"/>
      <c r="AE275" s="158"/>
      <c r="AF275" s="434"/>
      <c r="AG275" s="434"/>
      <c r="AH275" s="434"/>
      <c r="AI275" s="434"/>
      <c r="AJ275" s="434"/>
      <c r="AK275" s="434"/>
      <c r="AL275" s="434"/>
      <c r="AM275" s="434"/>
      <c r="AN275" s="396"/>
      <c r="AO275" s="396"/>
      <c r="AP275" s="396"/>
      <c r="AQ275" s="396"/>
      <c r="AR275" s="396"/>
      <c r="AS275" s="396"/>
      <c r="AT275" s="396"/>
      <c r="AU275" s="396"/>
      <c r="AV275" s="396"/>
      <c r="AW275" s="396"/>
      <c r="AX275" s="396"/>
      <c r="AY275" s="396"/>
      <c r="AZ275" s="396"/>
      <c r="BA275" s="396"/>
      <c r="BB275" s="396"/>
      <c r="BC275" s="396"/>
      <c r="BD275" s="396"/>
    </row>
    <row r="276" spans="2:56" s="322" customFormat="1" x14ac:dyDescent="0.25">
      <c r="B276" s="398"/>
      <c r="C276" s="398"/>
      <c r="D276" s="398"/>
      <c r="E276" s="398"/>
      <c r="F276" s="398"/>
      <c r="G276" s="398"/>
      <c r="H276" s="398"/>
      <c r="I276" s="398"/>
      <c r="J276" s="398"/>
      <c r="K276" s="398"/>
      <c r="L276" s="398"/>
      <c r="M276" s="398"/>
      <c r="N276" s="394"/>
      <c r="Q276" s="403" t="s">
        <v>818</v>
      </c>
      <c r="R276" s="157" t="e">
        <f>'PRP LA trend tool 2015-23'!$E$297/SUM('PRP LA trend tool 2015-23'!$E$294:$E$298)</f>
        <v>#VALUE!</v>
      </c>
      <c r="S276" s="157" t="e">
        <f>'PRP LA trend tool 2015-23'!$F$297/SUM('PRP LA trend tool 2015-23'!$F$294:$F$298)</f>
        <v>#VALUE!</v>
      </c>
      <c r="T276" s="157" t="e">
        <f>'PRP LA trend tool 2015-23'!$G$297/SUM('PRP LA trend tool 2015-23'!$G$294:$G$298)</f>
        <v>#VALUE!</v>
      </c>
      <c r="U276" s="157" t="e">
        <f>'PRP LA trend tool 2015-23'!$H$297/SUM('PRP LA trend tool 2015-23'!$H$294:$H$298)</f>
        <v>#VALUE!</v>
      </c>
      <c r="V276" s="157" t="e">
        <f>'PRP LA trend tool 2015-23'!$I$297/SUM('PRP LA trend tool 2015-23'!$I$294:$I$298)</f>
        <v>#VALUE!</v>
      </c>
      <c r="W276" s="157" t="e">
        <f>'PRP LA trend tool 2015-23'!$J$297/SUM('PRP LA trend tool 2015-23'!$J$294:$J$298)</f>
        <v>#VALUE!</v>
      </c>
      <c r="X276" s="157" t="e">
        <f>'PRP LA trend tool 2015-23'!$K$297/SUM('PRP LA trend tool 2015-23'!$K$294:$K$298)</f>
        <v>#VALUE!</v>
      </c>
      <c r="Y276" s="157" t="e">
        <f>'PRP LA trend tool 2015-23'!$L$297/SUM('PRP LA trend tool 2015-23'!$L$294:$L$298)</f>
        <v>#VALUE!</v>
      </c>
      <c r="Z276" s="157" t="e">
        <f>'PRP LA trend tool 2015-23'!$M$297/SUM('PRP LA trend tool 2015-23'!$M$294:$M$298)</f>
        <v>#VALUE!</v>
      </c>
      <c r="AB276" s="432"/>
      <c r="AC276" s="432"/>
      <c r="AD276" s="158"/>
      <c r="AE276" s="158"/>
      <c r="AF276" s="434"/>
      <c r="AG276" s="434"/>
      <c r="AH276" s="434"/>
      <c r="AI276" s="434"/>
      <c r="AJ276" s="434"/>
      <c r="AK276" s="434"/>
      <c r="AL276" s="434"/>
      <c r="AM276" s="434"/>
      <c r="AN276" s="396"/>
      <c r="AO276" s="396"/>
      <c r="AP276" s="396"/>
      <c r="AQ276" s="396"/>
      <c r="AR276" s="396"/>
      <c r="AS276" s="396"/>
      <c r="AT276" s="396"/>
      <c r="AU276" s="396"/>
      <c r="AV276" s="396"/>
      <c r="AW276" s="396"/>
      <c r="AX276" s="396"/>
      <c r="AY276" s="396"/>
      <c r="AZ276" s="396"/>
      <c r="BA276" s="396"/>
      <c r="BB276" s="396"/>
      <c r="BC276" s="396"/>
      <c r="BD276" s="396"/>
    </row>
    <row r="277" spans="2:56" s="322" customFormat="1" x14ac:dyDescent="0.25">
      <c r="B277" s="398"/>
      <c r="C277" s="398"/>
      <c r="D277" s="398"/>
      <c r="E277" s="398"/>
      <c r="F277" s="398"/>
      <c r="G277" s="398"/>
      <c r="H277" s="398"/>
      <c r="I277" s="398"/>
      <c r="J277" s="398"/>
      <c r="K277" s="398"/>
      <c r="L277" s="398"/>
      <c r="M277" s="398"/>
      <c r="N277" s="394"/>
      <c r="Q277" s="403" t="s">
        <v>819</v>
      </c>
      <c r="R277" s="157" t="e">
        <f>'PRP LA trend tool 2015-23'!$E$298/SUM('PRP LA trend tool 2015-23'!$E$294:$E$298)</f>
        <v>#VALUE!</v>
      </c>
      <c r="S277" s="157" t="e">
        <f>'PRP LA trend tool 2015-23'!$F$298/SUM('PRP LA trend tool 2015-23'!$F$294:$F$298)</f>
        <v>#VALUE!</v>
      </c>
      <c r="T277" s="157" t="e">
        <f>'PRP LA trend tool 2015-23'!$G$298/SUM('PRP LA trend tool 2015-23'!$G$294:$G$298)</f>
        <v>#VALUE!</v>
      </c>
      <c r="U277" s="157" t="e">
        <f>'PRP LA trend tool 2015-23'!$H$298/SUM('PRP LA trend tool 2015-23'!$H$294:$H$298)</f>
        <v>#VALUE!</v>
      </c>
      <c r="V277" s="157" t="e">
        <f>'PRP LA trend tool 2015-23'!$I$298/SUM('PRP LA trend tool 2015-23'!$I$294:$I$298)</f>
        <v>#VALUE!</v>
      </c>
      <c r="W277" s="157" t="e">
        <f>'PRP LA trend tool 2015-23'!$J$298/SUM('PRP LA trend tool 2015-23'!$J$294:$J$298)</f>
        <v>#VALUE!</v>
      </c>
      <c r="X277" s="157" t="e">
        <f>'PRP LA trend tool 2015-23'!$K$298/SUM('PRP LA trend tool 2015-23'!$K$294:$K$298)</f>
        <v>#VALUE!</v>
      </c>
      <c r="Y277" s="157" t="e">
        <f>'PRP LA trend tool 2015-23'!$L$298/SUM('PRP LA trend tool 2015-23'!$L$294:$L$298)</f>
        <v>#VALUE!</v>
      </c>
      <c r="Z277" s="157" t="e">
        <f>'PRP LA trend tool 2015-23'!$M$298/SUM('PRP LA trend tool 2015-23'!$M$294:$M$298)</f>
        <v>#VALUE!</v>
      </c>
      <c r="AB277" s="432"/>
      <c r="AC277" s="432"/>
      <c r="AD277" s="158"/>
      <c r="AE277" s="158"/>
      <c r="AF277" s="434"/>
      <c r="AG277" s="434"/>
      <c r="AH277" s="434"/>
      <c r="AI277" s="434"/>
      <c r="AJ277" s="434"/>
      <c r="AK277" s="434"/>
      <c r="AL277" s="434"/>
      <c r="AM277" s="434"/>
      <c r="AN277" s="396"/>
      <c r="AO277" s="396"/>
      <c r="AP277" s="396"/>
      <c r="AQ277" s="396"/>
      <c r="AR277" s="396"/>
      <c r="AS277" s="396"/>
      <c r="AT277" s="396"/>
      <c r="AU277" s="396"/>
      <c r="AV277" s="396"/>
      <c r="AW277" s="396"/>
      <c r="AX277" s="396"/>
      <c r="AY277" s="396"/>
      <c r="AZ277" s="396"/>
      <c r="BA277" s="396"/>
      <c r="BB277" s="396"/>
      <c r="BC277" s="396"/>
      <c r="BD277" s="396"/>
    </row>
    <row r="278" spans="2:56" s="322" customFormat="1" x14ac:dyDescent="0.25">
      <c r="B278" s="398"/>
      <c r="C278" s="398"/>
      <c r="D278" s="398"/>
      <c r="E278" s="398"/>
      <c r="F278" s="398"/>
      <c r="G278" s="398"/>
      <c r="H278" s="398"/>
      <c r="I278" s="398"/>
      <c r="J278" s="398"/>
      <c r="K278" s="398"/>
      <c r="L278" s="398"/>
      <c r="M278" s="398"/>
      <c r="N278" s="394"/>
      <c r="Q278" s="403" t="s">
        <v>708</v>
      </c>
      <c r="R278" s="404" t="e">
        <f t="shared" ref="R278:X278" si="12">SUM(R273:R277)</f>
        <v>#VALUE!</v>
      </c>
      <c r="S278" s="404" t="e">
        <f t="shared" si="12"/>
        <v>#VALUE!</v>
      </c>
      <c r="T278" s="404" t="e">
        <f t="shared" si="12"/>
        <v>#VALUE!</v>
      </c>
      <c r="U278" s="404" t="e">
        <f t="shared" si="12"/>
        <v>#VALUE!</v>
      </c>
      <c r="V278" s="404" t="e">
        <f t="shared" si="12"/>
        <v>#VALUE!</v>
      </c>
      <c r="W278" s="404" t="e">
        <f t="shared" si="12"/>
        <v>#VALUE!</v>
      </c>
      <c r="X278" s="404" t="e">
        <f t="shared" si="12"/>
        <v>#VALUE!</v>
      </c>
      <c r="Y278" s="404" t="e">
        <f t="shared" ref="Y278" si="13">SUM(Y273:Y277)</f>
        <v>#VALUE!</v>
      </c>
      <c r="Z278" s="404" t="e">
        <f t="shared" ref="Z278" si="14">SUM(Z273:Z277)</f>
        <v>#VALUE!</v>
      </c>
      <c r="AB278" s="432"/>
      <c r="AC278" s="432"/>
      <c r="AD278" s="158"/>
      <c r="AE278" s="158"/>
      <c r="AF278" s="434"/>
      <c r="AG278" s="434"/>
      <c r="AH278" s="434"/>
      <c r="AI278" s="434"/>
      <c r="AJ278" s="434"/>
      <c r="AK278" s="434"/>
      <c r="AL278" s="434"/>
      <c r="AM278" s="434"/>
      <c r="AN278" s="396"/>
      <c r="AO278" s="396"/>
      <c r="AP278" s="396"/>
      <c r="AQ278" s="396"/>
      <c r="AR278" s="396"/>
      <c r="AS278" s="396"/>
      <c r="AT278" s="396"/>
      <c r="AU278" s="396"/>
      <c r="AV278" s="396"/>
      <c r="AW278" s="396"/>
      <c r="AX278" s="396"/>
      <c r="AY278" s="396"/>
      <c r="AZ278" s="396"/>
      <c r="BA278" s="396"/>
      <c r="BB278" s="396"/>
      <c r="BC278" s="396"/>
      <c r="BD278" s="396"/>
    </row>
    <row r="279" spans="2:56" s="322" customFormat="1" x14ac:dyDescent="0.25">
      <c r="B279" s="398"/>
      <c r="C279" s="398"/>
      <c r="D279" s="398"/>
      <c r="E279" s="398"/>
      <c r="F279" s="398"/>
      <c r="G279" s="398"/>
      <c r="H279" s="398"/>
      <c r="I279" s="398"/>
      <c r="J279" s="398"/>
      <c r="K279" s="398"/>
      <c r="L279" s="398"/>
      <c r="M279" s="398"/>
      <c r="N279" s="394"/>
      <c r="AB279" s="432"/>
      <c r="AC279" s="432"/>
      <c r="AD279" s="158"/>
      <c r="AE279" s="158"/>
      <c r="AF279" s="434"/>
      <c r="AG279" s="434"/>
      <c r="AH279" s="434"/>
      <c r="AI279" s="434"/>
      <c r="AJ279" s="434"/>
      <c r="AK279" s="434"/>
      <c r="AL279" s="434"/>
      <c r="AM279" s="434"/>
      <c r="AN279" s="396"/>
      <c r="AO279" s="396"/>
      <c r="AP279" s="396"/>
      <c r="AQ279" s="396"/>
      <c r="AR279" s="396"/>
      <c r="AS279" s="396"/>
      <c r="AT279" s="396"/>
      <c r="AU279" s="396"/>
      <c r="AV279" s="396"/>
      <c r="AW279" s="396"/>
      <c r="AX279" s="396"/>
      <c r="AY279" s="396"/>
      <c r="AZ279" s="396"/>
      <c r="BA279" s="396"/>
      <c r="BB279" s="396"/>
      <c r="BC279" s="396"/>
      <c r="BD279" s="396"/>
    </row>
    <row r="280" spans="2:56" s="322" customFormat="1" x14ac:dyDescent="0.25">
      <c r="B280" s="398"/>
      <c r="C280" s="398"/>
      <c r="D280" s="398"/>
      <c r="E280" s="398"/>
      <c r="F280" s="398"/>
      <c r="G280" s="398"/>
      <c r="H280" s="398"/>
      <c r="I280" s="398"/>
      <c r="J280" s="398"/>
      <c r="K280" s="398"/>
      <c r="L280" s="398"/>
      <c r="M280" s="398"/>
      <c r="N280" s="394"/>
      <c r="AB280" s="432"/>
      <c r="AC280" s="432"/>
      <c r="AD280" s="158"/>
      <c r="AE280" s="158"/>
      <c r="AF280" s="434"/>
      <c r="AG280" s="434"/>
      <c r="AH280" s="434"/>
      <c r="AI280" s="434"/>
      <c r="AJ280" s="434"/>
      <c r="AK280" s="434"/>
      <c r="AL280" s="434"/>
      <c r="AM280" s="434"/>
      <c r="AN280" s="396"/>
      <c r="AO280" s="396"/>
      <c r="AP280" s="396"/>
      <c r="AQ280" s="396"/>
      <c r="AR280" s="396"/>
      <c r="AS280" s="396"/>
      <c r="AT280" s="396"/>
      <c r="AU280" s="396"/>
      <c r="AV280" s="396"/>
      <c r="AW280" s="396"/>
      <c r="AX280" s="396"/>
      <c r="AY280" s="396"/>
      <c r="AZ280" s="396"/>
      <c r="BA280" s="396"/>
      <c r="BB280" s="396"/>
      <c r="BC280" s="396"/>
      <c r="BD280" s="396"/>
    </row>
    <row r="281" spans="2:56" s="322" customFormat="1" x14ac:dyDescent="0.25">
      <c r="B281" s="398"/>
      <c r="C281" s="398"/>
      <c r="D281" s="398"/>
      <c r="E281" s="398"/>
      <c r="F281" s="398"/>
      <c r="G281" s="398"/>
      <c r="H281" s="398"/>
      <c r="I281" s="398"/>
      <c r="J281" s="398"/>
      <c r="K281" s="398"/>
      <c r="L281" s="398"/>
      <c r="M281" s="398"/>
      <c r="N281" s="394"/>
      <c r="AB281" s="432"/>
      <c r="AC281" s="432"/>
      <c r="AD281" s="158"/>
      <c r="AE281" s="158"/>
      <c r="AF281" s="434"/>
      <c r="AG281" s="434"/>
      <c r="AH281" s="434"/>
      <c r="AI281" s="434"/>
      <c r="AJ281" s="434"/>
      <c r="AK281" s="434"/>
      <c r="AL281" s="434"/>
      <c r="AM281" s="434"/>
      <c r="AN281" s="396"/>
      <c r="AO281" s="396"/>
      <c r="AP281" s="396"/>
      <c r="AQ281" s="396"/>
      <c r="AR281" s="396"/>
      <c r="AS281" s="396"/>
      <c r="AT281" s="396"/>
      <c r="AU281" s="396"/>
      <c r="AV281" s="396"/>
      <c r="AW281" s="396"/>
      <c r="AX281" s="396"/>
      <c r="AY281" s="396"/>
      <c r="AZ281" s="396"/>
      <c r="BA281" s="396"/>
      <c r="BB281" s="396"/>
      <c r="BC281" s="396"/>
      <c r="BD281" s="396"/>
    </row>
    <row r="282" spans="2:56" s="322" customFormat="1" x14ac:dyDescent="0.25">
      <c r="B282" s="398"/>
      <c r="C282" s="398"/>
      <c r="D282" s="398"/>
      <c r="E282" s="398"/>
      <c r="F282" s="398"/>
      <c r="G282" s="398"/>
      <c r="H282" s="398"/>
      <c r="I282" s="398"/>
      <c r="J282" s="398"/>
      <c r="K282" s="398"/>
      <c r="L282" s="398"/>
      <c r="M282" s="398"/>
      <c r="N282" s="394"/>
      <c r="AB282" s="432"/>
      <c r="AC282" s="432"/>
      <c r="AD282" s="158"/>
      <c r="AE282" s="158"/>
      <c r="AF282" s="434"/>
      <c r="AG282" s="434"/>
      <c r="AH282" s="434"/>
      <c r="AI282" s="434"/>
      <c r="AJ282" s="434"/>
      <c r="AK282" s="434"/>
      <c r="AL282" s="434"/>
      <c r="AM282" s="434"/>
      <c r="AN282" s="396"/>
      <c r="AO282" s="396"/>
      <c r="AP282" s="396"/>
      <c r="AQ282" s="396"/>
      <c r="AR282" s="396"/>
      <c r="AS282" s="396"/>
      <c r="AT282" s="396"/>
      <c r="AU282" s="396"/>
      <c r="AV282" s="396"/>
      <c r="AW282" s="396"/>
      <c r="AX282" s="396"/>
      <c r="AY282" s="396"/>
      <c r="AZ282" s="396"/>
      <c r="BA282" s="396"/>
      <c r="BB282" s="396"/>
      <c r="BC282" s="396"/>
      <c r="BD282" s="396"/>
    </row>
    <row r="283" spans="2:56" s="322" customFormat="1" x14ac:dyDescent="0.25">
      <c r="B283" s="398"/>
      <c r="C283" s="398"/>
      <c r="D283" s="398"/>
      <c r="E283" s="398"/>
      <c r="F283" s="398"/>
      <c r="G283" s="398"/>
      <c r="H283" s="398"/>
      <c r="I283" s="398"/>
      <c r="J283" s="398"/>
      <c r="K283" s="398"/>
      <c r="L283" s="398"/>
      <c r="M283" s="398"/>
      <c r="N283" s="394"/>
      <c r="AB283" s="432"/>
      <c r="AC283" s="432"/>
      <c r="AD283" s="158"/>
      <c r="AE283" s="158"/>
      <c r="AF283" s="434"/>
      <c r="AG283" s="434"/>
      <c r="AH283" s="434"/>
      <c r="AI283" s="434"/>
      <c r="AJ283" s="434"/>
      <c r="AK283" s="434"/>
      <c r="AL283" s="434"/>
      <c r="AM283" s="434"/>
      <c r="AN283" s="396"/>
      <c r="AO283" s="396"/>
      <c r="AP283" s="396"/>
      <c r="AQ283" s="396"/>
      <c r="AR283" s="396"/>
      <c r="AS283" s="396"/>
      <c r="AT283" s="396"/>
      <c r="AU283" s="396"/>
      <c r="AV283" s="396"/>
      <c r="AW283" s="396"/>
      <c r="AX283" s="396"/>
      <c r="AY283" s="396"/>
      <c r="AZ283" s="396"/>
      <c r="BA283" s="396"/>
      <c r="BB283" s="396"/>
      <c r="BC283" s="396"/>
      <c r="BD283" s="396"/>
    </row>
    <row r="284" spans="2:56" s="322" customFormat="1" x14ac:dyDescent="0.25">
      <c r="B284" s="398"/>
      <c r="C284" s="398"/>
      <c r="D284" s="398"/>
      <c r="E284" s="398"/>
      <c r="F284" s="398"/>
      <c r="G284" s="398"/>
      <c r="H284" s="398"/>
      <c r="I284" s="398"/>
      <c r="J284" s="398"/>
      <c r="K284" s="398"/>
      <c r="L284" s="398"/>
      <c r="M284" s="398"/>
      <c r="N284" s="394"/>
      <c r="AB284" s="432"/>
      <c r="AC284" s="432"/>
      <c r="AD284" s="158"/>
      <c r="AE284" s="158"/>
      <c r="AF284" s="434"/>
      <c r="AG284" s="434"/>
      <c r="AH284" s="434"/>
      <c r="AI284" s="434"/>
      <c r="AJ284" s="434"/>
      <c r="AK284" s="434"/>
      <c r="AL284" s="434"/>
      <c r="AM284" s="434"/>
      <c r="AN284" s="396"/>
      <c r="AO284" s="396"/>
      <c r="AP284" s="396"/>
      <c r="AQ284" s="396"/>
      <c r="AR284" s="396"/>
      <c r="AS284" s="396"/>
      <c r="AT284" s="396"/>
      <c r="AU284" s="396"/>
      <c r="AV284" s="396"/>
      <c r="AW284" s="396"/>
      <c r="AX284" s="396"/>
      <c r="AY284" s="396"/>
      <c r="AZ284" s="396"/>
      <c r="BA284" s="396"/>
      <c r="BB284" s="396"/>
      <c r="BC284" s="396"/>
      <c r="BD284" s="396"/>
    </row>
    <row r="285" spans="2:56" s="322" customFormat="1" x14ac:dyDescent="0.25">
      <c r="B285" s="398"/>
      <c r="C285" s="398"/>
      <c r="D285" s="398"/>
      <c r="E285" s="398"/>
      <c r="F285" s="398"/>
      <c r="G285" s="398"/>
      <c r="H285" s="398"/>
      <c r="I285" s="398"/>
      <c r="J285" s="398"/>
      <c r="K285" s="398"/>
      <c r="L285" s="398"/>
      <c r="M285" s="398"/>
      <c r="N285" s="394"/>
      <c r="AB285" s="432"/>
      <c r="AC285" s="432"/>
      <c r="AD285" s="158"/>
      <c r="AE285" s="158"/>
      <c r="AF285" s="434"/>
      <c r="AG285" s="434"/>
      <c r="AH285" s="434"/>
      <c r="AI285" s="434"/>
      <c r="AJ285" s="434"/>
      <c r="AK285" s="434"/>
      <c r="AL285" s="434"/>
      <c r="AM285" s="434"/>
      <c r="AN285" s="396"/>
      <c r="AO285" s="396"/>
      <c r="AP285" s="396"/>
      <c r="AQ285" s="396"/>
      <c r="AR285" s="396"/>
      <c r="AS285" s="396"/>
      <c r="AT285" s="396"/>
      <c r="AU285" s="396"/>
      <c r="AV285" s="396"/>
      <c r="AW285" s="396"/>
      <c r="AX285" s="396"/>
      <c r="AY285" s="396"/>
      <c r="AZ285" s="396"/>
      <c r="BA285" s="396"/>
      <c r="BB285" s="396"/>
      <c r="BC285" s="396"/>
      <c r="BD285" s="396"/>
    </row>
    <row r="286" spans="2:56" s="322" customFormat="1" x14ac:dyDescent="0.25">
      <c r="B286" s="398"/>
      <c r="C286" s="398"/>
      <c r="D286" s="398"/>
      <c r="E286" s="398"/>
      <c r="F286" s="398"/>
      <c r="G286" s="398"/>
      <c r="H286" s="398"/>
      <c r="I286" s="398"/>
      <c r="J286" s="398"/>
      <c r="K286" s="398"/>
      <c r="L286" s="398"/>
      <c r="M286" s="398"/>
      <c r="N286" s="394"/>
      <c r="AB286" s="432"/>
      <c r="AC286" s="432"/>
      <c r="AD286" s="158"/>
      <c r="AE286" s="158"/>
      <c r="AF286" s="434"/>
      <c r="AG286" s="434"/>
      <c r="AH286" s="434"/>
      <c r="AI286" s="434"/>
      <c r="AJ286" s="434"/>
      <c r="AK286" s="434"/>
      <c r="AL286" s="434"/>
      <c r="AM286" s="434"/>
      <c r="AN286" s="396"/>
      <c r="AO286" s="396"/>
      <c r="AP286" s="396"/>
      <c r="AQ286" s="396"/>
      <c r="AR286" s="396"/>
      <c r="AS286" s="396"/>
      <c r="AT286" s="396"/>
      <c r="AU286" s="396"/>
      <c r="AV286" s="396"/>
      <c r="AW286" s="396"/>
      <c r="AX286" s="396"/>
      <c r="AY286" s="396"/>
      <c r="AZ286" s="396"/>
      <c r="BA286" s="396"/>
      <c r="BB286" s="396"/>
      <c r="BC286" s="396"/>
      <c r="BD286" s="396"/>
    </row>
    <row r="287" spans="2:56" s="322" customFormat="1" x14ac:dyDescent="0.25">
      <c r="N287" s="394"/>
      <c r="AB287" s="432"/>
      <c r="AC287" s="432"/>
      <c r="AD287" s="158"/>
      <c r="AE287" s="158"/>
      <c r="AF287" s="434"/>
      <c r="AG287" s="434"/>
      <c r="AH287" s="434"/>
      <c r="AI287" s="434"/>
      <c r="AJ287" s="434"/>
      <c r="AK287" s="434"/>
      <c r="AL287" s="434"/>
      <c r="AM287" s="434"/>
      <c r="AN287" s="396"/>
      <c r="AO287" s="396"/>
      <c r="AP287" s="396"/>
      <c r="AQ287" s="396"/>
      <c r="AR287" s="396"/>
      <c r="AS287" s="396"/>
      <c r="AT287" s="396"/>
      <c r="AU287" s="396"/>
      <c r="AV287" s="396"/>
      <c r="AW287" s="396"/>
      <c r="AX287" s="396"/>
      <c r="AY287" s="396"/>
      <c r="AZ287" s="396"/>
      <c r="BA287" s="396"/>
      <c r="BB287" s="396"/>
      <c r="BC287" s="396"/>
      <c r="BD287" s="396"/>
    </row>
    <row r="288" spans="2:56" s="322" customFormat="1" x14ac:dyDescent="0.25">
      <c r="N288" s="394"/>
      <c r="AB288" s="432"/>
      <c r="AC288" s="432"/>
      <c r="AD288" s="158"/>
      <c r="AE288" s="158"/>
      <c r="AF288" s="434"/>
      <c r="AG288" s="434"/>
      <c r="AH288" s="434"/>
      <c r="AI288" s="434"/>
      <c r="AJ288" s="434"/>
      <c r="AK288" s="434"/>
      <c r="AL288" s="434"/>
      <c r="AM288" s="434"/>
      <c r="AN288" s="396"/>
      <c r="AO288" s="396"/>
      <c r="AP288" s="396"/>
      <c r="AQ288" s="396"/>
      <c r="AR288" s="396"/>
      <c r="AS288" s="396"/>
      <c r="AT288" s="396"/>
      <c r="AU288" s="396"/>
      <c r="AV288" s="396"/>
      <c r="AW288" s="396"/>
      <c r="AX288" s="396"/>
      <c r="AY288" s="396"/>
      <c r="AZ288" s="396"/>
      <c r="BA288" s="396"/>
      <c r="BB288" s="396"/>
      <c r="BC288" s="396"/>
      <c r="BD288" s="396"/>
    </row>
    <row r="289" spans="1:56" x14ac:dyDescent="0.25">
      <c r="AB289" s="432"/>
      <c r="AC289" s="432"/>
      <c r="AF289" s="434"/>
      <c r="AG289" s="434"/>
      <c r="AH289" s="434"/>
      <c r="AI289" s="434"/>
      <c r="AJ289" s="434"/>
      <c r="AK289" s="434"/>
      <c r="AL289" s="434"/>
      <c r="AM289" s="434"/>
      <c r="AN289" s="187"/>
      <c r="AO289" s="187"/>
      <c r="AP289" s="187"/>
      <c r="AQ289" s="187"/>
      <c r="AR289" s="187"/>
      <c r="AS289" s="187"/>
      <c r="AT289" s="187"/>
      <c r="AU289" s="187"/>
      <c r="AV289" s="187"/>
      <c r="AW289" s="187"/>
      <c r="AX289" s="187"/>
      <c r="AY289" s="187"/>
      <c r="AZ289" s="187"/>
      <c r="BA289" s="187"/>
      <c r="BB289" s="187"/>
      <c r="BC289" s="187"/>
      <c r="BD289" s="187"/>
    </row>
    <row r="290" spans="1:56" ht="15.75" x14ac:dyDescent="0.25">
      <c r="A290" s="450">
        <v>7</v>
      </c>
      <c r="B290" s="6" t="s">
        <v>791</v>
      </c>
      <c r="C290" s="7"/>
      <c r="D290" s="7"/>
      <c r="E290" s="19"/>
      <c r="F290" s="19"/>
      <c r="G290" s="19"/>
      <c r="H290" s="67"/>
      <c r="I290" s="67"/>
      <c r="J290" s="67"/>
      <c r="K290" s="67"/>
      <c r="L290" s="67"/>
      <c r="M290" s="68"/>
      <c r="AB290" s="432"/>
      <c r="AC290" s="432"/>
      <c r="AF290" s="434"/>
      <c r="AG290" s="434"/>
      <c r="AH290" s="434"/>
      <c r="AI290" s="434"/>
      <c r="AJ290" s="434"/>
      <c r="AK290" s="434"/>
      <c r="AL290" s="434"/>
      <c r="AM290" s="434"/>
    </row>
    <row r="291" spans="1:56" ht="32.1" customHeight="1" x14ac:dyDescent="0.25">
      <c r="A291" s="451"/>
      <c r="B291" s="412" t="str">
        <f>IF(F3="","",$F$3&amp;", "&amp;$B$48&amp;" and England")</f>
        <v/>
      </c>
      <c r="C291" s="411"/>
      <c r="D291" s="11"/>
      <c r="E291" s="11"/>
      <c r="F291" s="11"/>
      <c r="G291" s="11"/>
      <c r="H291" s="11"/>
      <c r="I291" s="11"/>
      <c r="J291" s="11"/>
      <c r="K291" s="341" t="str">
        <f>IF(F3="","Percentage of sales per year by type for large PRPs","Percentage of sales per year by type for large PRPs in "&amp;$F$3)</f>
        <v>Percentage of sales per year by type for large PRPs</v>
      </c>
      <c r="L291" s="341"/>
      <c r="M291" s="39"/>
      <c r="AB291" s="432"/>
      <c r="AC291" s="432"/>
      <c r="AF291" s="434"/>
      <c r="AG291" s="434"/>
      <c r="AH291" s="434"/>
      <c r="AI291" s="434"/>
      <c r="AJ291" s="434"/>
      <c r="AK291" s="434"/>
      <c r="AL291" s="434"/>
      <c r="AM291" s="434"/>
    </row>
    <row r="292" spans="1:56" x14ac:dyDescent="0.25">
      <c r="B292" s="69"/>
      <c r="C292" s="387"/>
      <c r="D292" s="340" t="s">
        <v>801</v>
      </c>
      <c r="E292" s="70">
        <v>2015</v>
      </c>
      <c r="F292" s="70">
        <v>2016</v>
      </c>
      <c r="G292" s="70">
        <v>2017</v>
      </c>
      <c r="H292" s="70">
        <v>2018</v>
      </c>
      <c r="I292" s="70">
        <v>2019</v>
      </c>
      <c r="J292" s="70">
        <v>2020</v>
      </c>
      <c r="K292" s="70">
        <v>2021</v>
      </c>
      <c r="L292" s="70">
        <v>2022</v>
      </c>
      <c r="M292" s="71">
        <v>2023</v>
      </c>
      <c r="AB292" s="432"/>
      <c r="AC292" s="432"/>
      <c r="AF292" s="434"/>
      <c r="AG292" s="434"/>
      <c r="AH292" s="434"/>
      <c r="AI292" s="434"/>
      <c r="AJ292" s="434"/>
      <c r="AK292" s="434"/>
      <c r="AL292" s="434"/>
      <c r="AM292" s="434"/>
    </row>
    <row r="293" spans="1:56" x14ac:dyDescent="0.25">
      <c r="B293" s="72">
        <f>$F$3</f>
        <v>0</v>
      </c>
      <c r="C293" s="384"/>
      <c r="D293" s="30"/>
      <c r="E293" s="241"/>
      <c r="F293" s="241"/>
      <c r="G293" s="241"/>
      <c r="H293" s="241"/>
      <c r="I293" s="241"/>
      <c r="J293" s="241"/>
      <c r="K293" s="241"/>
      <c r="L293" s="241"/>
      <c r="M293" s="242"/>
      <c r="AB293" s="432"/>
      <c r="AC293" s="432"/>
      <c r="AF293" s="434"/>
      <c r="AG293" s="434"/>
      <c r="AH293" s="434"/>
      <c r="AI293" s="434"/>
      <c r="AJ293" s="434"/>
      <c r="AK293" s="434"/>
      <c r="AL293" s="434"/>
      <c r="AM293" s="434"/>
    </row>
    <row r="294" spans="1:56" x14ac:dyDescent="0.25">
      <c r="B294" s="251" t="s">
        <v>26</v>
      </c>
      <c r="C294" s="252"/>
      <c r="D294" s="252"/>
      <c r="E294" s="73" t="str">
        <f>IFERROR(VLOOKUP($F$3,Y_1,24,0),"")</f>
        <v/>
      </c>
      <c r="F294" s="73" t="str">
        <f>IFERROR(VLOOKUP($F$3,Y_2,24,0),"")</f>
        <v/>
      </c>
      <c r="G294" s="73" t="str">
        <f>IFERROR(VLOOKUP($F$3,Y_3,24,0),"")</f>
        <v/>
      </c>
      <c r="H294" s="73" t="str">
        <f>IFERROR(VLOOKUP($F$3,Y_4,24,0),"")</f>
        <v/>
      </c>
      <c r="I294" s="73" t="str">
        <f>IFERROR(VLOOKUP($F$3,Y_5,24,0),"")</f>
        <v/>
      </c>
      <c r="J294" s="73" t="str">
        <f>IFERROR(VLOOKUP($F$3,Y_6,24,0),"")</f>
        <v/>
      </c>
      <c r="K294" s="73" t="str">
        <f>IFERROR(VLOOKUP($F$3,Y_7,24,0),"")</f>
        <v/>
      </c>
      <c r="L294" s="73" t="str">
        <f>IFERROR(VLOOKUP($F$3,Y_8,24,0),"")</f>
        <v/>
      </c>
      <c r="M294" s="74" t="str">
        <f>IFERROR(VLOOKUP($F$3,Y_9,24,0),"")</f>
        <v/>
      </c>
      <c r="AB294" s="432"/>
      <c r="AC294" s="432"/>
      <c r="AF294" s="434"/>
      <c r="AG294" s="434"/>
      <c r="AH294" s="434"/>
      <c r="AI294" s="434"/>
      <c r="AJ294" s="434"/>
      <c r="AK294" s="434"/>
      <c r="AL294" s="434"/>
      <c r="AM294" s="434"/>
    </row>
    <row r="295" spans="1:56" x14ac:dyDescent="0.25">
      <c r="B295" s="164" t="s">
        <v>27</v>
      </c>
      <c r="C295" s="379"/>
      <c r="D295" s="165"/>
      <c r="E295" s="75" t="str">
        <f>IFERROR(VLOOKUP($F$3,Y_1,25,0),"")</f>
        <v/>
      </c>
      <c r="F295" s="75" t="str">
        <f>IFERROR(VLOOKUP($F$3,Y_2,25,0),"")</f>
        <v/>
      </c>
      <c r="G295" s="75" t="str">
        <f>IFERROR(VLOOKUP($F$3,Y_3,25,0),"")</f>
        <v/>
      </c>
      <c r="H295" s="75" t="str">
        <f>IFERROR(VLOOKUP($F$3,Y_4,25,0),"")</f>
        <v/>
      </c>
      <c r="I295" s="75" t="str">
        <f>IFERROR(VLOOKUP($F$3,Y_5,25,0),"")</f>
        <v/>
      </c>
      <c r="J295" s="75" t="str">
        <f>IFERROR(VLOOKUP($F$3,Y_6,25,0),"")</f>
        <v/>
      </c>
      <c r="K295" s="75" t="str">
        <f>IFERROR(VLOOKUP($F$3,Y_7,25,0),"")</f>
        <v/>
      </c>
      <c r="L295" s="75" t="str">
        <f>IFERROR(VLOOKUP($F$3,Y_8,25,0),"")</f>
        <v/>
      </c>
      <c r="M295" s="76" t="str">
        <f>IFERROR(VLOOKUP($F$3,Y_9,25,0),"")</f>
        <v/>
      </c>
      <c r="AB295" s="432"/>
      <c r="AC295" s="432"/>
      <c r="AF295" s="434"/>
      <c r="AG295" s="434"/>
      <c r="AH295" s="434"/>
      <c r="AI295" s="434"/>
      <c r="AJ295" s="434"/>
      <c r="AK295" s="434"/>
      <c r="AL295" s="434"/>
      <c r="AM295" s="434"/>
    </row>
    <row r="296" spans="1:56" x14ac:dyDescent="0.25">
      <c r="B296" s="164" t="s">
        <v>28</v>
      </c>
      <c r="C296" s="379"/>
      <c r="D296" s="165"/>
      <c r="E296" s="75" t="str">
        <f>IFERROR(VLOOKUP($F$3,Y_1,26,0),"")</f>
        <v/>
      </c>
      <c r="F296" s="75" t="str">
        <f>IFERROR(VLOOKUP($F$3,Y_2,26,0),"")</f>
        <v/>
      </c>
      <c r="G296" s="75" t="str">
        <f>IFERROR(VLOOKUP($F$3,Y_3,26,0),"")</f>
        <v/>
      </c>
      <c r="H296" s="75" t="str">
        <f>IFERROR(VLOOKUP($F$3,Y_4,26,0),"")</f>
        <v/>
      </c>
      <c r="I296" s="75" t="str">
        <f>IFERROR(VLOOKUP($F$3,Y_5,26,0),"")</f>
        <v/>
      </c>
      <c r="J296" s="75" t="str">
        <f>IFERROR(VLOOKUP($F$3,Y_6,26,0),"")</f>
        <v/>
      </c>
      <c r="K296" s="75" t="str">
        <f>IFERROR(VLOOKUP($F$3,Y_7,26,0),"")</f>
        <v/>
      </c>
      <c r="L296" s="75" t="str">
        <f>IFERROR(VLOOKUP($F$3,Y_8,26,0),"")</f>
        <v/>
      </c>
      <c r="M296" s="76" t="str">
        <f>IFERROR(VLOOKUP($F$3,Y_9,26,0),"")</f>
        <v/>
      </c>
      <c r="AB296" s="432"/>
      <c r="AC296" s="432"/>
      <c r="AF296" s="434"/>
      <c r="AG296" s="434"/>
      <c r="AH296" s="434"/>
      <c r="AI296" s="434"/>
      <c r="AJ296" s="434"/>
      <c r="AK296" s="434"/>
      <c r="AL296" s="434"/>
      <c r="AM296" s="434"/>
    </row>
    <row r="297" spans="1:56" x14ac:dyDescent="0.25">
      <c r="B297" s="164" t="s">
        <v>818</v>
      </c>
      <c r="C297" s="379"/>
      <c r="D297" s="165"/>
      <c r="E297" s="75" t="str">
        <f>IFERROR(VLOOKUP($F$3,Y_1,27,0),"")</f>
        <v/>
      </c>
      <c r="F297" s="75" t="str">
        <f>IFERROR(VLOOKUP($F$3,Y_2,27,0),"")</f>
        <v/>
      </c>
      <c r="G297" s="75" t="str">
        <f>IFERROR(VLOOKUP($F$3,Y_3,27,0),"")</f>
        <v/>
      </c>
      <c r="H297" s="75" t="str">
        <f>IFERROR(VLOOKUP($F$3,Y_4,27,0),"")</f>
        <v/>
      </c>
      <c r="I297" s="75" t="str">
        <f>IFERROR(VLOOKUP($F$3,Y_5,27,0),"")</f>
        <v/>
      </c>
      <c r="J297" s="75" t="str">
        <f>IFERROR(VLOOKUP($F$3,Y_6,27,0),"")</f>
        <v/>
      </c>
      <c r="K297" s="75" t="str">
        <f>IFERROR(VLOOKUP($F$3,Y_7,27,0),"")</f>
        <v/>
      </c>
      <c r="L297" s="75" t="str">
        <f>IFERROR(VLOOKUP($F$3,Y_8,27,0),"")</f>
        <v/>
      </c>
      <c r="M297" s="76" t="str">
        <f>IFERROR(VLOOKUP($F$3,Y_9,27,0),"")</f>
        <v/>
      </c>
      <c r="AB297" s="432"/>
      <c r="AC297" s="432"/>
      <c r="AF297" s="434"/>
      <c r="AG297" s="434"/>
      <c r="AH297" s="434"/>
      <c r="AI297" s="434"/>
      <c r="AJ297" s="434"/>
      <c r="AK297" s="434"/>
      <c r="AL297" s="434"/>
      <c r="AM297" s="434"/>
    </row>
    <row r="298" spans="1:56" x14ac:dyDescent="0.25">
      <c r="B298" s="253" t="s">
        <v>819</v>
      </c>
      <c r="C298" s="254"/>
      <c r="D298" s="254"/>
      <c r="E298" s="77" t="str">
        <f>IFERROR(VLOOKUP($F$3,Y_1,28,0),"")</f>
        <v/>
      </c>
      <c r="F298" s="77" t="str">
        <f>IFERROR(VLOOKUP($F$3,Y_2,28,0),"")</f>
        <v/>
      </c>
      <c r="G298" s="77" t="str">
        <f>IFERROR(VLOOKUP($F$3,Y_3,28,0),"")</f>
        <v/>
      </c>
      <c r="H298" s="77" t="str">
        <f>IFERROR(VLOOKUP($F$3,Y_4,28,0),"")</f>
        <v/>
      </c>
      <c r="I298" s="77" t="str">
        <f>IFERROR(VLOOKUP($F$3,Y_5,28,0),"")</f>
        <v/>
      </c>
      <c r="J298" s="77" t="str">
        <f>IFERROR(VLOOKUP($F$3,Y_6,28,0),"")</f>
        <v/>
      </c>
      <c r="K298" s="77" t="str">
        <f>IFERROR(VLOOKUP($F$3,Y_7,28,0),"")</f>
        <v/>
      </c>
      <c r="L298" s="77" t="str">
        <f>IFERROR(VLOOKUP($F$3,Y_8,28,0),"")</f>
        <v/>
      </c>
      <c r="M298" s="78" t="str">
        <f>IFERROR(VLOOKUP($F$3,Y_9,28,0),"")</f>
        <v/>
      </c>
      <c r="AB298" s="432"/>
      <c r="AC298" s="432"/>
      <c r="AF298" s="434"/>
      <c r="AG298" s="434"/>
      <c r="AH298" s="434"/>
      <c r="AI298" s="434"/>
      <c r="AJ298" s="434"/>
      <c r="AK298" s="434"/>
      <c r="AL298" s="434"/>
      <c r="AM298" s="434"/>
    </row>
    <row r="299" spans="1:56" x14ac:dyDescent="0.25">
      <c r="B299" s="56" t="str">
        <f>$B$48</f>
        <v/>
      </c>
      <c r="C299" s="79"/>
      <c r="D299" s="79"/>
      <c r="E299" s="241"/>
      <c r="F299" s="241"/>
      <c r="G299" s="241"/>
      <c r="H299" s="241"/>
      <c r="I299" s="241"/>
      <c r="J299" s="241"/>
      <c r="K299" s="241"/>
      <c r="L299" s="241"/>
      <c r="M299" s="242"/>
      <c r="AB299" s="432"/>
      <c r="AC299" s="432"/>
      <c r="AF299" s="434"/>
      <c r="AG299" s="434"/>
      <c r="AH299" s="434"/>
      <c r="AI299" s="434"/>
      <c r="AJ299" s="434"/>
      <c r="AK299" s="434"/>
      <c r="AL299" s="434"/>
      <c r="AM299" s="434"/>
    </row>
    <row r="300" spans="1:56" x14ac:dyDescent="0.25">
      <c r="B300" s="251" t="s">
        <v>26</v>
      </c>
      <c r="C300" s="252"/>
      <c r="D300" s="252"/>
      <c r="E300" s="80" t="str">
        <f>IFERROR(VLOOKUP($F$4,Y_1,24,0),"")</f>
        <v/>
      </c>
      <c r="F300" s="80" t="str">
        <f>IFERROR(VLOOKUP($F$4,Y_2,24,0),"")</f>
        <v/>
      </c>
      <c r="G300" s="80" t="str">
        <f>IFERROR(VLOOKUP($F$4,Y_3,24,0),"")</f>
        <v/>
      </c>
      <c r="H300" s="80" t="str">
        <f>IFERROR(VLOOKUP($F$4,Y_4,24,0),"")</f>
        <v/>
      </c>
      <c r="I300" s="80" t="str">
        <f>IFERROR(VLOOKUP($F$4,Y_5,24,0),"")</f>
        <v/>
      </c>
      <c r="J300" s="80" t="str">
        <f>IFERROR(VLOOKUP($F$4,Y_6,24,0),"")</f>
        <v/>
      </c>
      <c r="K300" s="80" t="str">
        <f>IFERROR(VLOOKUP($F$4,Y_7,24,0),"")</f>
        <v/>
      </c>
      <c r="L300" s="80" t="str">
        <f>IFERROR(VLOOKUP($F$4,Y_8,24,0),"")</f>
        <v/>
      </c>
      <c r="M300" s="81" t="str">
        <f>IFERROR(VLOOKUP($F$4,Y_9,24,0),"")</f>
        <v/>
      </c>
      <c r="AB300" s="432"/>
      <c r="AC300" s="432"/>
      <c r="AF300" s="434"/>
      <c r="AG300" s="434"/>
      <c r="AH300" s="434"/>
      <c r="AI300" s="434"/>
      <c r="AJ300" s="434"/>
      <c r="AK300" s="434"/>
      <c r="AL300" s="434"/>
      <c r="AM300" s="434"/>
    </row>
    <row r="301" spans="1:56" x14ac:dyDescent="0.25">
      <c r="B301" s="164" t="s">
        <v>27</v>
      </c>
      <c r="C301" s="379"/>
      <c r="D301" s="165"/>
      <c r="E301" s="82" t="str">
        <f>IFERROR(VLOOKUP($F$4,Y_1,25,0),"")</f>
        <v/>
      </c>
      <c r="F301" s="82" t="str">
        <f>IFERROR(VLOOKUP($F$4,Y_2,25,0),"")</f>
        <v/>
      </c>
      <c r="G301" s="82" t="str">
        <f>IFERROR(VLOOKUP($F$4,Y_3,25,0),"")</f>
        <v/>
      </c>
      <c r="H301" s="82" t="str">
        <f>IFERROR(VLOOKUP($F$4,Y_4,25,0),"")</f>
        <v/>
      </c>
      <c r="I301" s="82" t="str">
        <f>IFERROR(VLOOKUP($F$4,Y_5,25,0),"")</f>
        <v/>
      </c>
      <c r="J301" s="82" t="str">
        <f>IFERROR(VLOOKUP($F$4,Y_6,25,0),"")</f>
        <v/>
      </c>
      <c r="K301" s="82" t="str">
        <f>IFERROR(VLOOKUP($F$4,Y_7,25,0),"")</f>
        <v/>
      </c>
      <c r="L301" s="82" t="str">
        <f>IFERROR(VLOOKUP($F$4,Y_8,25,0),"")</f>
        <v/>
      </c>
      <c r="M301" s="83" t="str">
        <f>IFERROR(VLOOKUP($F$4,Y_9,25,0),"")</f>
        <v/>
      </c>
      <c r="AB301" s="432"/>
      <c r="AC301" s="432"/>
      <c r="AF301" s="434"/>
      <c r="AG301" s="434"/>
      <c r="AH301" s="434"/>
      <c r="AI301" s="434"/>
      <c r="AJ301" s="434"/>
      <c r="AK301" s="434"/>
      <c r="AL301" s="434"/>
      <c r="AM301" s="434"/>
    </row>
    <row r="302" spans="1:56" x14ac:dyDescent="0.25">
      <c r="B302" s="164" t="s">
        <v>28</v>
      </c>
      <c r="C302" s="379"/>
      <c r="D302" s="165"/>
      <c r="E302" s="82" t="str">
        <f>IFERROR(VLOOKUP($F$4,Y_1,26,0),"")</f>
        <v/>
      </c>
      <c r="F302" s="82" t="str">
        <f>IFERROR(VLOOKUP($F$4,Y_2,26,0),"")</f>
        <v/>
      </c>
      <c r="G302" s="82" t="str">
        <f>IFERROR(VLOOKUP($F$4,Y_3,26,0),"")</f>
        <v/>
      </c>
      <c r="H302" s="82" t="str">
        <f>IFERROR(VLOOKUP($F$4,Y_4,26,0),"")</f>
        <v/>
      </c>
      <c r="I302" s="82" t="str">
        <f>IFERROR(VLOOKUP($F$4,Y_5,26,0),"")</f>
        <v/>
      </c>
      <c r="J302" s="82" t="str">
        <f>IFERROR(VLOOKUP($F$4,Y_6,26,0),"")</f>
        <v/>
      </c>
      <c r="K302" s="82" t="str">
        <f>IFERROR(VLOOKUP($F$4,Y_7,26,0),"")</f>
        <v/>
      </c>
      <c r="L302" s="82" t="str">
        <f>IFERROR(VLOOKUP($F$4,Y_8,26,0),"")</f>
        <v/>
      </c>
      <c r="M302" s="83" t="str">
        <f>IFERROR(VLOOKUP($F$4,Y_9,26,0),"")</f>
        <v/>
      </c>
      <c r="AB302" s="432"/>
      <c r="AC302" s="432"/>
      <c r="AF302" s="434"/>
      <c r="AG302" s="434"/>
      <c r="AH302" s="434"/>
      <c r="AI302" s="434"/>
      <c r="AJ302" s="434"/>
      <c r="AK302" s="434"/>
      <c r="AL302" s="434"/>
      <c r="AM302" s="434"/>
    </row>
    <row r="303" spans="1:56" x14ac:dyDescent="0.25">
      <c r="B303" s="164" t="s">
        <v>818</v>
      </c>
      <c r="C303" s="379"/>
      <c r="D303" s="165"/>
      <c r="E303" s="82" t="str">
        <f>IFERROR(VLOOKUP($F$4,Y_1,27,0),"")</f>
        <v/>
      </c>
      <c r="F303" s="82" t="str">
        <f>IFERROR(VLOOKUP($F$4,Y_2,27,0),"")</f>
        <v/>
      </c>
      <c r="G303" s="82" t="str">
        <f>IFERROR(VLOOKUP($F$4,Y_3,27,0),"")</f>
        <v/>
      </c>
      <c r="H303" s="82" t="str">
        <f>IFERROR(VLOOKUP($F$4,Y_4,27,0),"")</f>
        <v/>
      </c>
      <c r="I303" s="82" t="str">
        <f>IFERROR(VLOOKUP($F$4,Y_5,27,0),"")</f>
        <v/>
      </c>
      <c r="J303" s="82" t="str">
        <f>IFERROR(VLOOKUP($F$4,Y_6,27,0),"")</f>
        <v/>
      </c>
      <c r="K303" s="82" t="str">
        <f>IFERROR(VLOOKUP($F$4,Y_7,27,0),"")</f>
        <v/>
      </c>
      <c r="L303" s="82" t="str">
        <f>IFERROR(VLOOKUP($F$4,Y_8,27,0),"")</f>
        <v/>
      </c>
      <c r="M303" s="83" t="str">
        <f>IFERROR(VLOOKUP($F$4,Y_9,27,0),"")</f>
        <v/>
      </c>
      <c r="AB303" s="432"/>
      <c r="AC303" s="432"/>
      <c r="AF303" s="434"/>
      <c r="AG303" s="434"/>
      <c r="AH303" s="434"/>
      <c r="AI303" s="434"/>
      <c r="AJ303" s="434"/>
      <c r="AK303" s="434"/>
      <c r="AL303" s="434"/>
      <c r="AM303" s="434"/>
    </row>
    <row r="304" spans="1:56" x14ac:dyDescent="0.25">
      <c r="B304" s="253" t="s">
        <v>819</v>
      </c>
      <c r="C304" s="254"/>
      <c r="D304" s="254"/>
      <c r="E304" s="84" t="str">
        <f>IFERROR(VLOOKUP($F$4,Y_1,28,0),"")</f>
        <v/>
      </c>
      <c r="F304" s="84" t="str">
        <f>IFERROR(VLOOKUP($F$4,Y_2,28,0),"")</f>
        <v/>
      </c>
      <c r="G304" s="84" t="str">
        <f>IFERROR(VLOOKUP($F$4,Y_3,28,0),"")</f>
        <v/>
      </c>
      <c r="H304" s="84" t="str">
        <f>IFERROR(VLOOKUP($F$4,Y_4,28,0),"")</f>
        <v/>
      </c>
      <c r="I304" s="84" t="str">
        <f>IFERROR(VLOOKUP($F$4,Y_5,28,0),"")</f>
        <v/>
      </c>
      <c r="J304" s="84" t="str">
        <f>IFERROR(VLOOKUP($F$4,Y_6,28,0),"")</f>
        <v/>
      </c>
      <c r="K304" s="84" t="str">
        <f>IFERROR(VLOOKUP($F$4,Y_7,28,0),"")</f>
        <v/>
      </c>
      <c r="L304" s="84" t="str">
        <f>IFERROR(VLOOKUP($F$4,Y_8,28,0),"")</f>
        <v/>
      </c>
      <c r="M304" s="85" t="str">
        <f>IFERROR(VLOOKUP($F$4,Y_9,28,0),"")</f>
        <v/>
      </c>
      <c r="AB304" s="432"/>
      <c r="AC304" s="432"/>
      <c r="AF304" s="434"/>
      <c r="AG304" s="434"/>
      <c r="AH304" s="434"/>
      <c r="AI304" s="434"/>
      <c r="AJ304" s="434"/>
      <c r="AK304" s="434"/>
      <c r="AL304" s="434"/>
      <c r="AM304" s="434"/>
    </row>
    <row r="305" spans="1:56" x14ac:dyDescent="0.25">
      <c r="B305" s="56" t="s">
        <v>13</v>
      </c>
      <c r="C305" s="57"/>
      <c r="D305" s="57"/>
      <c r="E305" s="241"/>
      <c r="F305" s="241"/>
      <c r="G305" s="241"/>
      <c r="H305" s="241"/>
      <c r="I305" s="241"/>
      <c r="J305" s="241"/>
      <c r="K305" s="241"/>
      <c r="L305" s="241"/>
      <c r="M305" s="242"/>
      <c r="AB305" s="432"/>
      <c r="AC305" s="432"/>
      <c r="AF305" s="434"/>
      <c r="AG305" s="434"/>
      <c r="AH305" s="434"/>
      <c r="AI305" s="434"/>
      <c r="AJ305" s="434"/>
      <c r="AK305" s="434"/>
      <c r="AL305" s="434"/>
      <c r="AM305" s="434"/>
    </row>
    <row r="306" spans="1:56" x14ac:dyDescent="0.25">
      <c r="B306" s="251" t="s">
        <v>26</v>
      </c>
      <c r="C306" s="252"/>
      <c r="D306" s="252"/>
      <c r="E306" s="80">
        <f>IF($F$4&lt;&gt;"",VLOOKUP($B$49,Y_1,24,0),"")</f>
        <v>4098</v>
      </c>
      <c r="F306" s="80">
        <f>IF($F$4&lt;&gt;"",VLOOKUP($B$49,Y_2,24,0),"")</f>
        <v>3897</v>
      </c>
      <c r="G306" s="231">
        <f>IF($F$4&lt;&gt;"",VLOOKUP($B$49,Y_3,24,0),"")</f>
        <v>4184</v>
      </c>
      <c r="H306" s="227">
        <f>IF($F$4&lt;&gt;"",VLOOKUP($B$49,Y_4,24,0),"")</f>
        <v>4046</v>
      </c>
      <c r="I306" s="227">
        <f>IF($F$4&lt;&gt;"",VLOOKUP($B$49,Y_5,24,0),"")</f>
        <v>6074</v>
      </c>
      <c r="J306" s="227">
        <f>IF($F$4&lt;&gt;"",VLOOKUP($B$49,Y_6,24,0),"")</f>
        <v>5109</v>
      </c>
      <c r="K306" s="227">
        <f>IF($F$4&lt;&gt;"",VLOOKUP($B$49,Y_7,24,0),"")</f>
        <v>5225</v>
      </c>
      <c r="L306" s="227">
        <f>IF($F$4&lt;&gt;"",VLOOKUP($B$49,Y_8,24,0),"")</f>
        <v>8745</v>
      </c>
      <c r="M306" s="228">
        <f>IF($F$4&lt;&gt;"",VLOOKUP($B$49,Y_9,24,0),"")</f>
        <v>4878</v>
      </c>
      <c r="AB306" s="432"/>
      <c r="AC306" s="432"/>
      <c r="AF306" s="434"/>
      <c r="AG306" s="434"/>
      <c r="AH306" s="434"/>
      <c r="AI306" s="434"/>
      <c r="AJ306" s="434"/>
      <c r="AK306" s="434"/>
      <c r="AL306" s="434"/>
      <c r="AM306" s="434"/>
    </row>
    <row r="307" spans="1:56" x14ac:dyDescent="0.25">
      <c r="B307" s="164" t="s">
        <v>27</v>
      </c>
      <c r="C307" s="379"/>
      <c r="D307" s="165"/>
      <c r="E307" s="82">
        <f>IF($F$4&lt;&gt;"",VLOOKUP($B$49,Y_1,25,0),"")</f>
        <v>5162</v>
      </c>
      <c r="F307" s="82">
        <f>IF($F$4&lt;&gt;"",VLOOKUP($B$49,Y_2,25,0),"")</f>
        <v>5335</v>
      </c>
      <c r="G307" s="239">
        <f>IF($F$4&lt;&gt;"",VLOOKUP($B$49,Y_3,25,0),"")</f>
        <v>5643</v>
      </c>
      <c r="H307" s="229">
        <f>IF($F$4&lt;&gt;"",VLOOKUP($B$49,Y_4,25,0),"")</f>
        <v>5512</v>
      </c>
      <c r="I307" s="229">
        <f>IF($F$4&lt;&gt;"",VLOOKUP($B$49,Y_5,25,0),"")</f>
        <v>4977</v>
      </c>
      <c r="J307" s="229">
        <f>IF($F$4&lt;&gt;"",VLOOKUP($B$49,Y_6,25,0),"")</f>
        <v>5951</v>
      </c>
      <c r="K307" s="334">
        <f>IF($F$4&lt;&gt;"",VLOOKUP($B$49,Y_7,25,0),"")</f>
        <v>3193</v>
      </c>
      <c r="L307" s="334">
        <f>IF($F$4&lt;&gt;"",VLOOKUP($B$49,Y_8,25,0),"")</f>
        <v>4812</v>
      </c>
      <c r="M307" s="230">
        <f>IF($F$4&lt;&gt;"",VLOOKUP($B$49,Y_9,25,0),"")</f>
        <v>4581</v>
      </c>
      <c r="AB307" s="432"/>
      <c r="AC307" s="432"/>
      <c r="AF307" s="434"/>
      <c r="AG307" s="434"/>
      <c r="AH307" s="434"/>
      <c r="AI307" s="434"/>
      <c r="AJ307" s="434"/>
      <c r="AK307" s="434"/>
      <c r="AL307" s="434"/>
      <c r="AM307" s="434"/>
    </row>
    <row r="308" spans="1:56" x14ac:dyDescent="0.25">
      <c r="B308" s="164" t="s">
        <v>28</v>
      </c>
      <c r="C308" s="379"/>
      <c r="D308" s="165"/>
      <c r="E308" s="82">
        <f>IF($F$4&lt;&gt;"",VLOOKUP($B$49,Y_1,26,0),"")</f>
        <v>2803</v>
      </c>
      <c r="F308" s="82">
        <f>IF($F$4&lt;&gt;"",VLOOKUP($B$49,Y_2,26,0),"")</f>
        <v>4099</v>
      </c>
      <c r="G308" s="239">
        <f>IF($F$4&lt;&gt;"",VLOOKUP($B$49,Y_3,26,0),"")</f>
        <v>1982</v>
      </c>
      <c r="H308" s="229">
        <f>IF($F$4&lt;&gt;"",VLOOKUP($B$49,Y_4,26,0),"")</f>
        <v>3318</v>
      </c>
      <c r="I308" s="229">
        <f>IF($F$4&lt;&gt;"",VLOOKUP($B$49,Y_5,26,0),"")</f>
        <v>3110</v>
      </c>
      <c r="J308" s="229">
        <f>IF($F$4&lt;&gt;"",VLOOKUP($B$49,Y_6,26,0),"")</f>
        <v>2792</v>
      </c>
      <c r="K308" s="334">
        <f>IF($F$4&lt;&gt;"",VLOOKUP($B$49,Y_7,26,0),"")</f>
        <v>2531</v>
      </c>
      <c r="L308" s="334">
        <f>IF($F$4&lt;&gt;"",VLOOKUP($B$49,Y_8,26,0),"")</f>
        <v>2816</v>
      </c>
      <c r="M308" s="230">
        <f>IF($F$4&lt;&gt;"",VLOOKUP($B$49,Y_9,26,0),"")</f>
        <v>2675</v>
      </c>
      <c r="AB308" s="432"/>
      <c r="AC308" s="432"/>
      <c r="AF308" s="434"/>
      <c r="AG308" s="434"/>
      <c r="AH308" s="434"/>
      <c r="AI308" s="434"/>
      <c r="AJ308" s="434"/>
      <c r="AK308" s="434"/>
      <c r="AL308" s="434"/>
      <c r="AM308" s="434"/>
    </row>
    <row r="309" spans="1:56" x14ac:dyDescent="0.25">
      <c r="B309" s="164" t="s">
        <v>818</v>
      </c>
      <c r="C309" s="379"/>
      <c r="D309" s="165"/>
      <c r="E309" s="82">
        <f>IF($F$4&lt;&gt;"",VLOOKUP($B$49,Y_1,27,0),"")</f>
        <v>7734</v>
      </c>
      <c r="F309" s="82">
        <f>IF($F$4&lt;&gt;"",VLOOKUP($B$49,Y_2,27,0),"")</f>
        <v>9960</v>
      </c>
      <c r="G309" s="239">
        <f>IF($F$4&lt;&gt;"",VLOOKUP($B$49,Y_3,27,0),"")</f>
        <v>10143</v>
      </c>
      <c r="H309" s="229">
        <f>IF($F$4&lt;&gt;"",VLOOKUP($B$49,Y_4,27,0),"")</f>
        <v>9799</v>
      </c>
      <c r="I309" s="229">
        <f>IF($F$4&lt;&gt;"",VLOOKUP($B$49,Y_5,27,0),"")</f>
        <v>11306</v>
      </c>
      <c r="J309" s="229">
        <f>IF($F$4&lt;&gt;"",VLOOKUP($B$49,Y_6,27,0),"")</f>
        <v>12396</v>
      </c>
      <c r="K309" s="334">
        <f>IF($F$4&lt;&gt;"",VLOOKUP($B$49,Y_7,27,0),"")</f>
        <v>12576</v>
      </c>
      <c r="L309" s="334">
        <f>IF($F$4&lt;&gt;"",VLOOKUP($B$49,Y_8,27,0),"")</f>
        <v>16861</v>
      </c>
      <c r="M309" s="230">
        <f>IF($F$4&lt;&gt;"",VLOOKUP($B$49,Y_9,27,0),"")</f>
        <v>17126</v>
      </c>
      <c r="AB309" s="159"/>
      <c r="AC309" s="159"/>
      <c r="AF309" s="434"/>
      <c r="AG309" s="434"/>
      <c r="AH309" s="434"/>
      <c r="AI309" s="434"/>
      <c r="AJ309" s="434"/>
      <c r="AK309" s="434"/>
      <c r="AL309" s="434"/>
      <c r="AM309" s="434"/>
    </row>
    <row r="310" spans="1:56" x14ac:dyDescent="0.25">
      <c r="B310" s="253" t="s">
        <v>819</v>
      </c>
      <c r="C310" s="254"/>
      <c r="D310" s="254"/>
      <c r="E310" s="84">
        <f>IF($F$4&lt;&gt;"",VLOOKUP($B$49,Y_1,28,0),"")</f>
        <v>4862</v>
      </c>
      <c r="F310" s="84">
        <f>IF($F$4&lt;&gt;"",VLOOKUP($B$49,Y_2,28,0),"")</f>
        <v>5744</v>
      </c>
      <c r="G310" s="237">
        <f>IF($F$4&lt;&gt;"",VLOOKUP($B$49,Y_3,28,0),"")</f>
        <v>5119</v>
      </c>
      <c r="H310" s="247">
        <f>IF($F$4&lt;&gt;"",VLOOKUP($B$49,Y_4,28,0),"")</f>
        <v>4137</v>
      </c>
      <c r="I310" s="247">
        <f>IF($F$4&lt;&gt;"",VLOOKUP($B$49,Y_5,28,0),"")</f>
        <v>4063</v>
      </c>
      <c r="J310" s="247">
        <f>IF($F$4&lt;&gt;"",VLOOKUP($B$49,Y_6,28,0),"")</f>
        <v>4424</v>
      </c>
      <c r="K310" s="247">
        <f>IF($F$4&lt;&gt;"",VLOOKUP($B$49,Y_7,28,0),"")</f>
        <v>4297</v>
      </c>
      <c r="L310" s="247">
        <f>IF($F$4&lt;&gt;"",VLOOKUP($B$49,Y_8,28,0),"")</f>
        <v>5982</v>
      </c>
      <c r="M310" s="248">
        <f>IF($F$4&lt;&gt;"",VLOOKUP($B$49,Y_9,28,0),"")</f>
        <v>5517</v>
      </c>
      <c r="AB310" s="159"/>
      <c r="AC310" s="159"/>
      <c r="AF310" s="434"/>
      <c r="AG310" s="434"/>
      <c r="AH310" s="434"/>
      <c r="AI310" s="434"/>
      <c r="AJ310" s="434"/>
      <c r="AK310" s="434"/>
      <c r="AL310" s="434"/>
      <c r="AM310" s="434"/>
    </row>
    <row r="311" spans="1:56" x14ac:dyDescent="0.25">
      <c r="B311" s="379"/>
      <c r="C311" s="379"/>
      <c r="D311" s="379"/>
      <c r="E311" s="82"/>
      <c r="F311" s="82"/>
      <c r="G311" s="337"/>
      <c r="H311" s="334"/>
      <c r="I311" s="334"/>
      <c r="J311" s="334"/>
      <c r="K311" s="334"/>
      <c r="L311" s="334"/>
      <c r="M311" s="334"/>
      <c r="AB311" s="159"/>
      <c r="AC311" s="159"/>
      <c r="AF311" s="434"/>
      <c r="AG311" s="434"/>
      <c r="AH311" s="434"/>
      <c r="AI311" s="434"/>
      <c r="AJ311" s="434"/>
      <c r="AK311" s="434"/>
      <c r="AL311" s="434"/>
      <c r="AM311" s="434"/>
      <c r="AW311" s="187"/>
      <c r="AX311" s="187"/>
      <c r="AY311" s="187"/>
      <c r="AZ311" s="187"/>
      <c r="BA311" s="187"/>
      <c r="BB311" s="187"/>
      <c r="BC311" s="187"/>
      <c r="BD311" s="187"/>
    </row>
    <row r="312" spans="1:56" s="322" customFormat="1" x14ac:dyDescent="0.25">
      <c r="A312" s="441">
        <v>8</v>
      </c>
      <c r="B312" s="405"/>
      <c r="C312" s="405"/>
      <c r="D312" s="405"/>
      <c r="E312" s="406"/>
      <c r="F312" s="406"/>
      <c r="G312" s="407"/>
      <c r="H312" s="408"/>
      <c r="I312" s="408"/>
      <c r="J312" s="408"/>
      <c r="K312" s="408"/>
      <c r="L312" s="408"/>
      <c r="M312" s="408"/>
      <c r="N312" s="394"/>
      <c r="AB312" s="159"/>
      <c r="AC312" s="159"/>
      <c r="AD312" s="158"/>
      <c r="AE312" s="158"/>
      <c r="AF312" s="434"/>
      <c r="AG312" s="434"/>
      <c r="AH312" s="434"/>
      <c r="AI312" s="434"/>
      <c r="AJ312" s="434"/>
      <c r="AK312" s="434"/>
      <c r="AL312" s="434"/>
      <c r="AM312" s="434"/>
      <c r="AN312" s="396"/>
      <c r="AO312" s="396"/>
      <c r="AP312" s="396"/>
      <c r="AQ312" s="396"/>
      <c r="AR312" s="396"/>
      <c r="AS312" s="396"/>
      <c r="AT312" s="396"/>
      <c r="AU312" s="396"/>
      <c r="AV312" s="396"/>
      <c r="AW312" s="396"/>
      <c r="AX312" s="396"/>
      <c r="AY312" s="396"/>
      <c r="AZ312" s="396"/>
      <c r="BA312" s="396"/>
      <c r="BB312" s="396"/>
      <c r="BC312" s="396"/>
      <c r="BD312" s="396"/>
    </row>
    <row r="313" spans="1:56" s="322" customFormat="1" x14ac:dyDescent="0.25">
      <c r="A313" s="442"/>
      <c r="B313" s="405"/>
      <c r="C313" s="405"/>
      <c r="D313" s="405"/>
      <c r="E313" s="406"/>
      <c r="F313" s="406"/>
      <c r="G313" s="407"/>
      <c r="H313" s="408"/>
      <c r="I313" s="408"/>
      <c r="J313" s="408"/>
      <c r="K313" s="408"/>
      <c r="L313" s="408"/>
      <c r="M313" s="408"/>
      <c r="N313" s="394"/>
      <c r="AB313" s="159"/>
      <c r="AC313" s="159"/>
      <c r="AD313" s="158"/>
      <c r="AE313" s="158"/>
      <c r="AF313" s="434"/>
      <c r="AG313" s="434"/>
      <c r="AH313" s="434"/>
      <c r="AI313" s="434"/>
      <c r="AJ313" s="434"/>
      <c r="AK313" s="434"/>
      <c r="AL313" s="434"/>
      <c r="AM313" s="434"/>
      <c r="AN313" s="396"/>
      <c r="AO313" s="396"/>
      <c r="AP313" s="396"/>
      <c r="AQ313" s="396"/>
      <c r="AR313" s="396"/>
      <c r="AS313" s="396"/>
      <c r="AT313" s="396"/>
      <c r="AU313" s="396"/>
      <c r="AV313" s="396"/>
      <c r="AW313" s="396"/>
      <c r="AX313" s="396"/>
      <c r="AY313" s="396"/>
      <c r="AZ313" s="396"/>
      <c r="BA313" s="396"/>
      <c r="BB313" s="396"/>
      <c r="BC313" s="396"/>
      <c r="BD313" s="396"/>
    </row>
    <row r="314" spans="1:56" s="322" customFormat="1" x14ac:dyDescent="0.25">
      <c r="B314" s="405"/>
      <c r="C314" s="405"/>
      <c r="D314" s="405"/>
      <c r="E314" s="406"/>
      <c r="F314" s="406"/>
      <c r="G314" s="407"/>
      <c r="H314" s="408"/>
      <c r="I314" s="408"/>
      <c r="J314" s="408"/>
      <c r="K314" s="408"/>
      <c r="L314" s="408"/>
      <c r="M314" s="408"/>
      <c r="N314" s="394"/>
      <c r="AB314" s="159"/>
      <c r="AC314" s="159"/>
      <c r="AD314" s="158"/>
      <c r="AE314" s="158"/>
      <c r="AF314" s="434"/>
      <c r="AG314" s="434"/>
      <c r="AH314" s="434"/>
      <c r="AI314" s="434"/>
      <c r="AJ314" s="434"/>
      <c r="AK314" s="434"/>
      <c r="AL314" s="434"/>
      <c r="AM314" s="434"/>
      <c r="AN314" s="396"/>
      <c r="AO314" s="396"/>
      <c r="AP314" s="396"/>
      <c r="AQ314" s="396"/>
      <c r="AR314" s="396"/>
      <c r="AS314" s="396"/>
      <c r="AT314" s="396"/>
      <c r="AU314" s="396"/>
      <c r="AV314" s="396"/>
      <c r="AW314" s="396"/>
      <c r="AX314" s="396"/>
      <c r="AY314" s="396"/>
      <c r="AZ314" s="396"/>
      <c r="BA314" s="396"/>
      <c r="BB314" s="396"/>
      <c r="BC314" s="396"/>
      <c r="BD314" s="396"/>
    </row>
    <row r="315" spans="1:56" s="322" customFormat="1" x14ac:dyDescent="0.25">
      <c r="B315" s="405"/>
      <c r="C315" s="405"/>
      <c r="D315" s="405"/>
      <c r="E315" s="406"/>
      <c r="F315" s="406"/>
      <c r="G315" s="407"/>
      <c r="H315" s="408"/>
      <c r="I315" s="408"/>
      <c r="J315" s="408"/>
      <c r="K315" s="408"/>
      <c r="L315" s="408"/>
      <c r="M315" s="408"/>
      <c r="N315" s="394"/>
      <c r="AB315" s="159"/>
      <c r="AC315" s="159"/>
      <c r="AD315" s="158"/>
      <c r="AE315" s="158"/>
      <c r="AF315" s="434"/>
      <c r="AG315" s="434"/>
      <c r="AH315" s="434"/>
      <c r="AI315" s="434"/>
      <c r="AJ315" s="434"/>
      <c r="AK315" s="434"/>
      <c r="AL315" s="434"/>
      <c r="AM315" s="434"/>
      <c r="AN315" s="396"/>
      <c r="AO315" s="396"/>
      <c r="AP315" s="396"/>
      <c r="AQ315" s="396"/>
      <c r="AR315" s="396"/>
      <c r="AS315" s="396"/>
      <c r="AT315" s="396"/>
      <c r="AU315" s="396"/>
      <c r="AV315" s="396"/>
      <c r="AW315" s="396"/>
      <c r="AX315" s="396"/>
      <c r="AY315" s="396"/>
      <c r="AZ315" s="396"/>
      <c r="BA315" s="396"/>
      <c r="BB315" s="396"/>
      <c r="BC315" s="396"/>
      <c r="BD315" s="396"/>
    </row>
    <row r="316" spans="1:56" s="322" customFormat="1" x14ac:dyDescent="0.25">
      <c r="B316" s="405"/>
      <c r="C316" s="405"/>
      <c r="D316" s="405"/>
      <c r="E316" s="406"/>
      <c r="F316" s="406"/>
      <c r="G316" s="407"/>
      <c r="H316" s="408"/>
      <c r="I316" s="408"/>
      <c r="J316" s="408"/>
      <c r="K316" s="408"/>
      <c r="L316" s="408"/>
      <c r="M316" s="408"/>
      <c r="N316" s="394"/>
      <c r="AB316" s="159"/>
      <c r="AC316" s="159"/>
      <c r="AD316" s="158"/>
      <c r="AE316" s="158"/>
      <c r="AF316" s="434"/>
      <c r="AG316" s="434"/>
      <c r="AH316" s="434"/>
      <c r="AI316" s="434"/>
      <c r="AJ316" s="434"/>
      <c r="AK316" s="434"/>
      <c r="AL316" s="434"/>
      <c r="AM316" s="434"/>
      <c r="AN316" s="396"/>
      <c r="AO316" s="396"/>
      <c r="AP316" s="396"/>
      <c r="AQ316" s="396"/>
      <c r="AR316" s="396"/>
      <c r="AS316" s="396"/>
      <c r="AT316" s="396"/>
      <c r="AU316" s="396"/>
      <c r="AV316" s="396"/>
      <c r="AW316" s="396"/>
      <c r="AX316" s="396"/>
      <c r="AY316" s="396"/>
      <c r="AZ316" s="396"/>
      <c r="BA316" s="396"/>
      <c r="BB316" s="396"/>
      <c r="BC316" s="396"/>
      <c r="BD316" s="396"/>
    </row>
    <row r="317" spans="1:56" s="322" customFormat="1" x14ac:dyDescent="0.25">
      <c r="B317" s="405"/>
      <c r="C317" s="405"/>
      <c r="D317" s="405"/>
      <c r="E317" s="406"/>
      <c r="F317" s="406"/>
      <c r="G317" s="407"/>
      <c r="H317" s="408"/>
      <c r="I317" s="408"/>
      <c r="J317" s="408"/>
      <c r="K317" s="408"/>
      <c r="L317" s="408"/>
      <c r="M317" s="408"/>
      <c r="N317" s="394"/>
      <c r="AB317" s="158"/>
      <c r="AC317" s="158"/>
      <c r="AD317" s="158"/>
      <c r="AE317" s="158"/>
      <c r="AF317" s="434"/>
      <c r="AG317" s="434"/>
      <c r="AH317" s="434"/>
      <c r="AI317" s="434"/>
      <c r="AJ317" s="434"/>
      <c r="AK317" s="434"/>
      <c r="AL317" s="434"/>
      <c r="AM317" s="434"/>
      <c r="AN317" s="396"/>
      <c r="AO317" s="396"/>
      <c r="AP317" s="396"/>
      <c r="AQ317" s="396"/>
      <c r="AR317" s="396"/>
      <c r="AS317" s="396"/>
      <c r="AT317" s="396"/>
      <c r="AU317" s="396"/>
      <c r="AV317" s="396"/>
      <c r="AW317" s="396"/>
      <c r="AX317" s="396"/>
      <c r="AY317" s="396"/>
      <c r="AZ317" s="396"/>
      <c r="BA317" s="396"/>
      <c r="BB317" s="396"/>
      <c r="BC317" s="396"/>
      <c r="BD317" s="396"/>
    </row>
    <row r="318" spans="1:56" s="322" customFormat="1" x14ac:dyDescent="0.25">
      <c r="B318" s="405"/>
      <c r="C318" s="405"/>
      <c r="D318" s="405"/>
      <c r="E318" s="406"/>
      <c r="F318" s="406"/>
      <c r="G318" s="407"/>
      <c r="H318" s="408"/>
      <c r="I318" s="408"/>
      <c r="J318" s="408"/>
      <c r="K318" s="408"/>
      <c r="L318" s="408"/>
      <c r="M318" s="408"/>
      <c r="N318" s="394"/>
      <c r="AB318" s="158"/>
      <c r="AC318" s="158"/>
      <c r="AD318" s="158"/>
      <c r="AE318" s="158"/>
      <c r="AF318" s="160"/>
      <c r="AG318" s="160"/>
      <c r="AH318" s="158"/>
      <c r="AI318" s="158"/>
      <c r="AJ318" s="158"/>
      <c r="AK318" s="158"/>
      <c r="AL318" s="158"/>
      <c r="AM318" s="158"/>
      <c r="AN318" s="396"/>
      <c r="AO318" s="396"/>
      <c r="AP318" s="396"/>
      <c r="AQ318" s="396"/>
      <c r="AR318" s="396"/>
      <c r="AS318" s="396"/>
      <c r="AT318" s="396"/>
      <c r="AU318" s="396"/>
      <c r="AV318" s="396"/>
      <c r="AW318" s="396"/>
      <c r="AX318" s="396"/>
      <c r="AY318" s="396"/>
      <c r="AZ318" s="396"/>
      <c r="BA318" s="396"/>
      <c r="BB318" s="396"/>
      <c r="BC318" s="396"/>
      <c r="BD318" s="396"/>
    </row>
    <row r="319" spans="1:56" s="322" customFormat="1" x14ac:dyDescent="0.25">
      <c r="B319" s="405"/>
      <c r="C319" s="405"/>
      <c r="D319" s="405"/>
      <c r="E319" s="406"/>
      <c r="F319" s="406"/>
      <c r="G319" s="407"/>
      <c r="H319" s="408"/>
      <c r="I319" s="408"/>
      <c r="J319" s="408"/>
      <c r="K319" s="408"/>
      <c r="L319" s="408"/>
      <c r="M319" s="408"/>
      <c r="N319" s="394"/>
      <c r="AB319" s="158"/>
      <c r="AC319" s="158"/>
      <c r="AD319" s="158"/>
      <c r="AE319" s="158"/>
      <c r="AF319" s="158"/>
      <c r="AG319" s="158"/>
      <c r="AH319" s="158"/>
      <c r="AI319" s="158"/>
      <c r="AJ319" s="158"/>
      <c r="AK319" s="158"/>
      <c r="AL319" s="158"/>
      <c r="AM319" s="158"/>
      <c r="AN319" s="396"/>
      <c r="AO319" s="396"/>
      <c r="AP319" s="396"/>
      <c r="AQ319" s="396"/>
      <c r="AR319" s="396"/>
      <c r="AS319" s="396"/>
      <c r="AT319" s="396"/>
      <c r="AU319" s="396"/>
      <c r="AV319" s="396"/>
      <c r="AW319" s="396"/>
      <c r="AX319" s="396"/>
      <c r="AY319" s="396"/>
      <c r="AZ319" s="396"/>
      <c r="BA319" s="396"/>
      <c r="BB319" s="396"/>
      <c r="BC319" s="396"/>
      <c r="BD319" s="396"/>
    </row>
    <row r="320" spans="1:56" s="322" customFormat="1" x14ac:dyDescent="0.25">
      <c r="B320" s="405"/>
      <c r="C320" s="405"/>
      <c r="D320" s="405"/>
      <c r="E320" s="406"/>
      <c r="F320" s="406"/>
      <c r="G320" s="407"/>
      <c r="H320" s="408"/>
      <c r="I320" s="408"/>
      <c r="J320" s="408"/>
      <c r="K320" s="408"/>
      <c r="L320" s="408"/>
      <c r="M320" s="408"/>
      <c r="N320" s="394"/>
      <c r="AB320" s="158"/>
      <c r="AC320" s="158"/>
      <c r="AD320" s="158"/>
      <c r="AE320" s="158"/>
      <c r="AF320" s="158"/>
      <c r="AG320" s="158"/>
      <c r="AH320" s="158"/>
      <c r="AI320" s="158"/>
      <c r="AJ320" s="158"/>
      <c r="AK320" s="158"/>
      <c r="AL320" s="158"/>
      <c r="AM320" s="158"/>
      <c r="AN320" s="396"/>
      <c r="AO320" s="396"/>
      <c r="AP320" s="396"/>
      <c r="AQ320" s="396"/>
      <c r="AR320" s="396"/>
      <c r="AS320" s="396"/>
      <c r="AT320" s="396"/>
      <c r="AU320" s="396"/>
      <c r="AV320" s="396"/>
      <c r="AW320" s="396"/>
      <c r="AX320" s="396"/>
      <c r="AY320" s="396"/>
      <c r="AZ320" s="396"/>
      <c r="BA320" s="396"/>
      <c r="BB320" s="396"/>
      <c r="BC320" s="396"/>
      <c r="BD320" s="396"/>
    </row>
    <row r="321" spans="2:56" s="322" customFormat="1" x14ac:dyDescent="0.25">
      <c r="B321" s="405"/>
      <c r="C321" s="405"/>
      <c r="D321" s="405"/>
      <c r="E321" s="406"/>
      <c r="F321" s="406"/>
      <c r="G321" s="407"/>
      <c r="H321" s="408"/>
      <c r="I321" s="408"/>
      <c r="J321" s="408"/>
      <c r="K321" s="408"/>
      <c r="L321" s="408"/>
      <c r="M321" s="408"/>
      <c r="N321" s="394"/>
      <c r="AB321" s="158"/>
      <c r="AC321" s="158"/>
      <c r="AD321" s="158"/>
      <c r="AE321" s="158"/>
      <c r="AF321" s="158"/>
      <c r="AG321" s="158"/>
      <c r="AH321" s="158"/>
      <c r="AI321" s="158"/>
      <c r="AJ321" s="158"/>
      <c r="AK321" s="158"/>
      <c r="AL321" s="158"/>
      <c r="AM321" s="158"/>
      <c r="AN321" s="396"/>
      <c r="AO321" s="396"/>
      <c r="AP321" s="396"/>
      <c r="AQ321" s="396"/>
      <c r="AR321" s="396"/>
      <c r="AS321" s="396"/>
      <c r="AT321" s="396"/>
      <c r="AU321" s="396"/>
      <c r="AV321" s="396"/>
      <c r="AW321" s="396"/>
      <c r="AX321" s="396"/>
      <c r="AY321" s="396"/>
      <c r="AZ321" s="396"/>
      <c r="BA321" s="396"/>
      <c r="BB321" s="396"/>
      <c r="BC321" s="396"/>
      <c r="BD321" s="396"/>
    </row>
    <row r="322" spans="2:56" s="322" customFormat="1" x14ac:dyDescent="0.25">
      <c r="B322" s="405"/>
      <c r="C322" s="405"/>
      <c r="D322" s="405"/>
      <c r="E322" s="406"/>
      <c r="F322" s="406"/>
      <c r="G322" s="407"/>
      <c r="H322" s="408"/>
      <c r="I322" s="408"/>
      <c r="J322" s="408"/>
      <c r="K322" s="408"/>
      <c r="L322" s="408"/>
      <c r="M322" s="408"/>
      <c r="N322" s="394"/>
      <c r="AB322" s="158"/>
      <c r="AC322" s="158"/>
      <c r="AD322" s="158"/>
      <c r="AE322" s="158"/>
      <c r="AF322" s="158"/>
      <c r="AG322" s="158"/>
      <c r="AH322" s="158"/>
      <c r="AI322" s="158"/>
      <c r="AJ322" s="158"/>
      <c r="AK322" s="158"/>
      <c r="AL322" s="158"/>
      <c r="AM322" s="158"/>
      <c r="AN322" s="396"/>
      <c r="AO322" s="396"/>
      <c r="AP322" s="396"/>
      <c r="AQ322" s="396"/>
      <c r="AR322" s="396"/>
      <c r="AS322" s="396"/>
      <c r="AT322" s="396"/>
      <c r="AU322" s="396"/>
      <c r="AV322" s="396"/>
      <c r="AW322" s="396"/>
      <c r="AX322" s="396"/>
      <c r="AY322" s="396"/>
      <c r="AZ322" s="396"/>
      <c r="BA322" s="396"/>
      <c r="BB322" s="396"/>
      <c r="BC322" s="396"/>
      <c r="BD322" s="396"/>
    </row>
    <row r="323" spans="2:56" s="322" customFormat="1" x14ac:dyDescent="0.25">
      <c r="B323" s="405"/>
      <c r="C323" s="405"/>
      <c r="D323" s="405"/>
      <c r="E323" s="406"/>
      <c r="F323" s="406"/>
      <c r="G323" s="407"/>
      <c r="H323" s="408"/>
      <c r="I323" s="408"/>
      <c r="J323" s="408"/>
      <c r="K323" s="408"/>
      <c r="L323" s="408"/>
      <c r="M323" s="408"/>
      <c r="N323" s="394"/>
      <c r="AB323" s="158"/>
      <c r="AC323" s="158"/>
      <c r="AD323" s="158"/>
      <c r="AE323" s="158"/>
      <c r="AF323" s="158"/>
      <c r="AG323" s="158"/>
      <c r="AH323" s="158"/>
      <c r="AI323" s="158"/>
      <c r="AJ323" s="158"/>
      <c r="AK323" s="158"/>
      <c r="AL323" s="158"/>
      <c r="AM323" s="158"/>
      <c r="AN323" s="396"/>
      <c r="AO323" s="396"/>
      <c r="AP323" s="396"/>
      <c r="AQ323" s="396"/>
      <c r="AR323" s="396"/>
      <c r="AS323" s="396"/>
      <c r="AT323" s="396"/>
      <c r="AU323" s="396"/>
      <c r="AV323" s="396"/>
      <c r="AW323" s="396"/>
      <c r="AX323" s="396"/>
      <c r="AY323" s="396"/>
      <c r="AZ323" s="396"/>
      <c r="BA323" s="396"/>
      <c r="BB323" s="396"/>
      <c r="BC323" s="396"/>
      <c r="BD323" s="396"/>
    </row>
    <row r="324" spans="2:56" s="322" customFormat="1" x14ac:dyDescent="0.25">
      <c r="B324" s="405"/>
      <c r="C324" s="405"/>
      <c r="D324" s="405"/>
      <c r="E324" s="406"/>
      <c r="F324" s="406"/>
      <c r="G324" s="407"/>
      <c r="H324" s="408"/>
      <c r="I324" s="408"/>
      <c r="J324" s="408"/>
      <c r="K324" s="408"/>
      <c r="L324" s="408"/>
      <c r="M324" s="408"/>
      <c r="N324" s="394"/>
      <c r="AB324" s="158"/>
      <c r="AC324" s="158"/>
      <c r="AD324" s="158"/>
      <c r="AE324" s="158"/>
      <c r="AF324" s="158"/>
      <c r="AG324" s="158"/>
      <c r="AH324" s="158"/>
      <c r="AI324" s="158"/>
      <c r="AJ324" s="158"/>
      <c r="AK324" s="158"/>
      <c r="AL324" s="158"/>
      <c r="AM324" s="158"/>
      <c r="AN324" s="396"/>
      <c r="AO324" s="396"/>
      <c r="AP324" s="396"/>
      <c r="AQ324" s="396"/>
      <c r="AR324" s="396"/>
      <c r="AS324" s="396"/>
      <c r="AT324" s="396"/>
      <c r="AU324" s="396"/>
      <c r="AV324" s="396"/>
      <c r="AW324" s="396"/>
      <c r="AX324" s="396"/>
      <c r="AY324" s="396"/>
      <c r="AZ324" s="396"/>
      <c r="BA324" s="396"/>
      <c r="BB324" s="396"/>
      <c r="BC324" s="396"/>
      <c r="BD324" s="396"/>
    </row>
    <row r="325" spans="2:56" s="322" customFormat="1" x14ac:dyDescent="0.25">
      <c r="B325" s="405"/>
      <c r="C325" s="405"/>
      <c r="D325" s="405"/>
      <c r="E325" s="406"/>
      <c r="F325" s="406"/>
      <c r="G325" s="407"/>
      <c r="H325" s="408"/>
      <c r="I325" s="408"/>
      <c r="J325" s="408"/>
      <c r="K325" s="408"/>
      <c r="L325" s="408"/>
      <c r="M325" s="408"/>
      <c r="N325" s="394"/>
      <c r="AB325" s="158"/>
      <c r="AC325" s="158"/>
      <c r="AD325" s="158"/>
      <c r="AE325" s="158"/>
      <c r="AF325" s="158"/>
      <c r="AG325" s="158"/>
      <c r="AH325" s="158"/>
      <c r="AI325" s="158"/>
      <c r="AJ325" s="158"/>
      <c r="AK325" s="158"/>
      <c r="AL325" s="158"/>
      <c r="AM325" s="158"/>
      <c r="AN325" s="396"/>
      <c r="AO325" s="396"/>
      <c r="AP325" s="396"/>
      <c r="AQ325" s="396"/>
      <c r="AR325" s="396"/>
      <c r="AS325" s="396"/>
      <c r="AT325" s="396"/>
      <c r="AU325" s="396"/>
      <c r="AV325" s="396"/>
      <c r="AW325" s="396"/>
      <c r="AX325" s="396"/>
      <c r="AY325" s="396"/>
      <c r="AZ325" s="396"/>
      <c r="BA325" s="396"/>
      <c r="BB325" s="396"/>
      <c r="BC325" s="396"/>
      <c r="BD325" s="396"/>
    </row>
    <row r="326" spans="2:56" s="322" customFormat="1" x14ac:dyDescent="0.25">
      <c r="B326" s="405"/>
      <c r="C326" s="405"/>
      <c r="D326" s="405"/>
      <c r="E326" s="406"/>
      <c r="F326" s="406"/>
      <c r="G326" s="407"/>
      <c r="H326" s="408"/>
      <c r="I326" s="408"/>
      <c r="J326" s="408"/>
      <c r="K326" s="408"/>
      <c r="L326" s="408"/>
      <c r="M326" s="408"/>
      <c r="N326" s="394"/>
      <c r="AB326" s="158"/>
      <c r="AC326" s="158"/>
      <c r="AD326" s="158"/>
      <c r="AE326" s="158"/>
      <c r="AF326" s="158"/>
      <c r="AG326" s="158"/>
      <c r="AH326" s="158"/>
      <c r="AI326" s="158"/>
      <c r="AJ326" s="158"/>
      <c r="AK326" s="158"/>
      <c r="AL326" s="158"/>
      <c r="AM326" s="158"/>
      <c r="AN326" s="396"/>
      <c r="AO326" s="396"/>
      <c r="AP326" s="396"/>
      <c r="AQ326" s="396"/>
      <c r="AR326" s="396"/>
      <c r="AS326" s="396"/>
      <c r="AT326" s="396"/>
      <c r="AU326" s="396"/>
      <c r="AV326" s="396"/>
      <c r="AW326" s="396"/>
      <c r="AX326" s="396"/>
      <c r="AY326" s="396"/>
      <c r="AZ326" s="396"/>
      <c r="BA326" s="396"/>
      <c r="BB326" s="396"/>
      <c r="BC326" s="396"/>
      <c r="BD326" s="396"/>
    </row>
    <row r="327" spans="2:56" s="322" customFormat="1" x14ac:dyDescent="0.25">
      <c r="B327" s="405"/>
      <c r="C327" s="405"/>
      <c r="D327" s="405"/>
      <c r="E327" s="406"/>
      <c r="F327" s="406"/>
      <c r="G327" s="407"/>
      <c r="H327" s="408"/>
      <c r="I327" s="408"/>
      <c r="J327" s="408"/>
      <c r="K327" s="408"/>
      <c r="L327" s="408"/>
      <c r="M327" s="408"/>
      <c r="N327" s="394"/>
      <c r="AB327" s="158"/>
      <c r="AC327" s="158"/>
      <c r="AD327" s="158"/>
      <c r="AE327" s="158"/>
      <c r="AF327" s="158"/>
      <c r="AG327" s="158"/>
      <c r="AH327" s="158"/>
      <c r="AI327" s="158"/>
      <c r="AJ327" s="158"/>
      <c r="AK327" s="158"/>
      <c r="AL327" s="158"/>
      <c r="AM327" s="158"/>
      <c r="AN327" s="396"/>
      <c r="AO327" s="396"/>
      <c r="AP327" s="396"/>
      <c r="AQ327" s="396"/>
      <c r="AR327" s="396"/>
      <c r="AS327" s="396"/>
      <c r="AT327" s="396"/>
      <c r="AU327" s="396"/>
      <c r="AV327" s="396"/>
      <c r="AW327" s="396"/>
      <c r="AX327" s="396"/>
      <c r="AY327" s="396"/>
      <c r="AZ327" s="396"/>
      <c r="BA327" s="396"/>
      <c r="BB327" s="396"/>
      <c r="BC327" s="396"/>
      <c r="BD327" s="396"/>
    </row>
    <row r="328" spans="2:56" s="322" customFormat="1" x14ac:dyDescent="0.25">
      <c r="B328" s="405"/>
      <c r="C328" s="405"/>
      <c r="D328" s="405"/>
      <c r="E328" s="406"/>
      <c r="F328" s="406"/>
      <c r="G328" s="407"/>
      <c r="H328" s="408"/>
      <c r="I328" s="408"/>
      <c r="J328" s="408"/>
      <c r="K328" s="408"/>
      <c r="L328" s="408"/>
      <c r="M328" s="408"/>
      <c r="N328" s="394"/>
      <c r="AB328" s="158"/>
      <c r="AC328" s="158"/>
      <c r="AD328" s="158"/>
      <c r="AE328" s="158"/>
      <c r="AF328" s="158"/>
      <c r="AG328" s="158"/>
      <c r="AH328" s="158"/>
      <c r="AI328" s="158"/>
      <c r="AJ328" s="158"/>
      <c r="AK328" s="158"/>
      <c r="AL328" s="158"/>
      <c r="AM328" s="158"/>
      <c r="AN328" s="396"/>
      <c r="AO328" s="396"/>
      <c r="AP328" s="396"/>
      <c r="AQ328" s="396"/>
      <c r="AR328" s="396"/>
      <c r="AS328" s="396"/>
      <c r="AT328" s="396"/>
      <c r="AU328" s="396"/>
      <c r="AV328" s="396"/>
      <c r="AW328" s="396"/>
      <c r="AX328" s="396"/>
      <c r="AY328" s="396"/>
      <c r="AZ328" s="396"/>
      <c r="BA328" s="396"/>
      <c r="BB328" s="396"/>
      <c r="BC328" s="396"/>
      <c r="BD328" s="396"/>
    </row>
    <row r="329" spans="2:56" s="322" customFormat="1" x14ac:dyDescent="0.25">
      <c r="B329" s="405"/>
      <c r="C329" s="405"/>
      <c r="D329" s="405"/>
      <c r="E329" s="406"/>
      <c r="F329" s="406"/>
      <c r="G329" s="407"/>
      <c r="H329" s="408"/>
      <c r="I329" s="408"/>
      <c r="J329" s="408"/>
      <c r="K329" s="408"/>
      <c r="L329" s="408"/>
      <c r="M329" s="408"/>
      <c r="N329" s="394"/>
      <c r="AB329" s="158"/>
      <c r="AC329" s="158"/>
      <c r="AD329" s="158"/>
      <c r="AE329" s="158"/>
      <c r="AF329" s="158"/>
      <c r="AG329" s="158"/>
      <c r="AH329" s="158"/>
      <c r="AI329" s="158"/>
      <c r="AJ329" s="158"/>
      <c r="AK329" s="158"/>
      <c r="AL329" s="158"/>
      <c r="AM329" s="158"/>
      <c r="AN329" s="396"/>
      <c r="AO329" s="396"/>
      <c r="AP329" s="396"/>
      <c r="AQ329" s="396"/>
      <c r="AR329" s="396"/>
      <c r="AS329" s="396"/>
      <c r="AT329" s="396"/>
      <c r="AU329" s="396"/>
      <c r="AV329" s="396"/>
      <c r="AW329" s="396"/>
      <c r="AX329" s="396"/>
      <c r="AY329" s="396"/>
      <c r="AZ329" s="396"/>
      <c r="BA329" s="396"/>
      <c r="BB329" s="396"/>
      <c r="BC329" s="396"/>
      <c r="BD329" s="396"/>
    </row>
    <row r="330" spans="2:56" s="322" customFormat="1" x14ac:dyDescent="0.25">
      <c r="B330" s="405"/>
      <c r="C330" s="405"/>
      <c r="D330" s="405"/>
      <c r="E330" s="406"/>
      <c r="F330" s="406"/>
      <c r="G330" s="407"/>
      <c r="H330" s="408"/>
      <c r="I330" s="408"/>
      <c r="J330" s="408"/>
      <c r="K330" s="408"/>
      <c r="L330" s="408"/>
      <c r="M330" s="408"/>
      <c r="N330" s="394"/>
      <c r="AB330" s="158"/>
      <c r="AC330" s="158"/>
      <c r="AD330" s="158"/>
      <c r="AE330" s="158"/>
      <c r="AF330" s="158"/>
      <c r="AG330" s="158"/>
      <c r="AH330" s="158"/>
      <c r="AI330" s="158"/>
      <c r="AJ330" s="158"/>
      <c r="AK330" s="158"/>
      <c r="AL330" s="158"/>
      <c r="AM330" s="158"/>
      <c r="AN330" s="396"/>
      <c r="AO330" s="396"/>
      <c r="AP330" s="396"/>
      <c r="AQ330" s="396"/>
      <c r="AR330" s="396"/>
      <c r="AS330" s="396"/>
      <c r="AT330" s="396"/>
      <c r="AU330" s="396"/>
      <c r="AV330" s="396"/>
      <c r="AW330" s="396"/>
      <c r="AX330" s="396"/>
      <c r="AY330" s="396"/>
      <c r="AZ330" s="396"/>
      <c r="BA330" s="396"/>
      <c r="BB330" s="396"/>
      <c r="BC330" s="396"/>
      <c r="BD330" s="396"/>
    </row>
    <row r="331" spans="2:56" s="322" customFormat="1" x14ac:dyDescent="0.25">
      <c r="B331" s="405"/>
      <c r="C331" s="405"/>
      <c r="D331" s="405"/>
      <c r="E331" s="406"/>
      <c r="F331" s="406"/>
      <c r="G331" s="407"/>
      <c r="H331" s="408"/>
      <c r="I331" s="408"/>
      <c r="J331" s="408"/>
      <c r="K331" s="408"/>
      <c r="L331" s="408"/>
      <c r="M331" s="408"/>
      <c r="N331" s="394"/>
      <c r="AB331" s="158"/>
      <c r="AC331" s="158"/>
      <c r="AD331" s="158"/>
      <c r="AE331" s="158"/>
      <c r="AF331" s="158"/>
      <c r="AG331" s="158"/>
      <c r="AH331" s="158"/>
      <c r="AI331" s="158"/>
      <c r="AJ331" s="158"/>
      <c r="AK331" s="158"/>
      <c r="AL331" s="158"/>
      <c r="AM331" s="158"/>
      <c r="AN331" s="396"/>
      <c r="AO331" s="396"/>
      <c r="AP331" s="396"/>
      <c r="AQ331" s="396"/>
      <c r="AR331" s="396"/>
      <c r="AS331" s="396"/>
      <c r="AT331" s="396"/>
      <c r="AU331" s="396"/>
      <c r="AV331" s="396"/>
      <c r="AW331" s="396"/>
      <c r="AX331" s="396"/>
      <c r="AY331" s="396"/>
      <c r="AZ331" s="396"/>
      <c r="BA331" s="396"/>
      <c r="BB331" s="396"/>
      <c r="BC331" s="396"/>
      <c r="BD331" s="396"/>
    </row>
    <row r="332" spans="2:56" s="322" customFormat="1" x14ac:dyDescent="0.25">
      <c r="B332" s="405"/>
      <c r="C332" s="405"/>
      <c r="D332" s="405"/>
      <c r="E332" s="406"/>
      <c r="F332" s="406"/>
      <c r="G332" s="407"/>
      <c r="H332" s="408"/>
      <c r="I332" s="408"/>
      <c r="J332" s="408"/>
      <c r="K332" s="408"/>
      <c r="L332" s="408"/>
      <c r="M332" s="408"/>
      <c r="N332" s="394"/>
      <c r="AB332" s="158"/>
      <c r="AC332" s="158"/>
      <c r="AD332" s="158"/>
      <c r="AE332" s="158"/>
      <c r="AF332" s="158"/>
      <c r="AG332" s="158"/>
      <c r="AH332" s="158"/>
      <c r="AI332" s="158"/>
      <c r="AJ332" s="158"/>
      <c r="AK332" s="158"/>
      <c r="AL332" s="158"/>
      <c r="AM332" s="158"/>
      <c r="AN332" s="396"/>
      <c r="AO332" s="396"/>
      <c r="AP332" s="396"/>
      <c r="AQ332" s="396"/>
      <c r="AR332" s="396"/>
      <c r="AS332" s="396"/>
      <c r="AT332" s="396"/>
      <c r="AU332" s="396"/>
      <c r="AV332" s="396"/>
      <c r="AW332" s="396"/>
      <c r="AX332" s="396"/>
      <c r="AY332" s="396"/>
      <c r="AZ332" s="396"/>
      <c r="BA332" s="396"/>
      <c r="BB332" s="396"/>
      <c r="BC332" s="396"/>
      <c r="BD332" s="396"/>
    </row>
    <row r="333" spans="2:56" s="322" customFormat="1" x14ac:dyDescent="0.25">
      <c r="B333" s="405"/>
      <c r="C333" s="405"/>
      <c r="D333" s="405"/>
      <c r="E333" s="406"/>
      <c r="F333" s="406"/>
      <c r="G333" s="407"/>
      <c r="H333" s="408"/>
      <c r="I333" s="408"/>
      <c r="J333" s="408"/>
      <c r="K333" s="408"/>
      <c r="L333" s="408"/>
      <c r="M333" s="408"/>
      <c r="N333" s="394"/>
      <c r="AB333" s="158"/>
      <c r="AC333" s="158"/>
      <c r="AD333" s="158"/>
      <c r="AE333" s="158"/>
      <c r="AF333" s="158"/>
      <c r="AG333" s="158"/>
      <c r="AH333" s="158"/>
      <c r="AI333" s="158"/>
      <c r="AJ333" s="158"/>
      <c r="AK333" s="158"/>
      <c r="AL333" s="158"/>
      <c r="AM333" s="158"/>
      <c r="AN333" s="396"/>
      <c r="AO333" s="396"/>
      <c r="AP333" s="396"/>
      <c r="AQ333" s="396"/>
      <c r="AR333" s="396"/>
      <c r="AS333" s="396"/>
      <c r="AT333" s="396"/>
      <c r="AU333" s="396"/>
      <c r="AV333" s="396"/>
      <c r="AW333" s="396"/>
      <c r="AX333" s="396"/>
      <c r="AY333" s="396"/>
      <c r="AZ333" s="396"/>
      <c r="BA333" s="396"/>
      <c r="BB333" s="396"/>
      <c r="BC333" s="396"/>
      <c r="BD333" s="396"/>
    </row>
    <row r="334" spans="2:56" s="322" customFormat="1" x14ac:dyDescent="0.25">
      <c r="B334" s="405"/>
      <c r="C334" s="405"/>
      <c r="D334" s="405"/>
      <c r="E334" s="406"/>
      <c r="F334" s="406"/>
      <c r="G334" s="407"/>
      <c r="H334" s="408"/>
      <c r="I334" s="408"/>
      <c r="J334" s="408"/>
      <c r="K334" s="408"/>
      <c r="L334" s="408"/>
      <c r="M334" s="408"/>
      <c r="N334" s="394"/>
      <c r="AB334" s="158"/>
      <c r="AC334" s="158"/>
      <c r="AD334" s="158"/>
      <c r="AE334" s="158"/>
      <c r="AF334" s="158"/>
      <c r="AG334" s="158"/>
      <c r="AH334" s="158"/>
      <c r="AI334" s="158"/>
      <c r="AJ334" s="158"/>
      <c r="AK334" s="158"/>
      <c r="AL334" s="158"/>
      <c r="AM334" s="158"/>
      <c r="AN334" s="396"/>
      <c r="AO334" s="396"/>
      <c r="AP334" s="396"/>
      <c r="AQ334" s="396"/>
      <c r="AR334" s="396"/>
      <c r="AS334" s="396"/>
      <c r="AT334" s="396"/>
      <c r="AU334" s="396"/>
      <c r="AV334" s="396"/>
      <c r="AW334" s="396"/>
      <c r="AX334" s="396"/>
      <c r="AY334" s="396"/>
      <c r="AZ334" s="396"/>
      <c r="BA334" s="396"/>
      <c r="BB334" s="396"/>
      <c r="BC334" s="396"/>
      <c r="BD334" s="396"/>
    </row>
    <row r="335" spans="2:56" s="322" customFormat="1" x14ac:dyDescent="0.25">
      <c r="B335" s="405"/>
      <c r="C335" s="405"/>
      <c r="D335" s="405"/>
      <c r="E335" s="406"/>
      <c r="F335" s="406"/>
      <c r="G335" s="407"/>
      <c r="H335" s="408"/>
      <c r="I335" s="408"/>
      <c r="J335" s="408"/>
      <c r="K335" s="408"/>
      <c r="L335" s="408"/>
      <c r="M335" s="408"/>
      <c r="N335" s="394"/>
      <c r="AB335" s="158"/>
      <c r="AC335" s="158"/>
      <c r="AD335" s="158"/>
      <c r="AE335" s="158"/>
      <c r="AF335" s="158"/>
      <c r="AG335" s="158"/>
      <c r="AH335" s="158"/>
      <c r="AI335" s="158"/>
      <c r="AJ335" s="158"/>
      <c r="AK335" s="158"/>
      <c r="AL335" s="158"/>
      <c r="AM335" s="158"/>
      <c r="AN335" s="396"/>
      <c r="AO335" s="396"/>
      <c r="AP335" s="396"/>
      <c r="AQ335" s="396"/>
      <c r="AR335" s="396"/>
      <c r="AS335" s="396"/>
      <c r="AT335" s="396"/>
      <c r="AU335" s="396"/>
      <c r="AV335" s="396"/>
      <c r="AW335" s="396"/>
      <c r="AX335" s="396"/>
      <c r="AY335" s="396"/>
      <c r="AZ335" s="396"/>
      <c r="BA335" s="396"/>
      <c r="BB335" s="396"/>
      <c r="BC335" s="396"/>
      <c r="BD335" s="396"/>
    </row>
    <row r="336" spans="2:56" s="322" customFormat="1" x14ac:dyDescent="0.25">
      <c r="B336" s="405"/>
      <c r="C336" s="405"/>
      <c r="D336" s="405"/>
      <c r="E336" s="406"/>
      <c r="F336" s="406"/>
      <c r="G336" s="407"/>
      <c r="H336" s="408"/>
      <c r="I336" s="408"/>
      <c r="J336" s="408"/>
      <c r="K336" s="408"/>
      <c r="L336" s="408"/>
      <c r="M336" s="408"/>
      <c r="N336" s="394"/>
      <c r="AB336" s="158"/>
      <c r="AC336" s="158"/>
      <c r="AD336" s="158"/>
      <c r="AE336" s="158"/>
      <c r="AF336" s="158"/>
      <c r="AG336" s="158"/>
      <c r="AH336" s="158"/>
      <c r="AI336" s="158"/>
      <c r="AJ336" s="158"/>
      <c r="AK336" s="158"/>
      <c r="AL336" s="158"/>
      <c r="AM336" s="158"/>
      <c r="AN336" s="396"/>
      <c r="AO336" s="396"/>
      <c r="AP336" s="396"/>
      <c r="AQ336" s="396"/>
      <c r="AR336" s="396"/>
      <c r="AS336" s="396"/>
      <c r="AT336" s="396"/>
      <c r="AU336" s="396"/>
      <c r="AV336" s="396"/>
      <c r="AW336" s="396"/>
      <c r="AX336" s="396"/>
      <c r="AY336" s="396"/>
      <c r="AZ336" s="396"/>
      <c r="BA336" s="396"/>
      <c r="BB336" s="396"/>
      <c r="BC336" s="396"/>
      <c r="BD336" s="396"/>
    </row>
    <row r="337" spans="1:56" s="322" customFormat="1" x14ac:dyDescent="0.25">
      <c r="B337" s="405"/>
      <c r="C337" s="405"/>
      <c r="D337" s="405"/>
      <c r="E337" s="406"/>
      <c r="F337" s="406"/>
      <c r="G337" s="407"/>
      <c r="H337" s="408"/>
      <c r="I337" s="408"/>
      <c r="J337" s="408"/>
      <c r="K337" s="408"/>
      <c r="L337" s="408"/>
      <c r="M337" s="408"/>
      <c r="N337" s="394"/>
      <c r="AB337" s="158"/>
      <c r="AC337" s="158"/>
      <c r="AD337" s="158"/>
      <c r="AE337" s="158"/>
      <c r="AF337" s="158"/>
      <c r="AG337" s="158"/>
      <c r="AH337" s="158"/>
      <c r="AI337" s="158"/>
      <c r="AJ337" s="158"/>
      <c r="AK337" s="158"/>
      <c r="AL337" s="158"/>
      <c r="AM337" s="158"/>
      <c r="AN337" s="396"/>
      <c r="AO337" s="396"/>
      <c r="AP337" s="396"/>
      <c r="AQ337" s="396"/>
      <c r="AR337" s="396"/>
      <c r="AS337" s="396"/>
      <c r="AT337" s="396"/>
      <c r="AU337" s="396"/>
      <c r="AV337" s="396"/>
      <c r="AW337" s="396"/>
      <c r="AX337" s="396"/>
      <c r="AY337" s="396"/>
      <c r="AZ337" s="396"/>
      <c r="BA337" s="396"/>
      <c r="BB337" s="396"/>
      <c r="BC337" s="396"/>
      <c r="BD337" s="396"/>
    </row>
    <row r="338" spans="1:56" x14ac:dyDescent="0.25">
      <c r="B338" s="379"/>
      <c r="C338" s="379"/>
      <c r="D338" s="379"/>
      <c r="E338" s="82"/>
      <c r="F338" s="82"/>
      <c r="G338" s="337"/>
      <c r="H338" s="334"/>
      <c r="I338" s="334"/>
      <c r="J338" s="334"/>
      <c r="K338" s="334"/>
      <c r="L338" s="334"/>
      <c r="M338" s="334"/>
      <c r="AW338" s="187"/>
      <c r="AX338" s="187"/>
      <c r="AY338" s="187"/>
      <c r="AZ338" s="187"/>
      <c r="BA338" s="187"/>
      <c r="BB338" s="187"/>
      <c r="BC338" s="187"/>
      <c r="BD338" s="187"/>
    </row>
    <row r="339" spans="1:56" ht="15.75" x14ac:dyDescent="0.25">
      <c r="A339" s="450">
        <v>8</v>
      </c>
      <c r="B339" s="452" t="s">
        <v>29</v>
      </c>
      <c r="C339" s="453"/>
      <c r="D339" s="453"/>
      <c r="E339" s="453"/>
      <c r="F339" s="453"/>
      <c r="G339" s="453"/>
      <c r="H339" s="453"/>
      <c r="I339" s="453"/>
      <c r="J339" s="453"/>
      <c r="K339" s="314"/>
      <c r="L339" s="376"/>
      <c r="M339" s="86"/>
    </row>
    <row r="340" spans="1:56" ht="32.1" customHeight="1" x14ac:dyDescent="0.25">
      <c r="A340" s="451"/>
      <c r="B340" s="454" t="str">
        <f>IF(E56="","",$F$3&amp;", "&amp;$B$48&amp;" and England")</f>
        <v>,  and England</v>
      </c>
      <c r="C340" s="455"/>
      <c r="D340" s="456"/>
      <c r="E340" s="456"/>
      <c r="F340" s="456"/>
      <c r="G340" s="456"/>
      <c r="H340" s="456"/>
      <c r="I340" s="456"/>
      <c r="J340" s="456"/>
      <c r="K340" s="316"/>
      <c r="L340" s="316"/>
      <c r="M340" s="39"/>
    </row>
    <row r="341" spans="1:56" x14ac:dyDescent="0.25">
      <c r="B341" s="255"/>
      <c r="C341" s="388"/>
      <c r="D341" s="256"/>
      <c r="E341" s="87">
        <v>2015</v>
      </c>
      <c r="F341" s="87">
        <v>2016</v>
      </c>
      <c r="G341" s="87">
        <v>2017</v>
      </c>
      <c r="H341" s="87">
        <v>2018</v>
      </c>
      <c r="I341" s="70">
        <v>2019</v>
      </c>
      <c r="J341" s="70">
        <v>2020</v>
      </c>
      <c r="K341" s="70">
        <v>2021</v>
      </c>
      <c r="L341" s="70">
        <v>2022</v>
      </c>
      <c r="M341" s="71">
        <v>2023</v>
      </c>
    </row>
    <row r="342" spans="1:56" x14ac:dyDescent="0.25">
      <c r="B342" s="56">
        <f>$F$3</f>
        <v>0</v>
      </c>
      <c r="C342" s="57"/>
      <c r="D342" s="57"/>
      <c r="E342" s="257"/>
      <c r="F342" s="329"/>
      <c r="G342" s="329"/>
      <c r="H342" s="329"/>
      <c r="I342" s="329"/>
      <c r="J342" s="329"/>
      <c r="K342" s="329"/>
      <c r="L342" s="329"/>
      <c r="M342" s="258"/>
    </row>
    <row r="343" spans="1:56" x14ac:dyDescent="0.25">
      <c r="B343" s="88" t="s">
        <v>30</v>
      </c>
      <c r="C343" s="89"/>
      <c r="D343" s="89"/>
      <c r="E343" s="259" t="str">
        <f>IFERROR(VLOOKUP($B$342,Y_1,29,0),"")</f>
        <v/>
      </c>
      <c r="F343" s="260" t="str">
        <f>IFERROR(VLOOKUP($B$342,Y_2,29,0),"")</f>
        <v/>
      </c>
      <c r="G343" s="259" t="str">
        <f>IFERROR(VLOOKUP($B$342,Y_3,29,0),"")</f>
        <v/>
      </c>
      <c r="H343" s="259" t="str">
        <f>IFERROR(VLOOKUP($B$342,Y_4,29,0),"")</f>
        <v/>
      </c>
      <c r="I343" s="259" t="str">
        <f>IFERROR(VLOOKUP($B$342,Y_5,29,0),"")</f>
        <v/>
      </c>
      <c r="J343" s="259" t="str">
        <f>IFERROR(VLOOKUP($B$342,Y_6,29,0),"")</f>
        <v/>
      </c>
      <c r="K343" s="259" t="str">
        <f>IFERROR(VLOOKUP($B$342,Y_7,29,0),"")</f>
        <v/>
      </c>
      <c r="L343" s="259" t="str">
        <f>IFERROR(VLOOKUP($B$342,Y_8,29,0),"")</f>
        <v/>
      </c>
      <c r="M343" s="261" t="str">
        <f>IFERROR(VLOOKUP($B$342,Y_9,29,0),"")</f>
        <v/>
      </c>
    </row>
    <row r="344" spans="1:56" x14ac:dyDescent="0.25">
      <c r="B344" s="90" t="s">
        <v>31</v>
      </c>
      <c r="C344" s="91"/>
      <c r="D344" s="91"/>
      <c r="E344" s="92" t="str">
        <f>IFERROR(VLOOKUP($B$342,Y_1,30,0),"")</f>
        <v/>
      </c>
      <c r="F344" s="92" t="str">
        <f>IFERROR(VLOOKUP($B$342,Y_2,30,0),"")</f>
        <v/>
      </c>
      <c r="G344" s="92" t="str">
        <f>IFERROR(VLOOKUP($B$342,Y_3,30,0),"")</f>
        <v/>
      </c>
      <c r="H344" s="92" t="str">
        <f>IFERROR(VLOOKUP($B$342,Y_4,30,0),"")</f>
        <v/>
      </c>
      <c r="I344" s="92" t="str">
        <f>IFERROR(VLOOKUP($B$342,Y_5,30,0),"")</f>
        <v/>
      </c>
      <c r="J344" s="92" t="str">
        <f>IFERROR(VLOOKUP($B$342,Y_6,30,0),"")</f>
        <v/>
      </c>
      <c r="K344" s="92" t="str">
        <f>IFERROR(VLOOKUP($B$342,Y_7,30,0),"")</f>
        <v/>
      </c>
      <c r="L344" s="92" t="str">
        <f>IFERROR(VLOOKUP($B$342,Y_8,30,0),"")</f>
        <v/>
      </c>
      <c r="M344" s="93" t="str">
        <f>IFERROR(VLOOKUP($B$342,Y_9,30,0),"")</f>
        <v/>
      </c>
    </row>
    <row r="345" spans="1:56" x14ac:dyDescent="0.25">
      <c r="B345" s="94" t="s">
        <v>32</v>
      </c>
      <c r="C345" s="95"/>
      <c r="D345" s="95"/>
      <c r="E345" s="96" t="str">
        <f>IFERROR(VLOOKUP($B$342,Y_1,31,0),"")</f>
        <v/>
      </c>
      <c r="F345" s="96" t="str">
        <f>IFERROR(VLOOKUP($B$342,Y_2,31,0),"")</f>
        <v/>
      </c>
      <c r="G345" s="96" t="str">
        <f>IFERROR(VLOOKUP($B$342,Y_3,31,0),"")</f>
        <v/>
      </c>
      <c r="H345" s="96" t="str">
        <f>IFERROR(VLOOKUP($B$342,Y_4,31,0),"")</f>
        <v/>
      </c>
      <c r="I345" s="96" t="str">
        <f>IFERROR(VLOOKUP($B$342,Y_5,31,0),"")</f>
        <v/>
      </c>
      <c r="J345" s="96" t="str">
        <f>IFERROR(VLOOKUP($B$342,Y_6,31,0),"")</f>
        <v/>
      </c>
      <c r="K345" s="96" t="str">
        <f>IFERROR(VLOOKUP($B$342,Y_7,31,0),"")</f>
        <v/>
      </c>
      <c r="L345" s="96" t="str">
        <f>IFERROR(VLOOKUP($B$342,Y_8,31,0),"")</f>
        <v/>
      </c>
      <c r="M345" s="97" t="str">
        <f>IFERROR(VLOOKUP($B$342,Y_9,31,0),"")</f>
        <v/>
      </c>
    </row>
    <row r="346" spans="1:56" x14ac:dyDescent="0.25">
      <c r="B346" s="98" t="s">
        <v>33</v>
      </c>
      <c r="C346" s="99"/>
      <c r="D346" s="99"/>
      <c r="E346" s="100" t="str">
        <f>IFERROR(VLOOKUP($B$342,Y_1,32,0),"")</f>
        <v/>
      </c>
      <c r="F346" s="101" t="str">
        <f>IFERROR(VLOOKUP($B$342,Y_2,32,0),"")</f>
        <v/>
      </c>
      <c r="G346" s="102" t="str">
        <f>IFERROR(VLOOKUP($B$342,Y_3,32,0),"")</f>
        <v/>
      </c>
      <c r="H346" s="102" t="str">
        <f>IFERROR(VLOOKUP($B$342,Y_4,32,0),"")</f>
        <v/>
      </c>
      <c r="I346" s="102" t="str">
        <f>IFERROR(VLOOKUP($B$342,Y_5,32,0),"")</f>
        <v/>
      </c>
      <c r="J346" s="102" t="str">
        <f>IFERROR(VLOOKUP($B$342,Y_6,32,0),"")</f>
        <v/>
      </c>
      <c r="K346" s="102" t="str">
        <f>IFERROR(VLOOKUP($B$342,Y_7,32,0),"")</f>
        <v/>
      </c>
      <c r="L346" s="102" t="str">
        <f>IFERROR(VLOOKUP($B$342,Y_8,32,0),"")</f>
        <v/>
      </c>
      <c r="M346" s="103" t="str">
        <f>IFERROR(VLOOKUP($B$342,Y_9,32,0),"")</f>
        <v/>
      </c>
    </row>
    <row r="347" spans="1:56" x14ac:dyDescent="0.25">
      <c r="B347" s="164" t="s">
        <v>34</v>
      </c>
      <c r="C347" s="379"/>
      <c r="D347" s="165"/>
      <c r="E347" s="166" t="str">
        <f>IFERROR($E$346/$E$343,"")</f>
        <v/>
      </c>
      <c r="F347" s="166" t="str">
        <f>IFERROR($F$346/$F$343,"")</f>
        <v/>
      </c>
      <c r="G347" s="166" t="str">
        <f>IFERROR($G$346/$G$343,"")</f>
        <v/>
      </c>
      <c r="H347" s="166" t="str">
        <f>IFERROR($H$346/$H$343,"")</f>
        <v/>
      </c>
      <c r="I347" s="166" t="str">
        <f>IFERROR($I$346/$I$343,"")</f>
        <v/>
      </c>
      <c r="J347" s="166" t="str">
        <f>IFERROR($J$346/$J$343,"")</f>
        <v/>
      </c>
      <c r="K347" s="166" t="str">
        <f>IFERROR($K$346/$K$343,"")</f>
        <v/>
      </c>
      <c r="L347" s="166" t="str">
        <f>IFERROR($L$346/$L$343,"")</f>
        <v/>
      </c>
      <c r="M347" s="343" t="str">
        <f>IFERROR($M$346/$M$343,"")</f>
        <v/>
      </c>
    </row>
    <row r="348" spans="1:56" x14ac:dyDescent="0.25">
      <c r="B348" s="104" t="s">
        <v>35</v>
      </c>
      <c r="C348" s="389"/>
      <c r="D348" s="105"/>
      <c r="E348" s="106" t="str">
        <f>IFERROR($E$344/$E$343,"")</f>
        <v/>
      </c>
      <c r="F348" s="166" t="str">
        <f>IFERROR($F$344/$F$343,"")</f>
        <v/>
      </c>
      <c r="G348" s="166" t="str">
        <f>IFERROR($G$344/$G$343,"")</f>
        <v/>
      </c>
      <c r="H348" s="166" t="str">
        <f>IFERROR($H$344/$H$343,"")</f>
        <v/>
      </c>
      <c r="I348" s="166" t="str">
        <f>IFERROR($I$344/$I$343,"")</f>
        <v/>
      </c>
      <c r="J348" s="166" t="str">
        <f>IFERROR($J$344/$J$343,"")</f>
        <v/>
      </c>
      <c r="K348" s="166" t="str">
        <f>IFERROR($K$344/$K$343,"")</f>
        <v/>
      </c>
      <c r="L348" s="166" t="str">
        <f>IFERROR($L$344/$L$343,"")</f>
        <v/>
      </c>
      <c r="M348" s="167" t="str">
        <f>IFERROR($M$344/$M$343,"")</f>
        <v/>
      </c>
    </row>
    <row r="349" spans="1:56" x14ac:dyDescent="0.25">
      <c r="B349" s="104" t="s">
        <v>802</v>
      </c>
      <c r="C349" s="389"/>
      <c r="D349" s="105"/>
      <c r="E349" s="106" t="str">
        <f>IFERROR($E$345/$E$343,"")</f>
        <v/>
      </c>
      <c r="F349" s="166" t="str">
        <f>IFERROR($F$345/$F$343,"")</f>
        <v/>
      </c>
      <c r="G349" s="166" t="str">
        <f>IFERROR($G$345/$G$343,"")</f>
        <v/>
      </c>
      <c r="H349" s="166" t="str">
        <f>IFERROR($H$345/$H$343,"")</f>
        <v/>
      </c>
      <c r="I349" s="166" t="str">
        <f>IFERROR($I$345/$I$343,"")</f>
        <v/>
      </c>
      <c r="J349" s="166" t="str">
        <f>IFERROR($J$345/$J$343,"")</f>
        <v/>
      </c>
      <c r="K349" s="166" t="str">
        <f>IFERROR($K$345/$K$343,"")</f>
        <v/>
      </c>
      <c r="L349" s="166" t="str">
        <f>IFERROR($L$345/$L$343,"")</f>
        <v/>
      </c>
      <c r="M349" s="167" t="str">
        <f>IFERROR($M$345/$M$343,"")</f>
        <v/>
      </c>
    </row>
    <row r="350" spans="1:56" x14ac:dyDescent="0.25">
      <c r="B350" s="104"/>
      <c r="C350" s="389"/>
      <c r="D350" s="105"/>
      <c r="E350" s="106"/>
      <c r="F350" s="166"/>
      <c r="G350" s="166"/>
      <c r="H350" s="166"/>
      <c r="I350" s="166"/>
      <c r="J350" s="166"/>
      <c r="K350" s="166"/>
      <c r="L350" s="166"/>
      <c r="M350" s="167"/>
    </row>
    <row r="351" spans="1:56" x14ac:dyDescent="0.25">
      <c r="B351" s="56" t="str">
        <f>$B$48</f>
        <v/>
      </c>
      <c r="C351" s="57"/>
      <c r="D351" s="57"/>
      <c r="E351" s="260"/>
      <c r="F351" s="328"/>
      <c r="G351" s="328"/>
      <c r="H351" s="328"/>
      <c r="I351" s="328"/>
      <c r="J351" s="328"/>
      <c r="K351" s="328"/>
      <c r="L351" s="328"/>
      <c r="M351" s="262"/>
    </row>
    <row r="352" spans="1:56" x14ac:dyDescent="0.25">
      <c r="B352" s="88" t="s">
        <v>30</v>
      </c>
      <c r="C352" s="89"/>
      <c r="D352" s="89"/>
      <c r="E352" s="259" t="str">
        <f>IFERROR(VLOOKUP($B$351,Y_1,29,0),"")</f>
        <v/>
      </c>
      <c r="F352" s="259" t="str">
        <f>IFERROR(VLOOKUP($B$351,Y_2,29,0),"")</f>
        <v/>
      </c>
      <c r="G352" s="259" t="str">
        <f>IFERROR(VLOOKUP($B$351,Y_3,29,0),"")</f>
        <v/>
      </c>
      <c r="H352" s="259" t="str">
        <f>IFERROR(VLOOKUP($B$351,Y_4,29,0),"")</f>
        <v/>
      </c>
      <c r="I352" s="259" t="str">
        <f>IFERROR(VLOOKUP($B$351,Y_5,29,0),"")</f>
        <v/>
      </c>
      <c r="J352" s="259" t="str">
        <f>IFERROR(VLOOKUP($B$351,Y_6,29,0),"")</f>
        <v/>
      </c>
      <c r="K352" s="259" t="str">
        <f>IFERROR(VLOOKUP($B$351,Y_7,29,0),"")</f>
        <v/>
      </c>
      <c r="L352" s="259" t="str">
        <f>IFERROR(VLOOKUP($B$351,Y_8,29,0),"")</f>
        <v/>
      </c>
      <c r="M352" s="261" t="str">
        <f>IFERROR(VLOOKUP($B$351,Y_9,29,0),"")</f>
        <v/>
      </c>
    </row>
    <row r="353" spans="2:15" x14ac:dyDescent="0.25">
      <c r="B353" s="104" t="s">
        <v>31</v>
      </c>
      <c r="C353" s="389"/>
      <c r="D353" s="105"/>
      <c r="E353" s="107" t="str">
        <f>IFERROR(VLOOKUP($B$351,Y_1,30,0),"")</f>
        <v/>
      </c>
      <c r="F353" s="107" t="str">
        <f>IFERROR(VLOOKUP($B$351,Y_2,30,0),"")</f>
        <v/>
      </c>
      <c r="G353" s="107" t="str">
        <f>IFERROR(VLOOKUP($B$351,Y_3,30,0),"")</f>
        <v/>
      </c>
      <c r="H353" s="107" t="str">
        <f>IFERROR(VLOOKUP($B$351,Y_4,30,0),"")</f>
        <v/>
      </c>
      <c r="I353" s="107" t="str">
        <f>IFERROR(VLOOKUP($B$351,Y_5,30,0),"")</f>
        <v/>
      </c>
      <c r="J353" s="107" t="str">
        <f>IFERROR(VLOOKUP($B$351,Y_6,30,0),"")</f>
        <v/>
      </c>
      <c r="K353" s="342" t="str">
        <f>IFERROR(VLOOKUP($B$351,Y_7,30,0),"")</f>
        <v/>
      </c>
      <c r="L353" s="342" t="str">
        <f>IFERROR(VLOOKUP($B$351,Y_8,30,0),"")</f>
        <v/>
      </c>
      <c r="M353" s="108" t="str">
        <f>IFERROR(VLOOKUP($B$351,Y_9,30,0),"")</f>
        <v/>
      </c>
    </row>
    <row r="354" spans="2:15" x14ac:dyDescent="0.25">
      <c r="B354" s="94" t="s">
        <v>32</v>
      </c>
      <c r="C354" s="95"/>
      <c r="D354" s="95"/>
      <c r="E354" s="109" t="str">
        <f>IFERROR(VLOOKUP($B$351,Y_1,31,0),"")</f>
        <v/>
      </c>
      <c r="F354" s="109" t="str">
        <f>IFERROR(VLOOKUP($B$351,Y_2,31,0),"")</f>
        <v/>
      </c>
      <c r="G354" s="109" t="str">
        <f>IFERROR(VLOOKUP($B$351,Y_3,31,0),"")</f>
        <v/>
      </c>
      <c r="H354" s="109" t="str">
        <f>IFERROR(VLOOKUP($B$351,Y_4,31,0),"")</f>
        <v/>
      </c>
      <c r="I354" s="109" t="str">
        <f>IFERROR(VLOOKUP($B$351,Y_5,31,0),"")</f>
        <v/>
      </c>
      <c r="J354" s="109" t="str">
        <f>IFERROR(VLOOKUP($B$351,Y_6,31,0),"")</f>
        <v/>
      </c>
      <c r="K354" s="109" t="str">
        <f>IFERROR(VLOOKUP($B$351,Y_7,31,0),"")</f>
        <v/>
      </c>
      <c r="L354" s="109" t="str">
        <f>IFERROR(VLOOKUP($B$351,Y_8,31,0),"")</f>
        <v/>
      </c>
      <c r="M354" s="110" t="str">
        <f>IFERROR(VLOOKUP($B$351,Y_9,31,0),"")</f>
        <v/>
      </c>
    </row>
    <row r="355" spans="2:15" x14ac:dyDescent="0.25">
      <c r="B355" s="111" t="s">
        <v>33</v>
      </c>
      <c r="C355" s="112"/>
      <c r="D355" s="112"/>
      <c r="E355" s="113" t="str">
        <f>IFERROR(VLOOKUP($B$351,Y_1,32,0),"")</f>
        <v/>
      </c>
      <c r="F355" s="113" t="str">
        <f>IFERROR(VLOOKUP($B$351,Y_2,32,0),"")</f>
        <v/>
      </c>
      <c r="G355" s="113" t="str">
        <f>IFERROR(VLOOKUP($B$351,Y_3,32,0),"")</f>
        <v/>
      </c>
      <c r="H355" s="113" t="str">
        <f>IFERROR(VLOOKUP($B$351,Y_4,32,0),"")</f>
        <v/>
      </c>
      <c r="I355" s="113" t="str">
        <f>IFERROR(VLOOKUP($B$351,Y_5,32,0),"")</f>
        <v/>
      </c>
      <c r="J355" s="113" t="str">
        <f>IFERROR(VLOOKUP($B$351,Y_6,32,0),"")</f>
        <v/>
      </c>
      <c r="K355" s="113" t="str">
        <f>IFERROR(VLOOKUP($B$351,Y_7,32,0),"")</f>
        <v/>
      </c>
      <c r="L355" s="113" t="str">
        <f>IFERROR(VLOOKUP($B$351,Y_8,32,0),"")</f>
        <v/>
      </c>
      <c r="M355" s="114" t="str">
        <f>IFERROR(VLOOKUP($B$351,Y_9,32,0),"")</f>
        <v/>
      </c>
    </row>
    <row r="356" spans="2:15" x14ac:dyDescent="0.25">
      <c r="B356" s="164" t="s">
        <v>34</v>
      </c>
      <c r="C356" s="379"/>
      <c r="D356" s="115"/>
      <c r="E356" s="106" t="str">
        <f>IFERROR($E$355/$E$352,"")</f>
        <v/>
      </c>
      <c r="F356" s="106" t="str">
        <f>IFERROR($F$355/$F$352,"")</f>
        <v/>
      </c>
      <c r="G356" s="106" t="str">
        <f>IFERROR($G$355/$G$352,"")</f>
        <v/>
      </c>
      <c r="H356" s="106" t="str">
        <f>IFERROR($H$355/$H$352,"")</f>
        <v/>
      </c>
      <c r="I356" s="106" t="str">
        <f>IFERROR($I$355/$I$352,"")</f>
        <v/>
      </c>
      <c r="J356" s="106" t="str">
        <f>IFERROR($J$355/$J$352,"")</f>
        <v/>
      </c>
      <c r="K356" s="106" t="str">
        <f>IFERROR($K$355/$K$352,"")</f>
        <v/>
      </c>
      <c r="L356" s="106" t="str">
        <f>IFERROR($L$355/$L$352,"")</f>
        <v/>
      </c>
      <c r="M356" s="373" t="str">
        <f>IFERROR($M$355/$M$352,"")</f>
        <v/>
      </c>
    </row>
    <row r="357" spans="2:15" x14ac:dyDescent="0.25">
      <c r="B357" s="104" t="s">
        <v>35</v>
      </c>
      <c r="C357" s="389"/>
      <c r="D357" s="105"/>
      <c r="E357" s="106" t="str">
        <f>IFERROR($E$353/$E$352,"")</f>
        <v/>
      </c>
      <c r="F357" s="106" t="str">
        <f>IFERROR($F$353/$F$352,"")</f>
        <v/>
      </c>
      <c r="G357" s="166" t="str">
        <f>IFERROR($G$353/$G$352,"")</f>
        <v/>
      </c>
      <c r="H357" s="166" t="str">
        <f>IFERROR($H$353/$H$352,"")</f>
        <v/>
      </c>
      <c r="I357" s="166" t="str">
        <f>IFERROR($I$353/$I$352,"")</f>
        <v/>
      </c>
      <c r="J357" s="166" t="str">
        <f>IFERROR($J$353/$J$352,"")</f>
        <v/>
      </c>
      <c r="K357" s="166" t="str">
        <f>IFERROR($K$353/$K$352,"")</f>
        <v/>
      </c>
      <c r="L357" s="166" t="str">
        <f>IFERROR($L$353/$L$352,"")</f>
        <v/>
      </c>
      <c r="M357" s="167" t="str">
        <f>IFERROR($M$353/$M$352,"")</f>
        <v/>
      </c>
    </row>
    <row r="358" spans="2:15" x14ac:dyDescent="0.25">
      <c r="B358" s="104" t="s">
        <v>802</v>
      </c>
      <c r="C358" s="389"/>
      <c r="D358" s="105"/>
      <c r="E358" s="106" t="str">
        <f>IFERROR($E$354/$E$352,"")</f>
        <v/>
      </c>
      <c r="F358" s="106" t="str">
        <f>IFERROR($F$354/$F$352,"")</f>
        <v/>
      </c>
      <c r="G358" s="166" t="str">
        <f>IFERROR($G$354/$G$352,"")</f>
        <v/>
      </c>
      <c r="H358" s="166" t="str">
        <f>IFERROR($H$354/$H$352,"")</f>
        <v/>
      </c>
      <c r="I358" s="166" t="str">
        <f>IFERROR($I$354/$I$352,"")</f>
        <v/>
      </c>
      <c r="J358" s="166" t="str">
        <f>IFERROR($J$354/$J$352,"")</f>
        <v/>
      </c>
      <c r="K358" s="166" t="str">
        <f>IFERROR($K$354/$K$352,"")</f>
        <v/>
      </c>
      <c r="L358" s="166" t="str">
        <f>IFERROR($L$354/$L$352,"")</f>
        <v/>
      </c>
      <c r="M358" s="167" t="str">
        <f>IFERROR($M$354/$M$352,"")</f>
        <v/>
      </c>
    </row>
    <row r="359" spans="2:15" x14ac:dyDescent="0.25">
      <c r="B359" s="104"/>
      <c r="C359" s="389"/>
      <c r="D359" s="105"/>
      <c r="E359" s="106"/>
      <c r="F359" s="166"/>
      <c r="G359" s="166"/>
      <c r="H359" s="166"/>
      <c r="I359" s="166"/>
      <c r="J359" s="166"/>
      <c r="K359" s="166"/>
      <c r="L359" s="166"/>
      <c r="M359" s="167"/>
    </row>
    <row r="360" spans="2:15" x14ac:dyDescent="0.25">
      <c r="B360" s="56" t="s">
        <v>13</v>
      </c>
      <c r="C360" s="57"/>
      <c r="D360" s="57"/>
      <c r="E360" s="260"/>
      <c r="F360" s="328"/>
      <c r="G360" s="328"/>
      <c r="H360" s="328"/>
      <c r="I360" s="328"/>
      <c r="J360" s="328"/>
      <c r="K360" s="328"/>
      <c r="L360" s="328"/>
      <c r="M360" s="262"/>
    </row>
    <row r="361" spans="2:15" x14ac:dyDescent="0.25">
      <c r="B361" s="88" t="s">
        <v>30</v>
      </c>
      <c r="C361" s="89"/>
      <c r="D361" s="89"/>
      <c r="E361" s="259">
        <f>VLOOKUP($B$360,Y_1,29,0)</f>
        <v>1967526</v>
      </c>
      <c r="F361" s="259">
        <f>VLOOKUP($B$360,Y_2,29,0)</f>
        <v>2008229</v>
      </c>
      <c r="G361" s="259">
        <f>VLOOKUP($B$360,Y_3,29,0)</f>
        <v>2049681</v>
      </c>
      <c r="H361" s="259">
        <f>VLOOKUP($B$360,Y_4,29,0)</f>
        <v>2073839</v>
      </c>
      <c r="I361" s="259">
        <f>VLOOKUP($B$360,Y_5,29,0)</f>
        <v>2093758</v>
      </c>
      <c r="J361" s="259">
        <f>VLOOKUP($B$360,Y_6,29,0)</f>
        <v>2115391</v>
      </c>
      <c r="K361" s="259">
        <f>VLOOKUP($B$360,Y_7,29,0)</f>
        <v>2127268</v>
      </c>
      <c r="L361" s="259">
        <f>VLOOKUP($B$360,Y_8,29,0)</f>
        <v>2150753</v>
      </c>
      <c r="M361" s="261">
        <f>VLOOKUP($B$360,Y_9,29,0)</f>
        <v>2178923</v>
      </c>
    </row>
    <row r="362" spans="2:15" x14ac:dyDescent="0.25">
      <c r="B362" s="104" t="s">
        <v>31</v>
      </c>
      <c r="C362" s="389"/>
      <c r="D362" s="105"/>
      <c r="E362" s="107">
        <f>VLOOKUP($B$360,Y_1,30,0)</f>
        <v>15068</v>
      </c>
      <c r="F362" s="107">
        <f>VLOOKUP($B$360,Y_2,30,0)</f>
        <v>12436</v>
      </c>
      <c r="G362" s="107">
        <f>VLOOKUP($B$360,Y_3,30,0)</f>
        <v>11473</v>
      </c>
      <c r="H362" s="107">
        <f>VLOOKUP($B$360,Y_4,30,0)</f>
        <v>11579</v>
      </c>
      <c r="I362" s="107">
        <f>VLOOKUP($B$360,Y_5,30,0)</f>
        <v>12562</v>
      </c>
      <c r="J362" s="107">
        <f>VLOOKUP($B$360,Y_6,30,0)</f>
        <v>16888</v>
      </c>
      <c r="K362" s="342">
        <f>VLOOKUP($B$360,Y_7,30,0)</f>
        <v>15784</v>
      </c>
      <c r="L362" s="342">
        <f>VLOOKUP($B$360,Y_8,30,0)</f>
        <v>17696</v>
      </c>
      <c r="M362" s="108">
        <f>VLOOKUP($B$360,Y_9,30,0)</f>
        <v>16534</v>
      </c>
    </row>
    <row r="363" spans="2:15" x14ac:dyDescent="0.25">
      <c r="B363" s="94" t="s">
        <v>32</v>
      </c>
      <c r="C363" s="95"/>
      <c r="D363" s="95"/>
      <c r="E363" s="109">
        <f>VLOOKUP($B$360,Y_1,31,0)</f>
        <v>12347</v>
      </c>
      <c r="F363" s="109">
        <f>VLOOKUP($B$360,Y_2,31,0)</f>
        <v>11462</v>
      </c>
      <c r="G363" s="109">
        <f>VLOOKUP($B$360,Y_3,31,0)</f>
        <v>11057</v>
      </c>
      <c r="H363" s="109">
        <f>VLOOKUP($B$360,Y_4,31,0)</f>
        <v>10889</v>
      </c>
      <c r="I363" s="109">
        <f>VLOOKUP($B$360,Y_5,31,0)</f>
        <v>12987</v>
      </c>
      <c r="J363" s="109">
        <f>VLOOKUP($B$360,Y_6,31,0)</f>
        <v>13840</v>
      </c>
      <c r="K363" s="109">
        <f>VLOOKUP($B$360,Y_7,31,0)</f>
        <v>13111</v>
      </c>
      <c r="L363" s="109">
        <f>VLOOKUP($B$360,Y_8,31,0)</f>
        <v>14009</v>
      </c>
      <c r="M363" s="110">
        <f>VLOOKUP($B$360,Y_9,31,0)</f>
        <v>18990</v>
      </c>
    </row>
    <row r="364" spans="2:15" x14ac:dyDescent="0.25">
      <c r="B364" s="111" t="s">
        <v>33</v>
      </c>
      <c r="C364" s="112"/>
      <c r="D364" s="112"/>
      <c r="E364" s="113">
        <f>VLOOKUP($B$360,Y_1,32,0)</f>
        <v>27415</v>
      </c>
      <c r="F364" s="113">
        <f>VLOOKUP($B$360,Y_2,32,0)</f>
        <v>23898</v>
      </c>
      <c r="G364" s="113">
        <f>VLOOKUP($B$360,Y_3,32,0)</f>
        <v>22530</v>
      </c>
      <c r="H364" s="113">
        <f>VLOOKUP($B$360,Y_4,32,0)</f>
        <v>22468</v>
      </c>
      <c r="I364" s="113">
        <f>VLOOKUP($B$360,Y_5,32,0)</f>
        <v>25549</v>
      </c>
      <c r="J364" s="113">
        <f>VLOOKUP($B$360,Y_6,32,0)</f>
        <v>30728</v>
      </c>
      <c r="K364" s="113">
        <f>VLOOKUP($B$360,Y_7,32,0)</f>
        <v>28895</v>
      </c>
      <c r="L364" s="113">
        <f>VLOOKUP($B$360,Y_8,32,0)</f>
        <v>31705</v>
      </c>
      <c r="M364" s="114">
        <f>VLOOKUP($B$360,Y_9,32,0)</f>
        <v>35524</v>
      </c>
    </row>
    <row r="365" spans="2:15" x14ac:dyDescent="0.25">
      <c r="B365" s="164" t="s">
        <v>34</v>
      </c>
      <c r="C365" s="379"/>
      <c r="D365" s="115"/>
      <c r="E365" s="106">
        <f t="shared" ref="E365:J365" si="15">E364/E361</f>
        <v>1.3933742171640933E-2</v>
      </c>
      <c r="F365" s="106">
        <f t="shared" si="15"/>
        <v>1.1900037296543372E-2</v>
      </c>
      <c r="G365" s="106">
        <f t="shared" si="15"/>
        <v>1.0991954357775674E-2</v>
      </c>
      <c r="H365" s="106">
        <f t="shared" si="15"/>
        <v>1.0834013633652372E-2</v>
      </c>
      <c r="I365" s="106">
        <f t="shared" si="15"/>
        <v>1.2202460838358587E-2</v>
      </c>
      <c r="J365" s="106">
        <f t="shared" si="15"/>
        <v>1.452591979449662E-2</v>
      </c>
      <c r="K365" s="106">
        <f t="shared" ref="K365" si="16">K364/K361</f>
        <v>1.3583149842897086E-2</v>
      </c>
      <c r="L365" s="106">
        <f t="shared" ref="L365" si="17">L364/L361</f>
        <v>1.4741348727631672E-2</v>
      </c>
      <c r="M365" s="373">
        <f t="shared" ref="M365" si="18">M364/M361</f>
        <v>1.6303467355202547E-2</v>
      </c>
    </row>
    <row r="366" spans="2:15" x14ac:dyDescent="0.25">
      <c r="B366" s="104" t="s">
        <v>35</v>
      </c>
      <c r="C366" s="389"/>
      <c r="D366" s="105"/>
      <c r="E366" s="106">
        <f t="shared" ref="E366:J366" si="19">E362/E361</f>
        <v>7.6583486063208309E-3</v>
      </c>
      <c r="F366" s="166">
        <f t="shared" si="19"/>
        <v>6.1925208728685821E-3</v>
      </c>
      <c r="G366" s="166">
        <f t="shared" si="19"/>
        <v>5.597456384676445E-3</v>
      </c>
      <c r="H366" s="166">
        <f t="shared" si="19"/>
        <v>5.5833649574533028E-3</v>
      </c>
      <c r="I366" s="166">
        <f t="shared" si="19"/>
        <v>5.9997382696567606E-3</v>
      </c>
      <c r="J366" s="166">
        <f t="shared" si="19"/>
        <v>7.9833940864833027E-3</v>
      </c>
      <c r="K366" s="166">
        <f t="shared" ref="K366" si="20">K362/K361</f>
        <v>7.4198455483747228E-3</v>
      </c>
      <c r="L366" s="166">
        <f t="shared" ref="L366" si="21">L362/L361</f>
        <v>8.2278160253641403E-3</v>
      </c>
      <c r="M366" s="167">
        <f t="shared" ref="M366" si="22">M362/M361</f>
        <v>7.58815249552187E-3</v>
      </c>
    </row>
    <row r="367" spans="2:15" x14ac:dyDescent="0.25">
      <c r="B367" s="104" t="s">
        <v>802</v>
      </c>
      <c r="C367" s="389"/>
      <c r="D367" s="105"/>
      <c r="E367" s="27">
        <f t="shared" ref="E367:J367" si="23">E363/E361</f>
        <v>6.2753935653201021E-3</v>
      </c>
      <c r="F367" s="225">
        <f t="shared" si="23"/>
        <v>5.7075164236747898E-3</v>
      </c>
      <c r="G367" s="225">
        <f t="shared" si="23"/>
        <v>5.3944979730992286E-3</v>
      </c>
      <c r="H367" s="225">
        <f t="shared" si="23"/>
        <v>5.2506486761990682E-3</v>
      </c>
      <c r="I367" s="225">
        <f t="shared" si="23"/>
        <v>6.2027225687018269E-3</v>
      </c>
      <c r="J367" s="225">
        <f t="shared" si="23"/>
        <v>6.5425257080133177E-3</v>
      </c>
      <c r="K367" s="225">
        <f t="shared" ref="K367" si="24">K363/K361</f>
        <v>6.1633042945223636E-3</v>
      </c>
      <c r="L367" s="225">
        <f t="shared" ref="L367" si="25">L363/L361</f>
        <v>6.5135327022675313E-3</v>
      </c>
      <c r="M367" s="226">
        <f t="shared" ref="M367" si="26">M363/M361</f>
        <v>8.7153148596806774E-3</v>
      </c>
    </row>
    <row r="368" spans="2:15" x14ac:dyDescent="0.25">
      <c r="B368" s="116" t="s">
        <v>36</v>
      </c>
      <c r="C368" s="117"/>
      <c r="D368" s="117"/>
      <c r="E368" s="117"/>
      <c r="F368" s="118"/>
      <c r="G368" s="119"/>
      <c r="H368" s="120"/>
      <c r="I368" s="32"/>
      <c r="J368" s="120"/>
      <c r="K368" s="120"/>
      <c r="L368" s="120"/>
      <c r="M368" s="121"/>
      <c r="O368" s="122" t="str">
        <f>IF(F3="","Vacant general needs self-contained units and percentage of all general needs self-contained units vacant","Vacant general needs self-contained units and percentage of all general needs self-contained units vacant in "&amp;$F$3&amp;" - large PRPs only")</f>
        <v>Vacant general needs self-contained units and percentage of all general needs self-contained units vacant</v>
      </c>
    </row>
    <row r="369" spans="2:56" x14ac:dyDescent="0.25">
      <c r="B369" s="123" t="s">
        <v>37</v>
      </c>
      <c r="C369" s="390"/>
      <c r="D369" s="124"/>
      <c r="E369" s="124"/>
      <c r="F369" s="125"/>
      <c r="G369" s="126"/>
      <c r="H369" s="127"/>
      <c r="J369" s="127"/>
      <c r="K369" s="127"/>
      <c r="L369" s="127"/>
      <c r="M369" s="128"/>
    </row>
    <row r="370" spans="2:56" x14ac:dyDescent="0.25">
      <c r="B370" s="129" t="s">
        <v>806</v>
      </c>
      <c r="C370" s="130"/>
      <c r="D370" s="130"/>
      <c r="E370" s="130"/>
      <c r="F370" s="131"/>
      <c r="G370" s="132"/>
      <c r="H370" s="132"/>
      <c r="I370" s="34"/>
      <c r="J370" s="132"/>
      <c r="K370" s="132"/>
      <c r="L370" s="132"/>
      <c r="M370" s="133"/>
      <c r="AN370" s="187"/>
      <c r="AO370" s="187"/>
      <c r="AP370" s="187"/>
      <c r="AQ370" s="187"/>
      <c r="AR370" s="187"/>
      <c r="AS370" s="187"/>
      <c r="AT370" s="187"/>
      <c r="AU370" s="187"/>
      <c r="AV370" s="187"/>
      <c r="AW370" s="187"/>
      <c r="AX370" s="187"/>
      <c r="AY370" s="187"/>
      <c r="AZ370" s="187"/>
      <c r="BA370" s="187"/>
      <c r="BB370" s="187"/>
      <c r="BC370" s="187"/>
      <c r="BD370" s="187"/>
    </row>
    <row r="371" spans="2:56" x14ac:dyDescent="0.25"/>
  </sheetData>
  <sheetProtection algorithmName="SHA-512" hashValue="L8xeqwOUZHdqJ8K0eq9k2nyiesWyU6BahkTNXuZ399G9tuXNzKRXF2zUJeSNAO+ZeRfZbKdigXyKmHe7ESJ4zg==" saltValue="uy1GWxVK3acCxCgOpmfwIA==" spinCount="100000" sheet="1" objects="1" scenarios="1" formatRows="0"/>
  <mergeCells count="40">
    <mergeCell ref="B1:M1"/>
    <mergeCell ref="B94:J94"/>
    <mergeCell ref="N115:T117"/>
    <mergeCell ref="B117:J118"/>
    <mergeCell ref="A38:A39"/>
    <mergeCell ref="F3:H3"/>
    <mergeCell ref="D4:E4"/>
    <mergeCell ref="J3:L3"/>
    <mergeCell ref="A11:A12"/>
    <mergeCell ref="A66:A67"/>
    <mergeCell ref="B64:D64"/>
    <mergeCell ref="B41:B45"/>
    <mergeCell ref="A51:A52"/>
    <mergeCell ref="A93:A94"/>
    <mergeCell ref="A339:A340"/>
    <mergeCell ref="B339:J339"/>
    <mergeCell ref="B340:J340"/>
    <mergeCell ref="A147:A148"/>
    <mergeCell ref="B148:J148"/>
    <mergeCell ref="B172:J173"/>
    <mergeCell ref="A202:A203"/>
    <mergeCell ref="B203:J203"/>
    <mergeCell ref="A246:A247"/>
    <mergeCell ref="B247:J247"/>
    <mergeCell ref="A175:A176"/>
    <mergeCell ref="A219:A220"/>
    <mergeCell ref="A263:A264"/>
    <mergeCell ref="A312:A313"/>
    <mergeCell ref="A290:A291"/>
    <mergeCell ref="A120:A121"/>
    <mergeCell ref="C42:D42"/>
    <mergeCell ref="C43:D43"/>
    <mergeCell ref="B54:D54"/>
    <mergeCell ref="B55:D55"/>
    <mergeCell ref="B56:D56"/>
    <mergeCell ref="B58:D58"/>
    <mergeCell ref="B59:D59"/>
    <mergeCell ref="B60:D60"/>
    <mergeCell ref="B62:D62"/>
    <mergeCell ref="B63:D63"/>
  </mergeCells>
  <conditionalFormatting sqref="E347:I351 E359:I359 E353:E358 G356:I358 B96:C96 B151:C151 B206:C206 B250:C250 B293:C293 B342:C342 L347:M349 J356:J359">
    <cfRule type="expression" dxfId="37" priority="42">
      <formula>$B$342=0</formula>
    </cfRule>
  </conditionalFormatting>
  <conditionalFormatting sqref="E344:I344 E345:H345 E346:M346">
    <cfRule type="expression" dxfId="36" priority="41">
      <formula>$B$342=0</formula>
    </cfRule>
  </conditionalFormatting>
  <conditionalFormatting sqref="B53:C53">
    <cfRule type="expression" dxfId="35" priority="40">
      <formula>$B$342=0</formula>
    </cfRule>
  </conditionalFormatting>
  <conditionalFormatting sqref="F353:F358">
    <cfRule type="expression" dxfId="34" priority="39">
      <formula>$B$342=0</formula>
    </cfRule>
  </conditionalFormatting>
  <conditionalFormatting sqref="G353:G355">
    <cfRule type="expression" dxfId="33" priority="38">
      <formula>$B$342=0</formula>
    </cfRule>
  </conditionalFormatting>
  <conditionalFormatting sqref="H353:H355">
    <cfRule type="expression" dxfId="32" priority="37">
      <formula>$B$342=0</formula>
    </cfRule>
  </conditionalFormatting>
  <conditionalFormatting sqref="I353:I355">
    <cfRule type="expression" dxfId="31" priority="36">
      <formula>$B$342=0</formula>
    </cfRule>
  </conditionalFormatting>
  <conditionalFormatting sqref="E362:E364">
    <cfRule type="expression" dxfId="30" priority="35">
      <formula>$B$342=0</formula>
    </cfRule>
  </conditionalFormatting>
  <conditionalFormatting sqref="F362:F364">
    <cfRule type="expression" dxfId="29" priority="34">
      <formula>$B$342=0</formula>
    </cfRule>
  </conditionalFormatting>
  <conditionalFormatting sqref="G362:G364">
    <cfRule type="expression" dxfId="28" priority="33">
      <formula>$B$342=0</formula>
    </cfRule>
  </conditionalFormatting>
  <conditionalFormatting sqref="H362:H364">
    <cfRule type="expression" dxfId="27" priority="32">
      <formula>$B$342=0</formula>
    </cfRule>
  </conditionalFormatting>
  <conditionalFormatting sqref="I362:I364">
    <cfRule type="expression" dxfId="26" priority="31">
      <formula>$B$342=0</formula>
    </cfRule>
  </conditionalFormatting>
  <conditionalFormatting sqref="K356:K359">
    <cfRule type="expression" dxfId="25" priority="22">
      <formula>$B$342=0</formula>
    </cfRule>
  </conditionalFormatting>
  <conditionalFormatting sqref="F4">
    <cfRule type="expression" dxfId="24" priority="26">
      <formula>$F$3=""</formula>
    </cfRule>
  </conditionalFormatting>
  <conditionalFormatting sqref="D4:E4">
    <cfRule type="expression" dxfId="23" priority="25">
      <formula>$F$3=""</formula>
    </cfRule>
  </conditionalFormatting>
  <conditionalFormatting sqref="B7:G9 I7:M9">
    <cfRule type="expression" dxfId="22" priority="24">
      <formula>$F$3=""</formula>
    </cfRule>
  </conditionalFormatting>
  <conditionalFormatting sqref="I345">
    <cfRule type="expression" dxfId="21" priority="23">
      <formula>$B$342=0</formula>
    </cfRule>
  </conditionalFormatting>
  <conditionalFormatting sqref="J345">
    <cfRule type="expression" dxfId="20" priority="12">
      <formula>$B$342=0</formula>
    </cfRule>
  </conditionalFormatting>
  <conditionalFormatting sqref="K347:L351">
    <cfRule type="expression" dxfId="19" priority="21">
      <formula>$B$342=0</formula>
    </cfRule>
  </conditionalFormatting>
  <conditionalFormatting sqref="K344">
    <cfRule type="expression" dxfId="18" priority="20">
      <formula>$B$342=0</formula>
    </cfRule>
  </conditionalFormatting>
  <conditionalFormatting sqref="K353:K355">
    <cfRule type="expression" dxfId="17" priority="19">
      <formula>$B$342=0</formula>
    </cfRule>
  </conditionalFormatting>
  <conditionalFormatting sqref="K362:K364">
    <cfRule type="expression" dxfId="16" priority="18">
      <formula>$B$342=0</formula>
    </cfRule>
  </conditionalFormatting>
  <conditionalFormatting sqref="K345">
    <cfRule type="expression" dxfId="15" priority="17">
      <formula>$B$342=0</formula>
    </cfRule>
  </conditionalFormatting>
  <conditionalFormatting sqref="J347:J351">
    <cfRule type="expression" dxfId="14" priority="16">
      <formula>$B$342=0</formula>
    </cfRule>
  </conditionalFormatting>
  <conditionalFormatting sqref="J344">
    <cfRule type="expression" dxfId="13" priority="15">
      <formula>$B$342=0</formula>
    </cfRule>
  </conditionalFormatting>
  <conditionalFormatting sqref="J353:J355">
    <cfRule type="expression" dxfId="12" priority="14">
      <formula>$B$342=0</formula>
    </cfRule>
  </conditionalFormatting>
  <conditionalFormatting sqref="J362:J364">
    <cfRule type="expression" dxfId="11" priority="13">
      <formula>$B$342=0</formula>
    </cfRule>
  </conditionalFormatting>
  <conditionalFormatting sqref="L356:M359">
    <cfRule type="expression" dxfId="10" priority="11">
      <formula>$B$342=0</formula>
    </cfRule>
  </conditionalFormatting>
  <conditionalFormatting sqref="L350:M351">
    <cfRule type="expression" dxfId="9" priority="10">
      <formula>$B$342=0</formula>
    </cfRule>
  </conditionalFormatting>
  <conditionalFormatting sqref="L344:M344">
    <cfRule type="expression" dxfId="8" priority="9">
      <formula>$B$342=0</formula>
    </cfRule>
  </conditionalFormatting>
  <conditionalFormatting sqref="L353:M355">
    <cfRule type="expression" dxfId="7" priority="8">
      <formula>$B$342=0</formula>
    </cfRule>
  </conditionalFormatting>
  <conditionalFormatting sqref="L362:M364">
    <cfRule type="expression" dxfId="6" priority="7">
      <formula>$B$342=0</formula>
    </cfRule>
  </conditionalFormatting>
  <conditionalFormatting sqref="L345:M345">
    <cfRule type="expression" dxfId="5" priority="6">
      <formula>$B$342=0</formula>
    </cfRule>
  </conditionalFormatting>
  <conditionalFormatting sqref="L356:L359">
    <cfRule type="expression" dxfId="4" priority="5">
      <formula>$B$342=0</formula>
    </cfRule>
  </conditionalFormatting>
  <conditionalFormatting sqref="L344">
    <cfRule type="expression" dxfId="3" priority="4">
      <formula>$B$342=0</formula>
    </cfRule>
  </conditionalFormatting>
  <conditionalFormatting sqref="L353:L355">
    <cfRule type="expression" dxfId="2" priority="3">
      <formula>$B$342=0</formula>
    </cfRule>
  </conditionalFormatting>
  <conditionalFormatting sqref="L362:L364">
    <cfRule type="expression" dxfId="1" priority="2">
      <formula>$B$342=0</formula>
    </cfRule>
  </conditionalFormatting>
  <conditionalFormatting sqref="L345">
    <cfRule type="expression" dxfId="0" priority="1">
      <formula>$B$342=0</formula>
    </cfRule>
  </conditionalFormatting>
  <dataValidations count="1">
    <dataValidation type="list" allowBlank="1" showInputMessage="1" sqref="F3" xr:uid="{AA9CEF1E-7851-4D64-9A00-CD3BF085C666}">
      <formula1>validation_list</formula1>
    </dataValidation>
  </dataValidations>
  <hyperlinks>
    <hyperlink ref="J3:L3" location="'How to use the search function'!A1" display="Click for help on the search function" xr:uid="{157FE561-540B-4097-A749-DD3375E73F60}"/>
  </hyperlinks>
  <pageMargins left="0.70866141732283472" right="0.70866141732283472" top="0.74803149606299213" bottom="0.74803149606299213" header="0.31496062992125984" footer="0.31496062992125984"/>
  <pageSetup paperSize="9" scale="37" fitToHeight="3" orientation="portrait" r:id="rId1"/>
  <headerFooter>
    <oddFooter>&amp;C&amp;1#&amp;"Calibri"&amp;12&amp;K0078D7OFFICIAL</oddFooter>
  </headerFooter>
  <rowBreaks count="2" manualBreakCount="2">
    <brk id="119" max="16383" man="1"/>
    <brk id="245"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01D2E-CBE3-4566-BCBA-F3767734FF7A}">
  <sheetPr codeName="Sheet15"/>
  <dimension ref="B2:M323"/>
  <sheetViews>
    <sheetView workbookViewId="0">
      <selection activeCell="K5" sqref="K5:M322"/>
    </sheetView>
  </sheetViews>
  <sheetFormatPr defaultColWidth="8.7109375" defaultRowHeight="15" x14ac:dyDescent="0.25"/>
  <cols>
    <col min="1" max="1" width="8.7109375" style="187"/>
    <col min="2" max="13" width="8.85546875" style="424" customWidth="1"/>
    <col min="14" max="16384" width="8.7109375" style="187"/>
  </cols>
  <sheetData>
    <row r="2" spans="2:13" x14ac:dyDescent="0.25">
      <c r="F2" s="473" t="s">
        <v>701</v>
      </c>
      <c r="G2" s="473"/>
      <c r="H2" s="473"/>
      <c r="I2" s="473"/>
      <c r="J2" s="473"/>
      <c r="K2" s="473"/>
      <c r="L2" s="473"/>
      <c r="M2" s="473"/>
    </row>
    <row r="3" spans="2:13" x14ac:dyDescent="0.25">
      <c r="F3" s="425"/>
      <c r="G3" s="426">
        <v>1</v>
      </c>
      <c r="H3" s="426">
        <v>2</v>
      </c>
      <c r="I3" s="426">
        <v>3</v>
      </c>
      <c r="J3" s="426">
        <v>4</v>
      </c>
      <c r="K3" s="426">
        <v>5</v>
      </c>
      <c r="L3" s="426">
        <v>6</v>
      </c>
      <c r="M3" s="426">
        <v>7</v>
      </c>
    </row>
    <row r="4" spans="2:13" x14ac:dyDescent="0.25">
      <c r="B4" s="161" t="s">
        <v>47</v>
      </c>
      <c r="C4" s="161" t="s">
        <v>702</v>
      </c>
      <c r="F4" s="162" t="s">
        <v>703</v>
      </c>
      <c r="G4" s="162" t="s">
        <v>704</v>
      </c>
      <c r="H4" s="162" t="s">
        <v>705</v>
      </c>
      <c r="I4" s="162" t="s">
        <v>706</v>
      </c>
      <c r="J4" s="162" t="s">
        <v>707</v>
      </c>
      <c r="K4" s="163" t="s">
        <v>814</v>
      </c>
      <c r="L4" s="163" t="s">
        <v>815</v>
      </c>
      <c r="M4" s="163" t="s">
        <v>816</v>
      </c>
    </row>
    <row r="5" spans="2:13" x14ac:dyDescent="0.25">
      <c r="B5" s="367" t="s">
        <v>87</v>
      </c>
      <c r="C5" s="368" t="s">
        <v>83</v>
      </c>
      <c r="D5" s="144"/>
      <c r="E5" s="144"/>
      <c r="F5" s="367" t="s">
        <v>78</v>
      </c>
      <c r="G5" s="367" t="s">
        <v>78</v>
      </c>
      <c r="H5" s="366">
        <v>80</v>
      </c>
      <c r="I5" s="366">
        <v>74</v>
      </c>
      <c r="J5" s="366">
        <v>154</v>
      </c>
      <c r="K5" s="367">
        <v>75</v>
      </c>
      <c r="L5" s="367">
        <v>79</v>
      </c>
      <c r="M5" s="367">
        <v>154</v>
      </c>
    </row>
    <row r="6" spans="2:13" x14ac:dyDescent="0.25">
      <c r="B6" s="368" t="s">
        <v>89</v>
      </c>
      <c r="C6" s="368" t="s">
        <v>82</v>
      </c>
      <c r="F6" s="367" t="s">
        <v>79</v>
      </c>
      <c r="G6" s="367" t="s">
        <v>79</v>
      </c>
      <c r="H6" s="367">
        <v>95</v>
      </c>
      <c r="I6" s="367">
        <v>115</v>
      </c>
      <c r="J6" s="367">
        <v>210</v>
      </c>
      <c r="K6" s="367">
        <v>83</v>
      </c>
      <c r="L6" s="367">
        <v>120</v>
      </c>
      <c r="M6" s="367">
        <v>203</v>
      </c>
    </row>
    <row r="7" spans="2:13" x14ac:dyDescent="0.25">
      <c r="B7" s="368" t="s">
        <v>91</v>
      </c>
      <c r="C7" s="368" t="s">
        <v>78</v>
      </c>
      <c r="F7" s="367" t="s">
        <v>80</v>
      </c>
      <c r="G7" s="367" t="s">
        <v>80</v>
      </c>
      <c r="H7" s="367">
        <v>89</v>
      </c>
      <c r="I7" s="367">
        <v>253</v>
      </c>
      <c r="J7" s="367">
        <v>342</v>
      </c>
      <c r="K7" s="367">
        <v>78</v>
      </c>
      <c r="L7" s="367">
        <v>275</v>
      </c>
      <c r="M7" s="367">
        <v>353</v>
      </c>
    </row>
    <row r="8" spans="2:13" x14ac:dyDescent="0.25">
      <c r="B8" s="368" t="s">
        <v>93</v>
      </c>
      <c r="C8" s="368" t="s">
        <v>83</v>
      </c>
      <c r="F8" s="367" t="s">
        <v>81</v>
      </c>
      <c r="G8" s="367" t="s">
        <v>81</v>
      </c>
      <c r="H8" s="367">
        <v>42</v>
      </c>
      <c r="I8" s="367">
        <v>61</v>
      </c>
      <c r="J8" s="367">
        <v>103</v>
      </c>
      <c r="K8" s="367">
        <v>38</v>
      </c>
      <c r="L8" s="367">
        <v>69</v>
      </c>
      <c r="M8" s="367">
        <v>107</v>
      </c>
    </row>
    <row r="9" spans="2:13" x14ac:dyDescent="0.25">
      <c r="B9" s="368" t="s">
        <v>95</v>
      </c>
      <c r="C9" s="368" t="s">
        <v>78</v>
      </c>
      <c r="F9" s="367" t="s">
        <v>82</v>
      </c>
      <c r="G9" s="367" t="s">
        <v>82</v>
      </c>
      <c r="H9" s="367">
        <v>98</v>
      </c>
      <c r="I9" s="367">
        <v>138</v>
      </c>
      <c r="J9" s="367">
        <v>236</v>
      </c>
      <c r="K9" s="367">
        <v>74</v>
      </c>
      <c r="L9" s="367">
        <v>145</v>
      </c>
      <c r="M9" s="367">
        <v>219</v>
      </c>
    </row>
    <row r="10" spans="2:13" x14ac:dyDescent="0.25">
      <c r="B10" s="368" t="s">
        <v>97</v>
      </c>
      <c r="C10" s="368" t="s">
        <v>83</v>
      </c>
      <c r="F10" s="367" t="s">
        <v>83</v>
      </c>
      <c r="G10" s="367" t="s">
        <v>83</v>
      </c>
      <c r="H10" s="367">
        <v>109</v>
      </c>
      <c r="I10" s="367">
        <v>222</v>
      </c>
      <c r="J10" s="367">
        <v>331</v>
      </c>
      <c r="K10" s="367">
        <v>96</v>
      </c>
      <c r="L10" s="367">
        <v>220</v>
      </c>
      <c r="M10" s="367">
        <v>316</v>
      </c>
    </row>
    <row r="11" spans="2:13" x14ac:dyDescent="0.25">
      <c r="B11" s="368" t="s">
        <v>99</v>
      </c>
      <c r="C11" s="368" t="s">
        <v>79</v>
      </c>
      <c r="F11" s="367" t="s">
        <v>84</v>
      </c>
      <c r="G11" s="367" t="s">
        <v>84</v>
      </c>
      <c r="H11" s="367">
        <v>86</v>
      </c>
      <c r="I11" s="367">
        <v>134</v>
      </c>
      <c r="J11" s="367">
        <v>220</v>
      </c>
      <c r="K11" s="367">
        <v>74</v>
      </c>
      <c r="L11" s="367">
        <v>130</v>
      </c>
      <c r="M11" s="367">
        <v>204</v>
      </c>
    </row>
    <row r="12" spans="2:13" x14ac:dyDescent="0.25">
      <c r="B12" s="368" t="s">
        <v>101</v>
      </c>
      <c r="C12" s="368" t="s">
        <v>80</v>
      </c>
      <c r="F12" s="367" t="s">
        <v>85</v>
      </c>
      <c r="G12" s="367" t="s">
        <v>85</v>
      </c>
      <c r="H12" s="367">
        <v>83</v>
      </c>
      <c r="I12" s="367">
        <v>118</v>
      </c>
      <c r="J12" s="367">
        <v>201</v>
      </c>
      <c r="K12" s="367">
        <v>71</v>
      </c>
      <c r="L12" s="367">
        <v>128</v>
      </c>
      <c r="M12" s="367">
        <v>199</v>
      </c>
    </row>
    <row r="13" spans="2:13" x14ac:dyDescent="0.25">
      <c r="B13" s="368" t="s">
        <v>103</v>
      </c>
      <c r="C13" s="368" t="s">
        <v>80</v>
      </c>
      <c r="F13" s="367" t="s">
        <v>788</v>
      </c>
      <c r="G13" s="367" t="s">
        <v>788</v>
      </c>
      <c r="H13" s="367">
        <v>63</v>
      </c>
      <c r="I13" s="367">
        <v>94</v>
      </c>
      <c r="J13" s="367">
        <v>157</v>
      </c>
      <c r="K13" s="367">
        <v>64</v>
      </c>
      <c r="L13" s="367">
        <v>96</v>
      </c>
      <c r="M13" s="367">
        <v>160</v>
      </c>
    </row>
    <row r="14" spans="2:13" x14ac:dyDescent="0.25">
      <c r="B14" s="368" t="s">
        <v>105</v>
      </c>
      <c r="C14" s="368" t="s">
        <v>788</v>
      </c>
      <c r="F14" s="367" t="s">
        <v>86</v>
      </c>
      <c r="G14" s="367" t="s">
        <v>87</v>
      </c>
      <c r="H14" s="367">
        <v>15</v>
      </c>
      <c r="I14" s="367">
        <v>2</v>
      </c>
      <c r="J14" s="367">
        <v>17</v>
      </c>
      <c r="K14" s="367">
        <v>15</v>
      </c>
      <c r="L14" s="367">
        <v>3</v>
      </c>
      <c r="M14" s="367">
        <v>18</v>
      </c>
    </row>
    <row r="15" spans="2:13" x14ac:dyDescent="0.25">
      <c r="B15" s="368" t="s">
        <v>107</v>
      </c>
      <c r="C15" s="368" t="s">
        <v>82</v>
      </c>
      <c r="F15" s="368" t="s">
        <v>88</v>
      </c>
      <c r="G15" s="368" t="s">
        <v>89</v>
      </c>
      <c r="H15" s="368">
        <v>9</v>
      </c>
      <c r="I15" s="368">
        <v>6</v>
      </c>
      <c r="J15" s="368">
        <v>15</v>
      </c>
      <c r="K15" s="367">
        <v>9</v>
      </c>
      <c r="L15" s="367">
        <v>7</v>
      </c>
      <c r="M15" s="367">
        <v>16</v>
      </c>
    </row>
    <row r="16" spans="2:13" x14ac:dyDescent="0.25">
      <c r="B16" s="368" t="s">
        <v>109</v>
      </c>
      <c r="C16" s="368" t="s">
        <v>79</v>
      </c>
      <c r="F16" s="368" t="s">
        <v>90</v>
      </c>
      <c r="G16" s="368" t="s">
        <v>91</v>
      </c>
      <c r="H16" s="368">
        <v>15</v>
      </c>
      <c r="I16" s="368">
        <v>6</v>
      </c>
      <c r="J16" s="368">
        <v>21</v>
      </c>
      <c r="K16" s="367">
        <v>20</v>
      </c>
      <c r="L16" s="367">
        <v>5</v>
      </c>
      <c r="M16" s="367">
        <v>25</v>
      </c>
    </row>
    <row r="17" spans="2:13" x14ac:dyDescent="0.25">
      <c r="B17" s="368" t="s">
        <v>111</v>
      </c>
      <c r="C17" s="368" t="s">
        <v>83</v>
      </c>
      <c r="F17" s="368" t="s">
        <v>92</v>
      </c>
      <c r="G17" s="368" t="s">
        <v>93</v>
      </c>
      <c r="H17" s="368">
        <v>23</v>
      </c>
      <c r="I17" s="368">
        <v>6</v>
      </c>
      <c r="J17" s="368">
        <v>29</v>
      </c>
      <c r="K17" s="367">
        <v>28</v>
      </c>
      <c r="L17" s="367">
        <v>7</v>
      </c>
      <c r="M17" s="367">
        <v>35</v>
      </c>
    </row>
    <row r="18" spans="2:13" x14ac:dyDescent="0.25">
      <c r="B18" s="368" t="s">
        <v>113</v>
      </c>
      <c r="C18" s="368" t="s">
        <v>78</v>
      </c>
      <c r="F18" s="368" t="s">
        <v>94</v>
      </c>
      <c r="G18" s="368" t="s">
        <v>95</v>
      </c>
      <c r="H18" s="368">
        <v>18</v>
      </c>
      <c r="I18" s="368">
        <v>1</v>
      </c>
      <c r="J18" s="368">
        <v>19</v>
      </c>
      <c r="K18" s="367">
        <v>22</v>
      </c>
      <c r="L18" s="367">
        <v>2</v>
      </c>
      <c r="M18" s="367">
        <v>24</v>
      </c>
    </row>
    <row r="19" spans="2:13" x14ac:dyDescent="0.25">
      <c r="B19" s="368" t="s">
        <v>115</v>
      </c>
      <c r="C19" s="368" t="s">
        <v>84</v>
      </c>
      <c r="F19" s="368" t="s">
        <v>96</v>
      </c>
      <c r="G19" s="368" t="s">
        <v>97</v>
      </c>
      <c r="H19" s="368">
        <v>20</v>
      </c>
      <c r="I19" s="368">
        <v>3</v>
      </c>
      <c r="J19" s="368">
        <v>23</v>
      </c>
      <c r="K19" s="367">
        <v>27</v>
      </c>
      <c r="L19" s="367">
        <v>2</v>
      </c>
      <c r="M19" s="367">
        <v>29</v>
      </c>
    </row>
    <row r="20" spans="2:13" x14ac:dyDescent="0.25">
      <c r="B20" s="368" t="s">
        <v>117</v>
      </c>
      <c r="C20" s="368" t="s">
        <v>79</v>
      </c>
      <c r="F20" s="368" t="s">
        <v>98</v>
      </c>
      <c r="G20" s="368" t="s">
        <v>99</v>
      </c>
      <c r="H20" s="368">
        <v>19</v>
      </c>
      <c r="I20" s="368">
        <v>4</v>
      </c>
      <c r="J20" s="368">
        <v>23</v>
      </c>
      <c r="K20" s="367">
        <v>22</v>
      </c>
      <c r="L20" s="367">
        <v>4</v>
      </c>
      <c r="M20" s="367">
        <v>26</v>
      </c>
    </row>
    <row r="21" spans="2:13" x14ac:dyDescent="0.25">
      <c r="B21" s="368" t="s">
        <v>119</v>
      </c>
      <c r="C21" s="368" t="s">
        <v>80</v>
      </c>
      <c r="F21" s="368" t="s">
        <v>100</v>
      </c>
      <c r="G21" s="368" t="s">
        <v>101</v>
      </c>
      <c r="H21" s="368">
        <v>29</v>
      </c>
      <c r="I21" s="368">
        <v>1</v>
      </c>
      <c r="J21" s="368">
        <v>30</v>
      </c>
      <c r="K21" s="367">
        <v>21</v>
      </c>
      <c r="L21" s="367">
        <v>4</v>
      </c>
      <c r="M21" s="367">
        <v>25</v>
      </c>
    </row>
    <row r="22" spans="2:13" x14ac:dyDescent="0.25">
      <c r="B22" s="368" t="s">
        <v>121</v>
      </c>
      <c r="C22" s="368" t="s">
        <v>85</v>
      </c>
      <c r="F22" s="368" t="s">
        <v>102</v>
      </c>
      <c r="G22" s="368" t="s">
        <v>103</v>
      </c>
      <c r="H22" s="368">
        <v>35</v>
      </c>
      <c r="I22" s="368">
        <v>21</v>
      </c>
      <c r="J22" s="368">
        <v>56</v>
      </c>
      <c r="K22" s="367">
        <v>29</v>
      </c>
      <c r="L22" s="367">
        <v>30</v>
      </c>
      <c r="M22" s="367">
        <v>59</v>
      </c>
    </row>
    <row r="23" spans="2:13" x14ac:dyDescent="0.25">
      <c r="B23" s="368" t="s">
        <v>123</v>
      </c>
      <c r="C23" s="368" t="s">
        <v>78</v>
      </c>
      <c r="F23" s="368" t="s">
        <v>104</v>
      </c>
      <c r="G23" s="368" t="s">
        <v>105</v>
      </c>
      <c r="H23" s="368">
        <v>12</v>
      </c>
      <c r="I23" s="368">
        <v>3</v>
      </c>
      <c r="J23" s="368">
        <v>15</v>
      </c>
      <c r="K23" s="367">
        <v>20</v>
      </c>
      <c r="L23" s="367">
        <v>6</v>
      </c>
      <c r="M23" s="367">
        <v>26</v>
      </c>
    </row>
    <row r="24" spans="2:13" x14ac:dyDescent="0.25">
      <c r="B24" s="368" t="s">
        <v>125</v>
      </c>
      <c r="C24" s="368" t="s">
        <v>82</v>
      </c>
      <c r="F24" s="368" t="s">
        <v>106</v>
      </c>
      <c r="G24" s="368" t="s">
        <v>107</v>
      </c>
      <c r="H24" s="368">
        <v>8</v>
      </c>
      <c r="I24" s="368">
        <v>3</v>
      </c>
      <c r="J24" s="368">
        <v>11</v>
      </c>
      <c r="K24" s="367">
        <v>10</v>
      </c>
      <c r="L24" s="367">
        <v>6</v>
      </c>
      <c r="M24" s="367">
        <v>16</v>
      </c>
    </row>
    <row r="25" spans="2:13" x14ac:dyDescent="0.25">
      <c r="B25" s="368" t="s">
        <v>127</v>
      </c>
      <c r="C25" s="368" t="s">
        <v>82</v>
      </c>
      <c r="F25" s="368" t="s">
        <v>108</v>
      </c>
      <c r="G25" s="368" t="s">
        <v>109</v>
      </c>
      <c r="H25" s="368">
        <v>20</v>
      </c>
      <c r="I25" s="368">
        <v>4</v>
      </c>
      <c r="J25" s="368">
        <v>24</v>
      </c>
      <c r="K25" s="367">
        <v>20</v>
      </c>
      <c r="L25" s="367">
        <v>6</v>
      </c>
      <c r="M25" s="367">
        <v>26</v>
      </c>
    </row>
    <row r="26" spans="2:13" x14ac:dyDescent="0.25">
      <c r="B26" s="368" t="s">
        <v>129</v>
      </c>
      <c r="C26" s="368" t="s">
        <v>78</v>
      </c>
      <c r="F26" s="368" t="s">
        <v>110</v>
      </c>
      <c r="G26" s="368" t="s">
        <v>111</v>
      </c>
      <c r="H26" s="368">
        <v>27</v>
      </c>
      <c r="I26" s="368">
        <v>4</v>
      </c>
      <c r="J26" s="368">
        <v>31</v>
      </c>
      <c r="K26" s="367">
        <v>28</v>
      </c>
      <c r="L26" s="367">
        <v>9</v>
      </c>
      <c r="M26" s="367">
        <v>37</v>
      </c>
    </row>
    <row r="27" spans="2:13" x14ac:dyDescent="0.25">
      <c r="B27" s="368" t="s">
        <v>131</v>
      </c>
      <c r="C27" s="368" t="s">
        <v>82</v>
      </c>
      <c r="F27" s="368" t="s">
        <v>112</v>
      </c>
      <c r="G27" s="368" t="s">
        <v>113</v>
      </c>
      <c r="H27" s="368">
        <v>18</v>
      </c>
      <c r="I27" s="368">
        <v>4</v>
      </c>
      <c r="J27" s="368">
        <v>22</v>
      </c>
      <c r="K27" s="367">
        <v>24</v>
      </c>
      <c r="L27" s="367">
        <v>4</v>
      </c>
      <c r="M27" s="367">
        <v>28</v>
      </c>
    </row>
    <row r="28" spans="2:13" x14ac:dyDescent="0.25">
      <c r="B28" s="368" t="s">
        <v>133</v>
      </c>
      <c r="C28" s="368" t="s">
        <v>78</v>
      </c>
      <c r="F28" s="368" t="s">
        <v>114</v>
      </c>
      <c r="G28" s="368" t="s">
        <v>115</v>
      </c>
      <c r="H28" s="368">
        <v>22</v>
      </c>
      <c r="I28" s="368">
        <v>9</v>
      </c>
      <c r="J28" s="368">
        <v>31</v>
      </c>
      <c r="K28" s="367">
        <v>22</v>
      </c>
      <c r="L28" s="367">
        <v>9</v>
      </c>
      <c r="M28" s="367">
        <v>31</v>
      </c>
    </row>
    <row r="29" spans="2:13" x14ac:dyDescent="0.25">
      <c r="B29" s="368" t="s">
        <v>135</v>
      </c>
      <c r="C29" s="368" t="s">
        <v>84</v>
      </c>
      <c r="F29" s="368" t="s">
        <v>116</v>
      </c>
      <c r="G29" s="368" t="s">
        <v>117</v>
      </c>
      <c r="H29" s="368">
        <v>25</v>
      </c>
      <c r="I29" s="368">
        <v>7</v>
      </c>
      <c r="J29" s="368">
        <v>32</v>
      </c>
      <c r="K29" s="367">
        <v>30</v>
      </c>
      <c r="L29" s="367">
        <v>12</v>
      </c>
      <c r="M29" s="367">
        <v>42</v>
      </c>
    </row>
    <row r="30" spans="2:13" x14ac:dyDescent="0.25">
      <c r="B30" s="368" t="s">
        <v>137</v>
      </c>
      <c r="C30" s="368" t="s">
        <v>83</v>
      </c>
      <c r="F30" s="368" t="s">
        <v>118</v>
      </c>
      <c r="G30" s="368" t="s">
        <v>119</v>
      </c>
      <c r="H30" s="368">
        <v>26</v>
      </c>
      <c r="I30" s="368">
        <v>14</v>
      </c>
      <c r="J30" s="368">
        <v>40</v>
      </c>
      <c r="K30" s="367">
        <v>25</v>
      </c>
      <c r="L30" s="367">
        <v>17</v>
      </c>
      <c r="M30" s="367">
        <v>42</v>
      </c>
    </row>
    <row r="31" spans="2:13" x14ac:dyDescent="0.25">
      <c r="B31" s="368" t="s">
        <v>139</v>
      </c>
      <c r="C31" s="368" t="s">
        <v>788</v>
      </c>
      <c r="F31" s="368" t="s">
        <v>120</v>
      </c>
      <c r="G31" s="368" t="s">
        <v>121</v>
      </c>
      <c r="H31" s="368">
        <v>32</v>
      </c>
      <c r="I31" s="368">
        <v>45</v>
      </c>
      <c r="J31" s="368">
        <v>77</v>
      </c>
      <c r="K31" s="367">
        <v>33</v>
      </c>
      <c r="L31" s="367">
        <v>49</v>
      </c>
      <c r="M31" s="367">
        <v>82</v>
      </c>
    </row>
    <row r="32" spans="2:13" x14ac:dyDescent="0.25">
      <c r="B32" s="368" t="s">
        <v>141</v>
      </c>
      <c r="C32" s="368" t="s">
        <v>79</v>
      </c>
      <c r="F32" s="368" t="s">
        <v>122</v>
      </c>
      <c r="G32" s="368" t="s">
        <v>123</v>
      </c>
      <c r="H32" s="368">
        <v>17</v>
      </c>
      <c r="I32" s="368">
        <v>1</v>
      </c>
      <c r="J32" s="368">
        <v>18</v>
      </c>
      <c r="K32" s="367">
        <v>18</v>
      </c>
      <c r="L32" s="367">
        <v>2</v>
      </c>
      <c r="M32" s="367">
        <v>20</v>
      </c>
    </row>
    <row r="33" spans="2:13" x14ac:dyDescent="0.25">
      <c r="B33" s="368" t="s">
        <v>143</v>
      </c>
      <c r="C33" s="368" t="s">
        <v>79</v>
      </c>
      <c r="F33" s="368" t="s">
        <v>124</v>
      </c>
      <c r="G33" s="368" t="s">
        <v>125</v>
      </c>
      <c r="H33" s="368">
        <v>16</v>
      </c>
      <c r="I33" s="368">
        <v>8</v>
      </c>
      <c r="J33" s="368">
        <v>24</v>
      </c>
      <c r="K33" s="367">
        <v>15</v>
      </c>
      <c r="L33" s="367">
        <v>12</v>
      </c>
      <c r="M33" s="367">
        <v>27</v>
      </c>
    </row>
    <row r="34" spans="2:13" x14ac:dyDescent="0.25">
      <c r="B34" s="368" t="s">
        <v>145</v>
      </c>
      <c r="C34" s="368" t="s">
        <v>80</v>
      </c>
      <c r="F34" s="368" t="s">
        <v>126</v>
      </c>
      <c r="G34" s="368" t="s">
        <v>127</v>
      </c>
      <c r="H34" s="368">
        <v>15</v>
      </c>
      <c r="I34" s="368">
        <v>5</v>
      </c>
      <c r="J34" s="368">
        <v>20</v>
      </c>
      <c r="K34" s="367">
        <v>17</v>
      </c>
      <c r="L34" s="367">
        <v>11</v>
      </c>
      <c r="M34" s="367">
        <v>28</v>
      </c>
    </row>
    <row r="35" spans="2:13" x14ac:dyDescent="0.25">
      <c r="B35" s="368" t="s">
        <v>147</v>
      </c>
      <c r="C35" s="368" t="s">
        <v>79</v>
      </c>
      <c r="D35" s="427"/>
      <c r="E35" s="427"/>
      <c r="F35" s="368" t="s">
        <v>128</v>
      </c>
      <c r="G35" s="368" t="s">
        <v>129</v>
      </c>
      <c r="H35" s="368">
        <v>12</v>
      </c>
      <c r="I35" s="368">
        <v>2</v>
      </c>
      <c r="J35" s="368">
        <v>14</v>
      </c>
      <c r="K35" s="367">
        <v>20</v>
      </c>
      <c r="L35" s="367">
        <v>2</v>
      </c>
      <c r="M35" s="367">
        <v>22</v>
      </c>
    </row>
    <row r="36" spans="2:13" x14ac:dyDescent="0.25">
      <c r="B36" s="368" t="s">
        <v>149</v>
      </c>
      <c r="C36" s="368" t="s">
        <v>83</v>
      </c>
      <c r="F36" s="368" t="s">
        <v>130</v>
      </c>
      <c r="G36" s="368" t="s">
        <v>131</v>
      </c>
      <c r="H36" s="368">
        <v>21</v>
      </c>
      <c r="I36" s="368">
        <v>3</v>
      </c>
      <c r="J36" s="368">
        <v>24</v>
      </c>
      <c r="K36" s="367">
        <v>19</v>
      </c>
      <c r="L36" s="367">
        <v>8</v>
      </c>
      <c r="M36" s="367">
        <v>27</v>
      </c>
    </row>
    <row r="37" spans="2:13" x14ac:dyDescent="0.25">
      <c r="B37" s="368" t="s">
        <v>151</v>
      </c>
      <c r="C37" s="368" t="s">
        <v>84</v>
      </c>
      <c r="F37" s="368" t="s">
        <v>132</v>
      </c>
      <c r="G37" s="368" t="s">
        <v>133</v>
      </c>
      <c r="H37" s="368">
        <v>11</v>
      </c>
      <c r="I37" s="368">
        <v>4</v>
      </c>
      <c r="J37" s="368">
        <v>15</v>
      </c>
      <c r="K37" s="367">
        <v>11</v>
      </c>
      <c r="L37" s="367">
        <v>4</v>
      </c>
      <c r="M37" s="367">
        <v>15</v>
      </c>
    </row>
    <row r="38" spans="2:13" x14ac:dyDescent="0.25">
      <c r="B38" s="368" t="s">
        <v>153</v>
      </c>
      <c r="C38" s="368" t="s">
        <v>79</v>
      </c>
      <c r="F38" s="368" t="s">
        <v>134</v>
      </c>
      <c r="G38" s="368" t="s">
        <v>135</v>
      </c>
      <c r="H38" s="368">
        <v>0</v>
      </c>
      <c r="I38" s="368">
        <v>0</v>
      </c>
      <c r="J38" s="368">
        <v>0</v>
      </c>
      <c r="K38" s="367">
        <v>26</v>
      </c>
      <c r="L38" s="367">
        <v>12</v>
      </c>
      <c r="M38" s="367">
        <v>38</v>
      </c>
    </row>
    <row r="39" spans="2:13" x14ac:dyDescent="0.25">
      <c r="B39" s="368" t="s">
        <v>155</v>
      </c>
      <c r="C39" s="368" t="s">
        <v>80</v>
      </c>
      <c r="F39" s="368" t="s">
        <v>136</v>
      </c>
      <c r="G39" s="368" t="s">
        <v>137</v>
      </c>
      <c r="H39" s="368">
        <v>23</v>
      </c>
      <c r="I39" s="368">
        <v>1</v>
      </c>
      <c r="J39" s="368">
        <v>24</v>
      </c>
      <c r="K39" s="367">
        <v>28</v>
      </c>
      <c r="L39" s="367">
        <v>4</v>
      </c>
      <c r="M39" s="367">
        <v>32</v>
      </c>
    </row>
    <row r="40" spans="2:13" x14ac:dyDescent="0.25">
      <c r="B40" s="368" t="s">
        <v>157</v>
      </c>
      <c r="C40" s="368" t="s">
        <v>85</v>
      </c>
      <c r="F40" s="368" t="s">
        <v>138</v>
      </c>
      <c r="G40" s="368" t="s">
        <v>139</v>
      </c>
      <c r="H40" s="368">
        <v>25</v>
      </c>
      <c r="I40" s="368">
        <v>14</v>
      </c>
      <c r="J40" s="368">
        <v>39</v>
      </c>
      <c r="K40" s="367">
        <v>31</v>
      </c>
      <c r="L40" s="367">
        <v>19</v>
      </c>
      <c r="M40" s="367">
        <v>50</v>
      </c>
    </row>
    <row r="41" spans="2:13" x14ac:dyDescent="0.25">
      <c r="B41" s="368" t="s">
        <v>159</v>
      </c>
      <c r="C41" s="368" t="s">
        <v>79</v>
      </c>
      <c r="F41" s="368" t="s">
        <v>140</v>
      </c>
      <c r="G41" s="368" t="s">
        <v>141</v>
      </c>
      <c r="H41" s="368">
        <v>27</v>
      </c>
      <c r="I41" s="368">
        <v>7</v>
      </c>
      <c r="J41" s="368">
        <v>34</v>
      </c>
      <c r="K41" s="367">
        <v>31</v>
      </c>
      <c r="L41" s="367">
        <v>8</v>
      </c>
      <c r="M41" s="367">
        <v>39</v>
      </c>
    </row>
    <row r="42" spans="2:13" x14ac:dyDescent="0.25">
      <c r="B42" s="368" t="s">
        <v>161</v>
      </c>
      <c r="C42" s="368" t="s">
        <v>78</v>
      </c>
      <c r="F42" s="368" t="s">
        <v>142</v>
      </c>
      <c r="G42" s="368" t="s">
        <v>143</v>
      </c>
      <c r="H42" s="368">
        <v>23</v>
      </c>
      <c r="I42" s="368">
        <v>5</v>
      </c>
      <c r="J42" s="368">
        <v>28</v>
      </c>
      <c r="K42" s="367">
        <v>23</v>
      </c>
      <c r="L42" s="367">
        <v>5</v>
      </c>
      <c r="M42" s="367">
        <v>28</v>
      </c>
    </row>
    <row r="43" spans="2:13" x14ac:dyDescent="0.25">
      <c r="B43" s="368" t="s">
        <v>770</v>
      </c>
      <c r="C43" s="368" t="s">
        <v>83</v>
      </c>
      <c r="F43" s="368" t="s">
        <v>144</v>
      </c>
      <c r="G43" s="368" t="s">
        <v>145</v>
      </c>
      <c r="H43" s="368">
        <v>30</v>
      </c>
      <c r="I43" s="368">
        <v>27</v>
      </c>
      <c r="J43" s="368">
        <v>57</v>
      </c>
      <c r="K43" s="367">
        <v>29</v>
      </c>
      <c r="L43" s="367">
        <v>31</v>
      </c>
      <c r="M43" s="367">
        <v>60</v>
      </c>
    </row>
    <row r="44" spans="2:13" x14ac:dyDescent="0.25">
      <c r="B44" s="368" t="s">
        <v>163</v>
      </c>
      <c r="C44" s="368" t="s">
        <v>82</v>
      </c>
      <c r="F44" s="368" t="s">
        <v>146</v>
      </c>
      <c r="G44" s="368" t="s">
        <v>147</v>
      </c>
      <c r="H44" s="368">
        <v>17</v>
      </c>
      <c r="I44" s="368">
        <v>3</v>
      </c>
      <c r="J44" s="368">
        <v>20</v>
      </c>
      <c r="K44" s="367">
        <v>20</v>
      </c>
      <c r="L44" s="367">
        <v>3</v>
      </c>
      <c r="M44" s="367">
        <v>23</v>
      </c>
    </row>
    <row r="45" spans="2:13" x14ac:dyDescent="0.25">
      <c r="B45" s="368" t="s">
        <v>165</v>
      </c>
      <c r="C45" s="368" t="s">
        <v>82</v>
      </c>
      <c r="F45" s="368" t="s">
        <v>148</v>
      </c>
      <c r="G45" s="368" t="s">
        <v>149</v>
      </c>
      <c r="H45" s="368">
        <v>25</v>
      </c>
      <c r="I45" s="368">
        <v>15</v>
      </c>
      <c r="J45" s="368">
        <v>40</v>
      </c>
      <c r="K45" s="367">
        <v>28</v>
      </c>
      <c r="L45" s="367">
        <v>19</v>
      </c>
      <c r="M45" s="367">
        <v>47</v>
      </c>
    </row>
    <row r="46" spans="2:13" x14ac:dyDescent="0.25">
      <c r="B46" s="368" t="s">
        <v>167</v>
      </c>
      <c r="C46" s="368" t="s">
        <v>788</v>
      </c>
      <c r="F46" s="368" t="s">
        <v>150</v>
      </c>
      <c r="G46" s="368" t="s">
        <v>151</v>
      </c>
      <c r="H46" s="368">
        <v>27</v>
      </c>
      <c r="I46" s="368">
        <v>20</v>
      </c>
      <c r="J46" s="368">
        <v>47</v>
      </c>
      <c r="K46" s="367">
        <v>28</v>
      </c>
      <c r="L46" s="367">
        <v>18</v>
      </c>
      <c r="M46" s="367">
        <v>46</v>
      </c>
    </row>
    <row r="47" spans="2:13" x14ac:dyDescent="0.25">
      <c r="B47" s="368" t="s">
        <v>169</v>
      </c>
      <c r="C47" s="368" t="s">
        <v>79</v>
      </c>
      <c r="F47" s="368" t="s">
        <v>152</v>
      </c>
      <c r="G47" s="368" t="s">
        <v>153</v>
      </c>
      <c r="H47" s="368">
        <v>18</v>
      </c>
      <c r="I47" s="368">
        <v>3</v>
      </c>
      <c r="J47" s="368">
        <v>21</v>
      </c>
      <c r="K47" s="367">
        <v>16</v>
      </c>
      <c r="L47" s="367">
        <v>5</v>
      </c>
      <c r="M47" s="367">
        <v>21</v>
      </c>
    </row>
    <row r="48" spans="2:13" x14ac:dyDescent="0.25">
      <c r="B48" s="368" t="s">
        <v>171</v>
      </c>
      <c r="C48" s="368" t="s">
        <v>80</v>
      </c>
      <c r="F48" s="368" t="s">
        <v>154</v>
      </c>
      <c r="G48" s="368" t="s">
        <v>155</v>
      </c>
      <c r="H48" s="368">
        <v>33</v>
      </c>
      <c r="I48" s="368">
        <v>17</v>
      </c>
      <c r="J48" s="368">
        <v>50</v>
      </c>
      <c r="K48" s="367">
        <v>32</v>
      </c>
      <c r="L48" s="367">
        <v>20</v>
      </c>
      <c r="M48" s="367">
        <v>52</v>
      </c>
    </row>
    <row r="49" spans="2:13" x14ac:dyDescent="0.25">
      <c r="B49" s="368" t="s">
        <v>173</v>
      </c>
      <c r="C49" s="368" t="s">
        <v>85</v>
      </c>
      <c r="F49" s="368" t="s">
        <v>156</v>
      </c>
      <c r="G49" s="368" t="s">
        <v>157</v>
      </c>
      <c r="H49" s="368">
        <v>19</v>
      </c>
      <c r="I49" s="368">
        <v>2</v>
      </c>
      <c r="J49" s="368">
        <v>21</v>
      </c>
      <c r="K49" s="367">
        <v>14</v>
      </c>
      <c r="L49" s="367">
        <v>2</v>
      </c>
      <c r="M49" s="367">
        <v>16</v>
      </c>
    </row>
    <row r="50" spans="2:13" x14ac:dyDescent="0.25">
      <c r="B50" s="368" t="s">
        <v>175</v>
      </c>
      <c r="C50" s="368" t="s">
        <v>83</v>
      </c>
      <c r="F50" s="368" t="s">
        <v>158</v>
      </c>
      <c r="G50" s="368" t="s">
        <v>159</v>
      </c>
      <c r="H50" s="368">
        <v>17</v>
      </c>
      <c r="I50" s="368">
        <v>1</v>
      </c>
      <c r="J50" s="368">
        <v>18</v>
      </c>
      <c r="K50" s="367">
        <v>18</v>
      </c>
      <c r="L50" s="367">
        <v>1</v>
      </c>
      <c r="M50" s="367">
        <v>19</v>
      </c>
    </row>
    <row r="51" spans="2:13" x14ac:dyDescent="0.25">
      <c r="B51" s="368" t="s">
        <v>177</v>
      </c>
      <c r="C51" s="368" t="s">
        <v>82</v>
      </c>
      <c r="F51" s="368" t="s">
        <v>160</v>
      </c>
      <c r="G51" s="368" t="s">
        <v>161</v>
      </c>
      <c r="H51" s="368">
        <v>15</v>
      </c>
      <c r="I51" s="368">
        <v>2</v>
      </c>
      <c r="J51" s="368">
        <v>17</v>
      </c>
      <c r="K51" s="367">
        <v>19</v>
      </c>
      <c r="L51" s="367">
        <v>0</v>
      </c>
      <c r="M51" s="367">
        <v>19</v>
      </c>
    </row>
    <row r="52" spans="2:13" x14ac:dyDescent="0.25">
      <c r="B52" s="368" t="s">
        <v>179</v>
      </c>
      <c r="C52" s="368" t="s">
        <v>79</v>
      </c>
      <c r="F52" s="368" t="s">
        <v>775</v>
      </c>
      <c r="G52" s="368" t="s">
        <v>770</v>
      </c>
      <c r="H52" s="368">
        <v>0</v>
      </c>
      <c r="I52" s="368">
        <v>0</v>
      </c>
      <c r="J52" s="368">
        <v>0</v>
      </c>
      <c r="K52" s="367">
        <v>47</v>
      </c>
      <c r="L52" s="367">
        <v>13</v>
      </c>
      <c r="M52" s="367">
        <v>60</v>
      </c>
    </row>
    <row r="53" spans="2:13" x14ac:dyDescent="0.25">
      <c r="B53" s="368" t="s">
        <v>181</v>
      </c>
      <c r="C53" s="368" t="s">
        <v>79</v>
      </c>
      <c r="F53" s="368" t="s">
        <v>162</v>
      </c>
      <c r="G53" s="368" t="s">
        <v>163</v>
      </c>
      <c r="H53" s="368">
        <v>14</v>
      </c>
      <c r="I53" s="368">
        <v>3</v>
      </c>
      <c r="J53" s="368">
        <v>17</v>
      </c>
      <c r="K53" s="367">
        <v>14</v>
      </c>
      <c r="L53" s="367">
        <v>7</v>
      </c>
      <c r="M53" s="367">
        <v>21</v>
      </c>
    </row>
    <row r="54" spans="2:13" x14ac:dyDescent="0.25">
      <c r="B54" s="368" t="s">
        <v>183</v>
      </c>
      <c r="C54" s="368" t="s">
        <v>78</v>
      </c>
      <c r="F54" s="368" t="s">
        <v>164</v>
      </c>
      <c r="G54" s="368" t="s">
        <v>165</v>
      </c>
      <c r="H54" s="368">
        <v>20</v>
      </c>
      <c r="I54" s="368">
        <v>8</v>
      </c>
      <c r="J54" s="368">
        <v>28</v>
      </c>
      <c r="K54" s="367">
        <v>24</v>
      </c>
      <c r="L54" s="367">
        <v>13</v>
      </c>
      <c r="M54" s="367">
        <v>37</v>
      </c>
    </row>
    <row r="55" spans="2:13" x14ac:dyDescent="0.25">
      <c r="B55" s="368" t="s">
        <v>185</v>
      </c>
      <c r="C55" s="368" t="s">
        <v>79</v>
      </c>
      <c r="F55" s="368" t="s">
        <v>166</v>
      </c>
      <c r="G55" s="368" t="s">
        <v>167</v>
      </c>
      <c r="H55" s="368">
        <v>19</v>
      </c>
      <c r="I55" s="368">
        <v>7</v>
      </c>
      <c r="J55" s="368">
        <v>26</v>
      </c>
      <c r="K55" s="367">
        <v>22</v>
      </c>
      <c r="L55" s="367">
        <v>11</v>
      </c>
      <c r="M55" s="367">
        <v>33</v>
      </c>
    </row>
    <row r="56" spans="2:13" x14ac:dyDescent="0.25">
      <c r="B56" s="368" t="s">
        <v>187</v>
      </c>
      <c r="C56" s="368" t="s">
        <v>84</v>
      </c>
      <c r="F56" s="368" t="s">
        <v>168</v>
      </c>
      <c r="G56" s="368" t="s">
        <v>169</v>
      </c>
      <c r="H56" s="368">
        <v>20</v>
      </c>
      <c r="I56" s="368">
        <v>9</v>
      </c>
      <c r="J56" s="368">
        <v>29</v>
      </c>
      <c r="K56" s="367">
        <v>24</v>
      </c>
      <c r="L56" s="367">
        <v>8</v>
      </c>
      <c r="M56" s="367">
        <v>32</v>
      </c>
    </row>
    <row r="57" spans="2:13" x14ac:dyDescent="0.25">
      <c r="B57" s="368" t="s">
        <v>189</v>
      </c>
      <c r="C57" s="368" t="s">
        <v>83</v>
      </c>
      <c r="F57" s="368" t="s">
        <v>170</v>
      </c>
      <c r="G57" s="368" t="s">
        <v>171</v>
      </c>
      <c r="H57" s="368">
        <v>26</v>
      </c>
      <c r="I57" s="368">
        <v>23</v>
      </c>
      <c r="J57" s="368">
        <v>49</v>
      </c>
      <c r="K57" s="367">
        <v>26</v>
      </c>
      <c r="L57" s="367">
        <v>22</v>
      </c>
      <c r="M57" s="367">
        <v>48</v>
      </c>
    </row>
    <row r="58" spans="2:13" x14ac:dyDescent="0.25">
      <c r="B58" s="368" t="s">
        <v>191</v>
      </c>
      <c r="C58" s="368" t="s">
        <v>82</v>
      </c>
      <c r="F58" s="368" t="s">
        <v>172</v>
      </c>
      <c r="G58" s="368" t="s">
        <v>173</v>
      </c>
      <c r="H58" s="368">
        <v>19</v>
      </c>
      <c r="I58" s="368">
        <v>4</v>
      </c>
      <c r="J58" s="368">
        <v>23</v>
      </c>
      <c r="K58" s="367">
        <v>21</v>
      </c>
      <c r="L58" s="367">
        <v>6</v>
      </c>
      <c r="M58" s="367">
        <v>27</v>
      </c>
    </row>
    <row r="59" spans="2:13" x14ac:dyDescent="0.25">
      <c r="B59" s="368" t="s">
        <v>193</v>
      </c>
      <c r="C59" s="368" t="s">
        <v>82</v>
      </c>
      <c r="F59" s="368" t="s">
        <v>174</v>
      </c>
      <c r="G59" s="368" t="s">
        <v>175</v>
      </c>
      <c r="H59" s="368">
        <v>18</v>
      </c>
      <c r="I59" s="368">
        <v>7</v>
      </c>
      <c r="J59" s="368">
        <v>25</v>
      </c>
      <c r="K59" s="367">
        <v>21</v>
      </c>
      <c r="L59" s="367">
        <v>10</v>
      </c>
      <c r="M59" s="367">
        <v>31</v>
      </c>
    </row>
    <row r="60" spans="2:13" x14ac:dyDescent="0.25">
      <c r="B60" s="368" t="s">
        <v>195</v>
      </c>
      <c r="C60" s="368" t="s">
        <v>78</v>
      </c>
      <c r="F60" s="368" t="s">
        <v>176</v>
      </c>
      <c r="G60" s="368" t="s">
        <v>177</v>
      </c>
      <c r="H60" s="368">
        <v>12</v>
      </c>
      <c r="I60" s="368">
        <v>6</v>
      </c>
      <c r="J60" s="368">
        <v>18</v>
      </c>
      <c r="K60" s="367">
        <v>10</v>
      </c>
      <c r="L60" s="367">
        <v>8</v>
      </c>
      <c r="M60" s="367">
        <v>18</v>
      </c>
    </row>
    <row r="61" spans="2:13" x14ac:dyDescent="0.25">
      <c r="B61" s="368" t="s">
        <v>197</v>
      </c>
      <c r="C61" s="368" t="s">
        <v>83</v>
      </c>
      <c r="F61" s="368" t="s">
        <v>178</v>
      </c>
      <c r="G61" s="368" t="s">
        <v>179</v>
      </c>
      <c r="H61" s="368">
        <v>21</v>
      </c>
      <c r="I61" s="368">
        <v>3</v>
      </c>
      <c r="J61" s="368">
        <v>24</v>
      </c>
      <c r="K61" s="367">
        <v>21</v>
      </c>
      <c r="L61" s="367">
        <v>3</v>
      </c>
      <c r="M61" s="367">
        <v>24</v>
      </c>
    </row>
    <row r="62" spans="2:13" x14ac:dyDescent="0.25">
      <c r="B62" s="368" t="s">
        <v>199</v>
      </c>
      <c r="C62" s="368" t="s">
        <v>82</v>
      </c>
      <c r="F62" s="368" t="s">
        <v>180</v>
      </c>
      <c r="G62" s="368" t="s">
        <v>181</v>
      </c>
      <c r="H62" s="368">
        <v>23</v>
      </c>
      <c r="I62" s="368">
        <v>10</v>
      </c>
      <c r="J62" s="368">
        <v>33</v>
      </c>
      <c r="K62" s="367">
        <v>33</v>
      </c>
      <c r="L62" s="367">
        <v>4</v>
      </c>
      <c r="M62" s="367">
        <v>37</v>
      </c>
    </row>
    <row r="63" spans="2:13" x14ac:dyDescent="0.25">
      <c r="B63" s="368" t="s">
        <v>201</v>
      </c>
      <c r="C63" s="368" t="s">
        <v>80</v>
      </c>
      <c r="F63" s="368" t="s">
        <v>182</v>
      </c>
      <c r="G63" s="368" t="s">
        <v>183</v>
      </c>
      <c r="H63" s="368">
        <v>20</v>
      </c>
      <c r="I63" s="368">
        <v>3</v>
      </c>
      <c r="J63" s="368">
        <v>23</v>
      </c>
      <c r="K63" s="367">
        <v>25</v>
      </c>
      <c r="L63" s="367">
        <v>7</v>
      </c>
      <c r="M63" s="367">
        <v>32</v>
      </c>
    </row>
    <row r="64" spans="2:13" x14ac:dyDescent="0.25">
      <c r="B64" s="368" t="s">
        <v>203</v>
      </c>
      <c r="C64" s="368" t="s">
        <v>79</v>
      </c>
      <c r="F64" s="368" t="s">
        <v>184</v>
      </c>
      <c r="G64" s="368" t="s">
        <v>185</v>
      </c>
      <c r="H64" s="368">
        <v>21</v>
      </c>
      <c r="I64" s="368">
        <v>5</v>
      </c>
      <c r="J64" s="368">
        <v>26</v>
      </c>
      <c r="K64" s="367">
        <v>27</v>
      </c>
      <c r="L64" s="367">
        <v>4</v>
      </c>
      <c r="M64" s="367">
        <v>31</v>
      </c>
    </row>
    <row r="65" spans="2:13" x14ac:dyDescent="0.25">
      <c r="B65" s="368" t="s">
        <v>205</v>
      </c>
      <c r="C65" s="368" t="s">
        <v>82</v>
      </c>
      <c r="F65" s="368" t="s">
        <v>186</v>
      </c>
      <c r="G65" s="368" t="s">
        <v>187</v>
      </c>
      <c r="H65" s="368">
        <v>19</v>
      </c>
      <c r="I65" s="368">
        <v>8</v>
      </c>
      <c r="J65" s="368">
        <v>27</v>
      </c>
      <c r="K65" s="367">
        <v>21</v>
      </c>
      <c r="L65" s="367">
        <v>10</v>
      </c>
      <c r="M65" s="367">
        <v>31</v>
      </c>
    </row>
    <row r="66" spans="2:13" x14ac:dyDescent="0.25">
      <c r="B66" s="368" t="s">
        <v>207</v>
      </c>
      <c r="C66" s="368" t="s">
        <v>84</v>
      </c>
      <c r="F66" s="368" t="s">
        <v>188</v>
      </c>
      <c r="G66" s="368" t="s">
        <v>189</v>
      </c>
      <c r="H66" s="368">
        <v>30</v>
      </c>
      <c r="I66" s="368">
        <v>5</v>
      </c>
      <c r="J66" s="368">
        <v>35</v>
      </c>
      <c r="K66" s="367">
        <v>33</v>
      </c>
      <c r="L66" s="367">
        <v>6</v>
      </c>
      <c r="M66" s="367">
        <v>39</v>
      </c>
    </row>
    <row r="67" spans="2:13" x14ac:dyDescent="0.25">
      <c r="B67" s="368" t="s">
        <v>209</v>
      </c>
      <c r="C67" s="368" t="s">
        <v>84</v>
      </c>
      <c r="F67" s="368" t="s">
        <v>190</v>
      </c>
      <c r="G67" s="368" t="s">
        <v>191</v>
      </c>
      <c r="H67" s="368">
        <v>27</v>
      </c>
      <c r="I67" s="368">
        <v>14</v>
      </c>
      <c r="J67" s="368">
        <v>41</v>
      </c>
      <c r="K67" s="367">
        <v>39</v>
      </c>
      <c r="L67" s="367">
        <v>21</v>
      </c>
      <c r="M67" s="367">
        <v>60</v>
      </c>
    </row>
    <row r="68" spans="2:13" x14ac:dyDescent="0.25">
      <c r="B68" s="368" t="s">
        <v>211</v>
      </c>
      <c r="C68" s="368" t="s">
        <v>81</v>
      </c>
      <c r="F68" s="368" t="s">
        <v>192</v>
      </c>
      <c r="G68" s="368" t="s">
        <v>193</v>
      </c>
      <c r="H68" s="368">
        <v>30</v>
      </c>
      <c r="I68" s="368">
        <v>13</v>
      </c>
      <c r="J68" s="368">
        <v>43</v>
      </c>
      <c r="K68" s="367">
        <v>37</v>
      </c>
      <c r="L68" s="367">
        <v>16</v>
      </c>
      <c r="M68" s="367">
        <v>53</v>
      </c>
    </row>
    <row r="69" spans="2:13" x14ac:dyDescent="0.25">
      <c r="B69" s="368" t="s">
        <v>213</v>
      </c>
      <c r="C69" s="368" t="s">
        <v>85</v>
      </c>
      <c r="F69" s="368" t="s">
        <v>194</v>
      </c>
      <c r="G69" s="368" t="s">
        <v>195</v>
      </c>
      <c r="H69" s="368">
        <v>20</v>
      </c>
      <c r="I69" s="368">
        <v>6</v>
      </c>
      <c r="J69" s="368">
        <v>26</v>
      </c>
      <c r="K69" s="367">
        <v>28</v>
      </c>
      <c r="L69" s="367">
        <v>8</v>
      </c>
      <c r="M69" s="367">
        <v>36</v>
      </c>
    </row>
    <row r="70" spans="2:13" x14ac:dyDescent="0.25">
      <c r="B70" s="368" t="s">
        <v>215</v>
      </c>
      <c r="C70" s="368" t="s">
        <v>788</v>
      </c>
      <c r="F70" s="368" t="s">
        <v>196</v>
      </c>
      <c r="G70" s="368" t="s">
        <v>197</v>
      </c>
      <c r="H70" s="368">
        <v>18</v>
      </c>
      <c r="I70" s="368">
        <v>8</v>
      </c>
      <c r="J70" s="368">
        <v>26</v>
      </c>
      <c r="K70" s="367">
        <v>28</v>
      </c>
      <c r="L70" s="367">
        <v>8</v>
      </c>
      <c r="M70" s="367">
        <v>36</v>
      </c>
    </row>
    <row r="71" spans="2:13" x14ac:dyDescent="0.25">
      <c r="B71" s="368" t="s">
        <v>217</v>
      </c>
      <c r="C71" s="368" t="s">
        <v>83</v>
      </c>
      <c r="F71" s="368" t="s">
        <v>198</v>
      </c>
      <c r="G71" s="368" t="s">
        <v>199</v>
      </c>
      <c r="H71" s="368">
        <v>17</v>
      </c>
      <c r="I71" s="368">
        <v>6</v>
      </c>
      <c r="J71" s="368">
        <v>23</v>
      </c>
      <c r="K71" s="367">
        <v>17</v>
      </c>
      <c r="L71" s="367">
        <v>11</v>
      </c>
      <c r="M71" s="367">
        <v>28</v>
      </c>
    </row>
    <row r="72" spans="2:13" x14ac:dyDescent="0.25">
      <c r="B72" s="368" t="s">
        <v>219</v>
      </c>
      <c r="C72" s="368" t="s">
        <v>80</v>
      </c>
      <c r="F72" s="368" t="s">
        <v>200</v>
      </c>
      <c r="G72" s="368" t="s">
        <v>201</v>
      </c>
      <c r="H72" s="368">
        <v>2</v>
      </c>
      <c r="I72" s="368">
        <v>1</v>
      </c>
      <c r="J72" s="368">
        <v>3</v>
      </c>
      <c r="K72" s="367">
        <v>3</v>
      </c>
      <c r="L72" s="367">
        <v>0</v>
      </c>
      <c r="M72" s="367">
        <v>3</v>
      </c>
    </row>
    <row r="73" spans="2:13" x14ac:dyDescent="0.25">
      <c r="B73" s="368" t="s">
        <v>221</v>
      </c>
      <c r="C73" s="368" t="s">
        <v>79</v>
      </c>
      <c r="F73" s="368" t="s">
        <v>202</v>
      </c>
      <c r="G73" s="368" t="s">
        <v>203</v>
      </c>
      <c r="H73" s="368">
        <v>26</v>
      </c>
      <c r="I73" s="368">
        <v>9</v>
      </c>
      <c r="J73" s="368">
        <v>35</v>
      </c>
      <c r="K73" s="367">
        <v>30</v>
      </c>
      <c r="L73" s="367">
        <v>17</v>
      </c>
      <c r="M73" s="367">
        <v>47</v>
      </c>
    </row>
    <row r="74" spans="2:13" x14ac:dyDescent="0.25">
      <c r="B74" s="368" t="s">
        <v>223</v>
      </c>
      <c r="C74" s="368" t="s">
        <v>81</v>
      </c>
      <c r="F74" s="368" t="s">
        <v>204</v>
      </c>
      <c r="G74" s="368" t="s">
        <v>205</v>
      </c>
      <c r="H74" s="368">
        <v>7</v>
      </c>
      <c r="I74" s="368">
        <v>6</v>
      </c>
      <c r="J74" s="368">
        <v>13</v>
      </c>
      <c r="K74" s="367">
        <v>8</v>
      </c>
      <c r="L74" s="367">
        <v>6</v>
      </c>
      <c r="M74" s="367">
        <v>14</v>
      </c>
    </row>
    <row r="75" spans="2:13" x14ac:dyDescent="0.25">
      <c r="B75" s="368" t="s">
        <v>225</v>
      </c>
      <c r="C75" s="368" t="s">
        <v>83</v>
      </c>
      <c r="F75" s="368" t="s">
        <v>206</v>
      </c>
      <c r="G75" s="368" t="s">
        <v>207</v>
      </c>
      <c r="H75" s="368">
        <v>27</v>
      </c>
      <c r="I75" s="368">
        <v>14</v>
      </c>
      <c r="J75" s="368">
        <v>41</v>
      </c>
      <c r="K75" s="367">
        <v>30</v>
      </c>
      <c r="L75" s="367">
        <v>17</v>
      </c>
      <c r="M75" s="367">
        <v>47</v>
      </c>
    </row>
    <row r="76" spans="2:13" x14ac:dyDescent="0.25">
      <c r="B76" s="368" t="s">
        <v>227</v>
      </c>
      <c r="C76" s="368" t="s">
        <v>78</v>
      </c>
      <c r="F76" s="368" t="s">
        <v>208</v>
      </c>
      <c r="G76" s="368" t="s">
        <v>209</v>
      </c>
      <c r="H76" s="368">
        <v>22</v>
      </c>
      <c r="I76" s="368">
        <v>3</v>
      </c>
      <c r="J76" s="368">
        <v>25</v>
      </c>
      <c r="K76" s="367">
        <v>20</v>
      </c>
      <c r="L76" s="367">
        <v>2</v>
      </c>
      <c r="M76" s="367">
        <v>22</v>
      </c>
    </row>
    <row r="77" spans="2:13" x14ac:dyDescent="0.25">
      <c r="B77" s="368" t="s">
        <v>229</v>
      </c>
      <c r="C77" s="368" t="s">
        <v>78</v>
      </c>
      <c r="F77" s="368" t="s">
        <v>210</v>
      </c>
      <c r="G77" s="368" t="s">
        <v>211</v>
      </c>
      <c r="H77" s="368">
        <v>25</v>
      </c>
      <c r="I77" s="368">
        <v>12</v>
      </c>
      <c r="J77" s="368">
        <v>37</v>
      </c>
      <c r="K77" s="367">
        <v>25</v>
      </c>
      <c r="L77" s="367">
        <v>14</v>
      </c>
      <c r="M77" s="367">
        <v>39</v>
      </c>
    </row>
    <row r="78" spans="2:13" x14ac:dyDescent="0.25">
      <c r="B78" s="368" t="s">
        <v>231</v>
      </c>
      <c r="C78" s="368" t="s">
        <v>788</v>
      </c>
      <c r="F78" s="368" t="s">
        <v>212</v>
      </c>
      <c r="G78" s="368" t="s">
        <v>213</v>
      </c>
      <c r="H78" s="368">
        <v>21</v>
      </c>
      <c r="I78" s="368">
        <v>10</v>
      </c>
      <c r="J78" s="368">
        <v>31</v>
      </c>
      <c r="K78" s="367">
        <v>21</v>
      </c>
      <c r="L78" s="367">
        <v>14</v>
      </c>
      <c r="M78" s="367">
        <v>35</v>
      </c>
    </row>
    <row r="79" spans="2:13" x14ac:dyDescent="0.25">
      <c r="B79" s="368" t="s">
        <v>233</v>
      </c>
      <c r="C79" s="368" t="s">
        <v>84</v>
      </c>
      <c r="F79" s="368" t="s">
        <v>214</v>
      </c>
      <c r="G79" s="368" t="s">
        <v>215</v>
      </c>
      <c r="H79" s="368">
        <v>17</v>
      </c>
      <c r="I79" s="368">
        <v>2</v>
      </c>
      <c r="J79" s="368">
        <v>19</v>
      </c>
      <c r="K79" s="367">
        <v>17</v>
      </c>
      <c r="L79" s="367">
        <v>3</v>
      </c>
      <c r="M79" s="367">
        <v>20</v>
      </c>
    </row>
    <row r="80" spans="2:13" x14ac:dyDescent="0.25">
      <c r="B80" s="368" t="s">
        <v>235</v>
      </c>
      <c r="C80" s="368" t="s">
        <v>83</v>
      </c>
      <c r="F80" s="368" t="s">
        <v>216</v>
      </c>
      <c r="G80" s="368" t="s">
        <v>217</v>
      </c>
      <c r="H80" s="368">
        <v>21</v>
      </c>
      <c r="I80" s="368">
        <v>4</v>
      </c>
      <c r="J80" s="368">
        <v>25</v>
      </c>
      <c r="K80" s="367">
        <v>25</v>
      </c>
      <c r="L80" s="367">
        <v>6</v>
      </c>
      <c r="M80" s="367">
        <v>31</v>
      </c>
    </row>
    <row r="81" spans="2:13" x14ac:dyDescent="0.25">
      <c r="B81" s="368" t="s">
        <v>237</v>
      </c>
      <c r="C81" s="368" t="s">
        <v>85</v>
      </c>
      <c r="F81" s="368" t="s">
        <v>218</v>
      </c>
      <c r="G81" s="368" t="s">
        <v>219</v>
      </c>
      <c r="H81" s="368">
        <v>38</v>
      </c>
      <c r="I81" s="368">
        <v>15</v>
      </c>
      <c r="J81" s="368">
        <v>53</v>
      </c>
      <c r="K81" s="367">
        <v>37</v>
      </c>
      <c r="L81" s="367">
        <v>23</v>
      </c>
      <c r="M81" s="367">
        <v>60</v>
      </c>
    </row>
    <row r="82" spans="2:13" x14ac:dyDescent="0.25">
      <c r="B82" s="368" t="s">
        <v>239</v>
      </c>
      <c r="C82" s="368" t="s">
        <v>80</v>
      </c>
      <c r="F82" s="368" t="s">
        <v>220</v>
      </c>
      <c r="G82" s="368" t="s">
        <v>221</v>
      </c>
      <c r="H82" s="368">
        <v>17</v>
      </c>
      <c r="I82" s="368">
        <v>7</v>
      </c>
      <c r="J82" s="368">
        <v>24</v>
      </c>
      <c r="K82" s="367">
        <v>23</v>
      </c>
      <c r="L82" s="367">
        <v>12</v>
      </c>
      <c r="M82" s="367">
        <v>35</v>
      </c>
    </row>
    <row r="83" spans="2:13" x14ac:dyDescent="0.25">
      <c r="B83" s="368" t="s">
        <v>241</v>
      </c>
      <c r="C83" s="368" t="s">
        <v>79</v>
      </c>
      <c r="F83" s="368" t="s">
        <v>222</v>
      </c>
      <c r="G83" s="368" t="s">
        <v>223</v>
      </c>
      <c r="H83" s="368">
        <v>21</v>
      </c>
      <c r="I83" s="368">
        <v>13</v>
      </c>
      <c r="J83" s="368">
        <v>34</v>
      </c>
      <c r="K83" s="367">
        <v>23</v>
      </c>
      <c r="L83" s="367">
        <v>12</v>
      </c>
      <c r="M83" s="367">
        <v>35</v>
      </c>
    </row>
    <row r="84" spans="2:13" x14ac:dyDescent="0.25">
      <c r="B84" s="368" t="s">
        <v>243</v>
      </c>
      <c r="C84" s="368" t="s">
        <v>84</v>
      </c>
      <c r="F84" s="368" t="s">
        <v>224</v>
      </c>
      <c r="G84" s="368" t="s">
        <v>225</v>
      </c>
      <c r="H84" s="368">
        <v>16</v>
      </c>
      <c r="I84" s="368">
        <v>8</v>
      </c>
      <c r="J84" s="368">
        <v>24</v>
      </c>
      <c r="K84" s="367">
        <v>19</v>
      </c>
      <c r="L84" s="367">
        <v>5</v>
      </c>
      <c r="M84" s="367">
        <v>24</v>
      </c>
    </row>
    <row r="85" spans="2:13" x14ac:dyDescent="0.25">
      <c r="B85" s="368" t="s">
        <v>245</v>
      </c>
      <c r="C85" s="368" t="s">
        <v>83</v>
      </c>
      <c r="F85" s="368" t="s">
        <v>226</v>
      </c>
      <c r="G85" s="368" t="s">
        <v>227</v>
      </c>
      <c r="H85" s="368">
        <v>18</v>
      </c>
      <c r="I85" s="368">
        <v>12</v>
      </c>
      <c r="J85" s="368">
        <v>30</v>
      </c>
      <c r="K85" s="367">
        <v>25</v>
      </c>
      <c r="L85" s="367">
        <v>12</v>
      </c>
      <c r="M85" s="367">
        <v>37</v>
      </c>
    </row>
    <row r="86" spans="2:13" x14ac:dyDescent="0.25">
      <c r="B86" s="368" t="s">
        <v>247</v>
      </c>
      <c r="C86" s="368" t="s">
        <v>79</v>
      </c>
      <c r="F86" s="368" t="s">
        <v>228</v>
      </c>
      <c r="G86" s="368" t="s">
        <v>229</v>
      </c>
      <c r="H86" s="368">
        <v>12</v>
      </c>
      <c r="I86" s="368">
        <v>4</v>
      </c>
      <c r="J86" s="368">
        <v>16</v>
      </c>
      <c r="K86" s="367">
        <v>13</v>
      </c>
      <c r="L86" s="367">
        <v>6</v>
      </c>
      <c r="M86" s="367">
        <v>19</v>
      </c>
    </row>
    <row r="87" spans="2:13" x14ac:dyDescent="0.25">
      <c r="B87" s="368" t="s">
        <v>249</v>
      </c>
      <c r="C87" s="368" t="s">
        <v>78</v>
      </c>
      <c r="F87" s="368" t="s">
        <v>230</v>
      </c>
      <c r="G87" s="368" t="s">
        <v>231</v>
      </c>
      <c r="H87" s="368">
        <v>21</v>
      </c>
      <c r="I87" s="368">
        <v>8</v>
      </c>
      <c r="J87" s="368">
        <v>29</v>
      </c>
      <c r="K87" s="367">
        <v>26</v>
      </c>
      <c r="L87" s="367">
        <v>12</v>
      </c>
      <c r="M87" s="367">
        <v>38</v>
      </c>
    </row>
    <row r="88" spans="2:13" x14ac:dyDescent="0.25">
      <c r="B88" s="368" t="s">
        <v>251</v>
      </c>
      <c r="C88" s="368" t="s">
        <v>788</v>
      </c>
      <c r="F88" s="368" t="s">
        <v>232</v>
      </c>
      <c r="G88" s="368" t="s">
        <v>233</v>
      </c>
      <c r="H88" s="368">
        <v>0</v>
      </c>
      <c r="I88" s="368">
        <v>0</v>
      </c>
      <c r="J88" s="368">
        <v>0</v>
      </c>
      <c r="K88" s="367">
        <v>31</v>
      </c>
      <c r="L88" s="367">
        <v>21</v>
      </c>
      <c r="M88" s="367">
        <v>52</v>
      </c>
    </row>
    <row r="89" spans="2:13" x14ac:dyDescent="0.25">
      <c r="B89" s="368" t="s">
        <v>253</v>
      </c>
      <c r="C89" s="368" t="s">
        <v>85</v>
      </c>
      <c r="F89" s="368" t="s">
        <v>234</v>
      </c>
      <c r="G89" s="368" t="s">
        <v>235</v>
      </c>
      <c r="H89" s="368">
        <v>19</v>
      </c>
      <c r="I89" s="368">
        <v>2</v>
      </c>
      <c r="J89" s="368">
        <v>21</v>
      </c>
      <c r="K89" s="367">
        <v>25</v>
      </c>
      <c r="L89" s="367">
        <v>3</v>
      </c>
      <c r="M89" s="367">
        <v>28</v>
      </c>
    </row>
    <row r="90" spans="2:13" x14ac:dyDescent="0.25">
      <c r="B90" s="368" t="s">
        <v>255</v>
      </c>
      <c r="C90" s="368" t="s">
        <v>79</v>
      </c>
      <c r="F90" s="368" t="s">
        <v>236</v>
      </c>
      <c r="G90" s="368" t="s">
        <v>237</v>
      </c>
      <c r="H90" s="368">
        <v>23</v>
      </c>
      <c r="I90" s="368">
        <v>3</v>
      </c>
      <c r="J90" s="368">
        <v>26</v>
      </c>
      <c r="K90" s="367">
        <v>23</v>
      </c>
      <c r="L90" s="367">
        <v>2</v>
      </c>
      <c r="M90" s="367">
        <v>25</v>
      </c>
    </row>
    <row r="91" spans="2:13" x14ac:dyDescent="0.25">
      <c r="B91" s="368" t="s">
        <v>257</v>
      </c>
      <c r="C91" s="368" t="s">
        <v>83</v>
      </c>
      <c r="F91" s="368" t="s">
        <v>238</v>
      </c>
      <c r="G91" s="368" t="s">
        <v>239</v>
      </c>
      <c r="H91" s="368">
        <v>31</v>
      </c>
      <c r="I91" s="368">
        <v>21</v>
      </c>
      <c r="J91" s="368">
        <v>52</v>
      </c>
      <c r="K91" s="367">
        <v>36</v>
      </c>
      <c r="L91" s="367">
        <v>32</v>
      </c>
      <c r="M91" s="367">
        <v>68</v>
      </c>
    </row>
    <row r="92" spans="2:13" x14ac:dyDescent="0.25">
      <c r="B92" s="368" t="s">
        <v>259</v>
      </c>
      <c r="C92" s="368" t="s">
        <v>83</v>
      </c>
      <c r="F92" s="368" t="s">
        <v>240</v>
      </c>
      <c r="G92" s="368" t="s">
        <v>241</v>
      </c>
      <c r="H92" s="368">
        <v>21</v>
      </c>
      <c r="I92" s="368">
        <v>4</v>
      </c>
      <c r="J92" s="368">
        <v>25</v>
      </c>
      <c r="K92" s="367">
        <v>25</v>
      </c>
      <c r="L92" s="367">
        <v>4</v>
      </c>
      <c r="M92" s="367">
        <v>29</v>
      </c>
    </row>
    <row r="93" spans="2:13" x14ac:dyDescent="0.25">
      <c r="B93" s="368" t="s">
        <v>261</v>
      </c>
      <c r="C93" s="368" t="s">
        <v>82</v>
      </c>
      <c r="F93" s="368" t="s">
        <v>242</v>
      </c>
      <c r="G93" s="368" t="s">
        <v>243</v>
      </c>
      <c r="H93" s="368">
        <v>23</v>
      </c>
      <c r="I93" s="368">
        <v>8</v>
      </c>
      <c r="J93" s="368">
        <v>31</v>
      </c>
      <c r="K93" s="367">
        <v>23</v>
      </c>
      <c r="L93" s="367">
        <v>6</v>
      </c>
      <c r="M93" s="367">
        <v>29</v>
      </c>
    </row>
    <row r="94" spans="2:13" x14ac:dyDescent="0.25">
      <c r="B94" s="368" t="s">
        <v>263</v>
      </c>
      <c r="C94" s="368" t="s">
        <v>83</v>
      </c>
      <c r="F94" s="368" t="s">
        <v>244</v>
      </c>
      <c r="G94" s="368" t="s">
        <v>245</v>
      </c>
      <c r="H94" s="368">
        <v>19</v>
      </c>
      <c r="I94" s="368">
        <v>3</v>
      </c>
      <c r="J94" s="368">
        <v>22</v>
      </c>
      <c r="K94" s="367">
        <v>27</v>
      </c>
      <c r="L94" s="367">
        <v>4</v>
      </c>
      <c r="M94" s="367">
        <v>31</v>
      </c>
    </row>
    <row r="95" spans="2:13" x14ac:dyDescent="0.25">
      <c r="B95" s="368" t="s">
        <v>265</v>
      </c>
      <c r="C95" s="368" t="s">
        <v>80</v>
      </c>
      <c r="F95" s="368" t="s">
        <v>246</v>
      </c>
      <c r="G95" s="368" t="s">
        <v>247</v>
      </c>
      <c r="H95" s="368">
        <v>26</v>
      </c>
      <c r="I95" s="368">
        <v>5</v>
      </c>
      <c r="J95" s="368">
        <v>31</v>
      </c>
      <c r="K95" s="367">
        <v>27</v>
      </c>
      <c r="L95" s="367">
        <v>5</v>
      </c>
      <c r="M95" s="367">
        <v>32</v>
      </c>
    </row>
    <row r="96" spans="2:13" x14ac:dyDescent="0.25">
      <c r="B96" s="368" t="s">
        <v>267</v>
      </c>
      <c r="C96" s="368" t="s">
        <v>79</v>
      </c>
      <c r="F96" s="368" t="s">
        <v>248</v>
      </c>
      <c r="G96" s="368" t="s">
        <v>249</v>
      </c>
      <c r="H96" s="368">
        <v>19</v>
      </c>
      <c r="I96" s="368">
        <v>3</v>
      </c>
      <c r="J96" s="368">
        <v>22</v>
      </c>
      <c r="K96" s="367">
        <v>19</v>
      </c>
      <c r="L96" s="367">
        <v>4</v>
      </c>
      <c r="M96" s="367">
        <v>23</v>
      </c>
    </row>
    <row r="97" spans="2:13" x14ac:dyDescent="0.25">
      <c r="B97" s="368" t="s">
        <v>269</v>
      </c>
      <c r="C97" s="368" t="s">
        <v>83</v>
      </c>
      <c r="F97" s="368" t="s">
        <v>250</v>
      </c>
      <c r="G97" s="368" t="s">
        <v>251</v>
      </c>
      <c r="H97" s="368">
        <v>19</v>
      </c>
      <c r="I97" s="368">
        <v>7</v>
      </c>
      <c r="J97" s="368">
        <v>26</v>
      </c>
      <c r="K97" s="367">
        <v>32</v>
      </c>
      <c r="L97" s="367">
        <v>10</v>
      </c>
      <c r="M97" s="367">
        <v>42</v>
      </c>
    </row>
    <row r="98" spans="2:13" x14ac:dyDescent="0.25">
      <c r="B98" s="368" t="s">
        <v>271</v>
      </c>
      <c r="C98" s="368" t="s">
        <v>78</v>
      </c>
      <c r="F98" s="368" t="s">
        <v>252</v>
      </c>
      <c r="G98" s="368" t="s">
        <v>253</v>
      </c>
      <c r="H98" s="368">
        <v>15</v>
      </c>
      <c r="I98" s="368">
        <v>1</v>
      </c>
      <c r="J98" s="368">
        <v>16</v>
      </c>
      <c r="K98" s="367">
        <v>17</v>
      </c>
      <c r="L98" s="367">
        <v>4</v>
      </c>
      <c r="M98" s="367">
        <v>21</v>
      </c>
    </row>
    <row r="99" spans="2:13" x14ac:dyDescent="0.25">
      <c r="B99" s="368" t="s">
        <v>273</v>
      </c>
      <c r="C99" s="368" t="s">
        <v>84</v>
      </c>
      <c r="F99" s="368" t="s">
        <v>254</v>
      </c>
      <c r="G99" s="368" t="s">
        <v>255</v>
      </c>
      <c r="H99" s="368">
        <v>0</v>
      </c>
      <c r="I99" s="368">
        <v>0</v>
      </c>
      <c r="J99" s="368">
        <v>0</v>
      </c>
      <c r="K99" s="367">
        <v>24</v>
      </c>
      <c r="L99" s="367">
        <v>10</v>
      </c>
      <c r="M99" s="367">
        <v>34</v>
      </c>
    </row>
    <row r="100" spans="2:13" x14ac:dyDescent="0.25">
      <c r="B100" s="368" t="s">
        <v>275</v>
      </c>
      <c r="C100" s="368" t="s">
        <v>83</v>
      </c>
      <c r="F100" s="368" t="s">
        <v>256</v>
      </c>
      <c r="G100" s="368" t="s">
        <v>257</v>
      </c>
      <c r="H100" s="368">
        <v>21</v>
      </c>
      <c r="I100" s="368">
        <v>4</v>
      </c>
      <c r="J100" s="368">
        <v>25</v>
      </c>
      <c r="K100" s="367">
        <v>21</v>
      </c>
      <c r="L100" s="367">
        <v>6</v>
      </c>
      <c r="M100" s="367">
        <v>27</v>
      </c>
    </row>
    <row r="101" spans="2:13" x14ac:dyDescent="0.25">
      <c r="B101" s="368" t="s">
        <v>277</v>
      </c>
      <c r="C101" s="368" t="s">
        <v>79</v>
      </c>
      <c r="F101" s="368" t="s">
        <v>258</v>
      </c>
      <c r="G101" s="368" t="s">
        <v>259</v>
      </c>
      <c r="H101" s="368">
        <v>20</v>
      </c>
      <c r="I101" s="368">
        <v>3</v>
      </c>
      <c r="J101" s="368">
        <v>23</v>
      </c>
      <c r="K101" s="367">
        <v>26</v>
      </c>
      <c r="L101" s="367">
        <v>4</v>
      </c>
      <c r="M101" s="367">
        <v>30</v>
      </c>
    </row>
    <row r="102" spans="2:13" x14ac:dyDescent="0.25">
      <c r="B102" s="368" t="s">
        <v>279</v>
      </c>
      <c r="C102" s="368" t="s">
        <v>83</v>
      </c>
      <c r="F102" s="368" t="s">
        <v>260</v>
      </c>
      <c r="G102" s="368" t="s">
        <v>261</v>
      </c>
      <c r="H102" s="368">
        <v>10</v>
      </c>
      <c r="I102" s="368">
        <v>3</v>
      </c>
      <c r="J102" s="368">
        <v>13</v>
      </c>
      <c r="K102" s="367">
        <v>9</v>
      </c>
      <c r="L102" s="367">
        <v>3</v>
      </c>
      <c r="M102" s="367">
        <v>12</v>
      </c>
    </row>
    <row r="103" spans="2:13" x14ac:dyDescent="0.25">
      <c r="B103" s="368" t="s">
        <v>281</v>
      </c>
      <c r="C103" s="368" t="s">
        <v>84</v>
      </c>
      <c r="F103" s="368" t="s">
        <v>262</v>
      </c>
      <c r="G103" s="368" t="s">
        <v>263</v>
      </c>
      <c r="H103" s="368">
        <v>18</v>
      </c>
      <c r="I103" s="368">
        <v>7</v>
      </c>
      <c r="J103" s="368">
        <v>25</v>
      </c>
      <c r="K103" s="367">
        <v>15</v>
      </c>
      <c r="L103" s="367">
        <v>6</v>
      </c>
      <c r="M103" s="367">
        <v>21</v>
      </c>
    </row>
    <row r="104" spans="2:13" x14ac:dyDescent="0.25">
      <c r="B104" s="368" t="s">
        <v>283</v>
      </c>
      <c r="C104" s="368" t="s">
        <v>82</v>
      </c>
      <c r="F104" s="368" t="s">
        <v>264</v>
      </c>
      <c r="G104" s="368" t="s">
        <v>265</v>
      </c>
      <c r="H104" s="368">
        <v>31</v>
      </c>
      <c r="I104" s="368">
        <v>12</v>
      </c>
      <c r="J104" s="368">
        <v>43</v>
      </c>
      <c r="K104" s="367">
        <v>33</v>
      </c>
      <c r="L104" s="367">
        <v>16</v>
      </c>
      <c r="M104" s="367">
        <v>49</v>
      </c>
    </row>
    <row r="105" spans="2:13" x14ac:dyDescent="0.25">
      <c r="B105" s="368" t="s">
        <v>285</v>
      </c>
      <c r="C105" s="368" t="s">
        <v>81</v>
      </c>
      <c r="F105" s="368" t="s">
        <v>266</v>
      </c>
      <c r="G105" s="368" t="s">
        <v>267</v>
      </c>
      <c r="H105" s="368">
        <v>24</v>
      </c>
      <c r="I105" s="368">
        <v>5</v>
      </c>
      <c r="J105" s="368">
        <v>29</v>
      </c>
      <c r="K105" s="367">
        <v>20</v>
      </c>
      <c r="L105" s="367">
        <v>5</v>
      </c>
      <c r="M105" s="367">
        <v>25</v>
      </c>
    </row>
    <row r="106" spans="2:13" x14ac:dyDescent="0.25">
      <c r="B106" s="368" t="s">
        <v>287</v>
      </c>
      <c r="C106" s="368" t="s">
        <v>78</v>
      </c>
      <c r="F106" s="368" t="s">
        <v>268</v>
      </c>
      <c r="G106" s="368" t="s">
        <v>269</v>
      </c>
      <c r="H106" s="368">
        <v>16</v>
      </c>
      <c r="I106" s="368">
        <v>5</v>
      </c>
      <c r="J106" s="368">
        <v>21</v>
      </c>
      <c r="K106" s="367">
        <v>20</v>
      </c>
      <c r="L106" s="367">
        <v>8</v>
      </c>
      <c r="M106" s="367">
        <v>28</v>
      </c>
    </row>
    <row r="107" spans="2:13" x14ac:dyDescent="0.25">
      <c r="B107" s="368" t="s">
        <v>289</v>
      </c>
      <c r="C107" s="368" t="s">
        <v>84</v>
      </c>
      <c r="F107" s="368" t="s">
        <v>270</v>
      </c>
      <c r="G107" s="368" t="s">
        <v>271</v>
      </c>
      <c r="H107" s="368">
        <v>17</v>
      </c>
      <c r="I107" s="368">
        <v>3</v>
      </c>
      <c r="J107" s="368">
        <v>20</v>
      </c>
      <c r="K107" s="367">
        <v>19</v>
      </c>
      <c r="L107" s="367">
        <v>2</v>
      </c>
      <c r="M107" s="367">
        <v>21</v>
      </c>
    </row>
    <row r="108" spans="2:13" x14ac:dyDescent="0.25">
      <c r="B108" s="368" t="s">
        <v>291</v>
      </c>
      <c r="C108" s="368" t="s">
        <v>83</v>
      </c>
      <c r="F108" s="368" t="s">
        <v>272</v>
      </c>
      <c r="G108" s="368" t="s">
        <v>273</v>
      </c>
      <c r="H108" s="368">
        <v>23</v>
      </c>
      <c r="I108" s="368">
        <v>3</v>
      </c>
      <c r="J108" s="368">
        <v>26</v>
      </c>
      <c r="K108" s="367">
        <v>22</v>
      </c>
      <c r="L108" s="367">
        <v>7</v>
      </c>
      <c r="M108" s="367">
        <v>29</v>
      </c>
    </row>
    <row r="109" spans="2:13" x14ac:dyDescent="0.25">
      <c r="B109" s="368" t="s">
        <v>293</v>
      </c>
      <c r="C109" s="368" t="s">
        <v>83</v>
      </c>
      <c r="F109" s="368" t="s">
        <v>274</v>
      </c>
      <c r="G109" s="368" t="s">
        <v>275</v>
      </c>
      <c r="H109" s="368">
        <v>24</v>
      </c>
      <c r="I109" s="368">
        <v>4</v>
      </c>
      <c r="J109" s="368">
        <v>28</v>
      </c>
      <c r="K109" s="367">
        <v>28</v>
      </c>
      <c r="L109" s="367">
        <v>5</v>
      </c>
      <c r="M109" s="367">
        <v>33</v>
      </c>
    </row>
    <row r="110" spans="2:13" x14ac:dyDescent="0.25">
      <c r="B110" s="368" t="s">
        <v>295</v>
      </c>
      <c r="C110" s="368" t="s">
        <v>79</v>
      </c>
      <c r="F110" s="368" t="s">
        <v>276</v>
      </c>
      <c r="G110" s="368" t="s">
        <v>277</v>
      </c>
      <c r="H110" s="368">
        <v>25</v>
      </c>
      <c r="I110" s="368">
        <v>3</v>
      </c>
      <c r="J110" s="368">
        <v>28</v>
      </c>
      <c r="K110" s="367">
        <v>25</v>
      </c>
      <c r="L110" s="367">
        <v>6</v>
      </c>
      <c r="M110" s="367">
        <v>31</v>
      </c>
    </row>
    <row r="111" spans="2:13" x14ac:dyDescent="0.25">
      <c r="B111" s="368" t="s">
        <v>297</v>
      </c>
      <c r="C111" s="368" t="s">
        <v>80</v>
      </c>
      <c r="F111" s="368" t="s">
        <v>278</v>
      </c>
      <c r="G111" s="368" t="s">
        <v>279</v>
      </c>
      <c r="H111" s="368">
        <v>24</v>
      </c>
      <c r="I111" s="368">
        <v>9</v>
      </c>
      <c r="J111" s="368">
        <v>33</v>
      </c>
      <c r="K111" s="367">
        <v>23</v>
      </c>
      <c r="L111" s="367">
        <v>11</v>
      </c>
      <c r="M111" s="367">
        <v>34</v>
      </c>
    </row>
    <row r="112" spans="2:13" x14ac:dyDescent="0.25">
      <c r="B112" s="368" t="s">
        <v>299</v>
      </c>
      <c r="C112" s="368" t="s">
        <v>83</v>
      </c>
      <c r="F112" s="368" t="s">
        <v>280</v>
      </c>
      <c r="G112" s="368" t="s">
        <v>281</v>
      </c>
      <c r="H112" s="368">
        <v>21</v>
      </c>
      <c r="I112" s="368">
        <v>3</v>
      </c>
      <c r="J112" s="368">
        <v>24</v>
      </c>
      <c r="K112" s="367">
        <v>19</v>
      </c>
      <c r="L112" s="367">
        <v>7</v>
      </c>
      <c r="M112" s="367">
        <v>26</v>
      </c>
    </row>
    <row r="113" spans="2:13" x14ac:dyDescent="0.25">
      <c r="B113" s="368" t="s">
        <v>301</v>
      </c>
      <c r="C113" s="368" t="s">
        <v>80</v>
      </c>
      <c r="F113" s="368" t="s">
        <v>282</v>
      </c>
      <c r="G113" s="368" t="s">
        <v>283</v>
      </c>
      <c r="H113" s="368">
        <v>13</v>
      </c>
      <c r="I113" s="368">
        <v>4</v>
      </c>
      <c r="J113" s="368">
        <v>17</v>
      </c>
      <c r="K113" s="367">
        <v>18</v>
      </c>
      <c r="L113" s="367">
        <v>6</v>
      </c>
      <c r="M113" s="367">
        <v>24</v>
      </c>
    </row>
    <row r="114" spans="2:13" x14ac:dyDescent="0.25">
      <c r="B114" s="368" t="s">
        <v>303</v>
      </c>
      <c r="C114" s="368" t="s">
        <v>82</v>
      </c>
      <c r="F114" s="368" t="s">
        <v>284</v>
      </c>
      <c r="G114" s="368" t="s">
        <v>285</v>
      </c>
      <c r="H114" s="368">
        <v>20</v>
      </c>
      <c r="I114" s="368">
        <v>6</v>
      </c>
      <c r="J114" s="368">
        <v>26</v>
      </c>
      <c r="K114" s="367">
        <v>18</v>
      </c>
      <c r="L114" s="367">
        <v>6</v>
      </c>
      <c r="M114" s="367">
        <v>24</v>
      </c>
    </row>
    <row r="115" spans="2:13" x14ac:dyDescent="0.25">
      <c r="B115" s="368" t="s">
        <v>305</v>
      </c>
      <c r="C115" s="368" t="s">
        <v>788</v>
      </c>
      <c r="F115" s="368" t="s">
        <v>286</v>
      </c>
      <c r="G115" s="368" t="s">
        <v>287</v>
      </c>
      <c r="H115" s="368">
        <v>22</v>
      </c>
      <c r="I115" s="368">
        <v>1</v>
      </c>
      <c r="J115" s="368">
        <v>23</v>
      </c>
      <c r="K115" s="367">
        <v>24</v>
      </c>
      <c r="L115" s="367">
        <v>1</v>
      </c>
      <c r="M115" s="367">
        <v>25</v>
      </c>
    </row>
    <row r="116" spans="2:13" x14ac:dyDescent="0.25">
      <c r="B116" s="368" t="s">
        <v>307</v>
      </c>
      <c r="C116" s="368" t="s">
        <v>80</v>
      </c>
      <c r="F116" s="368" t="s">
        <v>288</v>
      </c>
      <c r="G116" s="368" t="s">
        <v>289</v>
      </c>
      <c r="H116" s="368">
        <v>30</v>
      </c>
      <c r="I116" s="368">
        <v>6</v>
      </c>
      <c r="J116" s="368">
        <v>36</v>
      </c>
      <c r="K116" s="367">
        <v>26</v>
      </c>
      <c r="L116" s="367">
        <v>12</v>
      </c>
      <c r="M116" s="367">
        <v>38</v>
      </c>
    </row>
    <row r="117" spans="2:13" x14ac:dyDescent="0.25">
      <c r="B117" s="368" t="s">
        <v>309</v>
      </c>
      <c r="C117" s="368" t="s">
        <v>78</v>
      </c>
      <c r="F117" s="368" t="s">
        <v>290</v>
      </c>
      <c r="G117" s="368" t="s">
        <v>291</v>
      </c>
      <c r="H117" s="368">
        <v>18</v>
      </c>
      <c r="I117" s="368">
        <v>7</v>
      </c>
      <c r="J117" s="368">
        <v>25</v>
      </c>
      <c r="K117" s="367">
        <v>18</v>
      </c>
      <c r="L117" s="367">
        <v>6</v>
      </c>
      <c r="M117" s="367">
        <v>24</v>
      </c>
    </row>
    <row r="118" spans="2:13" x14ac:dyDescent="0.25">
      <c r="B118" s="368" t="s">
        <v>311</v>
      </c>
      <c r="C118" s="368" t="s">
        <v>80</v>
      </c>
      <c r="F118" s="368" t="s">
        <v>292</v>
      </c>
      <c r="G118" s="368" t="s">
        <v>293</v>
      </c>
      <c r="H118" s="368">
        <v>14</v>
      </c>
      <c r="I118" s="368">
        <v>5</v>
      </c>
      <c r="J118" s="368">
        <v>19</v>
      </c>
      <c r="K118" s="367">
        <v>19</v>
      </c>
      <c r="L118" s="367">
        <v>5</v>
      </c>
      <c r="M118" s="367">
        <v>24</v>
      </c>
    </row>
    <row r="119" spans="2:13" x14ac:dyDescent="0.25">
      <c r="B119" s="368" t="s">
        <v>313</v>
      </c>
      <c r="C119" s="368" t="s">
        <v>79</v>
      </c>
      <c r="F119" s="368" t="s">
        <v>294</v>
      </c>
      <c r="G119" s="368" t="s">
        <v>295</v>
      </c>
      <c r="H119" s="368">
        <v>19</v>
      </c>
      <c r="I119" s="368">
        <v>2</v>
      </c>
      <c r="J119" s="368">
        <v>21</v>
      </c>
      <c r="K119" s="367">
        <v>19</v>
      </c>
      <c r="L119" s="367">
        <v>5</v>
      </c>
      <c r="M119" s="367">
        <v>24</v>
      </c>
    </row>
    <row r="120" spans="2:13" x14ac:dyDescent="0.25">
      <c r="B120" s="368" t="s">
        <v>315</v>
      </c>
      <c r="C120" s="368" t="s">
        <v>788</v>
      </c>
      <c r="F120" s="368" t="s">
        <v>296</v>
      </c>
      <c r="G120" s="368" t="s">
        <v>297</v>
      </c>
      <c r="H120" s="368">
        <v>29</v>
      </c>
      <c r="I120" s="368">
        <v>12</v>
      </c>
      <c r="J120" s="368">
        <v>41</v>
      </c>
      <c r="K120" s="367">
        <v>24</v>
      </c>
      <c r="L120" s="367">
        <v>22</v>
      </c>
      <c r="M120" s="367">
        <v>46</v>
      </c>
    </row>
    <row r="121" spans="2:13" x14ac:dyDescent="0.25">
      <c r="B121" s="368" t="s">
        <v>317</v>
      </c>
      <c r="C121" s="368" t="s">
        <v>80</v>
      </c>
      <c r="F121" s="368" t="s">
        <v>298</v>
      </c>
      <c r="G121" s="368" t="s">
        <v>299</v>
      </c>
      <c r="H121" s="368">
        <v>19</v>
      </c>
      <c r="I121" s="368">
        <v>14</v>
      </c>
      <c r="J121" s="368">
        <v>33</v>
      </c>
      <c r="K121" s="367">
        <v>21</v>
      </c>
      <c r="L121" s="367">
        <v>13</v>
      </c>
      <c r="M121" s="367">
        <v>34</v>
      </c>
    </row>
    <row r="122" spans="2:13" x14ac:dyDescent="0.25">
      <c r="B122" s="368" t="s">
        <v>319</v>
      </c>
      <c r="C122" s="368" t="s">
        <v>83</v>
      </c>
      <c r="F122" s="368" t="s">
        <v>300</v>
      </c>
      <c r="G122" s="368" t="s">
        <v>301</v>
      </c>
      <c r="H122" s="368">
        <v>38</v>
      </c>
      <c r="I122" s="368">
        <v>25</v>
      </c>
      <c r="J122" s="368">
        <v>63</v>
      </c>
      <c r="K122" s="367">
        <v>31</v>
      </c>
      <c r="L122" s="367">
        <v>26</v>
      </c>
      <c r="M122" s="367">
        <v>57</v>
      </c>
    </row>
    <row r="123" spans="2:13" x14ac:dyDescent="0.25">
      <c r="B123" s="368" t="s">
        <v>321</v>
      </c>
      <c r="C123" s="368" t="s">
        <v>81</v>
      </c>
      <c r="F123" s="368" t="s">
        <v>302</v>
      </c>
      <c r="G123" s="368" t="s">
        <v>303</v>
      </c>
      <c r="H123" s="368">
        <v>16</v>
      </c>
      <c r="I123" s="368">
        <v>5</v>
      </c>
      <c r="J123" s="368">
        <v>21</v>
      </c>
      <c r="K123" s="367">
        <v>19</v>
      </c>
      <c r="L123" s="367">
        <v>3</v>
      </c>
      <c r="M123" s="367">
        <v>22</v>
      </c>
    </row>
    <row r="124" spans="2:13" x14ac:dyDescent="0.25">
      <c r="B124" s="368" t="s">
        <v>323</v>
      </c>
      <c r="C124" s="368" t="s">
        <v>83</v>
      </c>
      <c r="F124" s="368" t="s">
        <v>304</v>
      </c>
      <c r="G124" s="368" t="s">
        <v>305</v>
      </c>
      <c r="H124" s="368">
        <v>17</v>
      </c>
      <c r="I124" s="368">
        <v>6</v>
      </c>
      <c r="J124" s="368">
        <v>23</v>
      </c>
      <c r="K124" s="367">
        <v>23</v>
      </c>
      <c r="L124" s="367">
        <v>5</v>
      </c>
      <c r="M124" s="367">
        <v>28</v>
      </c>
    </row>
    <row r="125" spans="2:13" x14ac:dyDescent="0.25">
      <c r="B125" s="368" t="s">
        <v>325</v>
      </c>
      <c r="C125" s="368" t="s">
        <v>83</v>
      </c>
      <c r="F125" s="368" t="s">
        <v>306</v>
      </c>
      <c r="G125" s="368" t="s">
        <v>307</v>
      </c>
      <c r="H125" s="368">
        <v>31</v>
      </c>
      <c r="I125" s="368">
        <v>16</v>
      </c>
      <c r="J125" s="368">
        <v>47</v>
      </c>
      <c r="K125" s="367">
        <v>27</v>
      </c>
      <c r="L125" s="367">
        <v>14</v>
      </c>
      <c r="M125" s="367">
        <v>41</v>
      </c>
    </row>
    <row r="126" spans="2:13" x14ac:dyDescent="0.25">
      <c r="B126" s="368" t="s">
        <v>327</v>
      </c>
      <c r="C126" s="368" t="s">
        <v>80</v>
      </c>
      <c r="F126" s="368" t="s">
        <v>308</v>
      </c>
      <c r="G126" s="368" t="s">
        <v>309</v>
      </c>
      <c r="H126" s="368">
        <v>13</v>
      </c>
      <c r="I126" s="368">
        <v>3</v>
      </c>
      <c r="J126" s="368">
        <v>16</v>
      </c>
      <c r="K126" s="367">
        <v>19</v>
      </c>
      <c r="L126" s="367">
        <v>2</v>
      </c>
      <c r="M126" s="367">
        <v>21</v>
      </c>
    </row>
    <row r="127" spans="2:13" x14ac:dyDescent="0.25">
      <c r="B127" s="368" t="s">
        <v>329</v>
      </c>
      <c r="C127" s="368" t="s">
        <v>85</v>
      </c>
      <c r="F127" s="368" t="s">
        <v>310</v>
      </c>
      <c r="G127" s="368" t="s">
        <v>311</v>
      </c>
      <c r="H127" s="368">
        <v>32</v>
      </c>
      <c r="I127" s="368">
        <v>25</v>
      </c>
      <c r="J127" s="368">
        <v>57</v>
      </c>
      <c r="K127" s="367">
        <v>33</v>
      </c>
      <c r="L127" s="367">
        <v>28</v>
      </c>
      <c r="M127" s="367">
        <v>61</v>
      </c>
    </row>
    <row r="128" spans="2:13" x14ac:dyDescent="0.25">
      <c r="B128" s="368" t="s">
        <v>331</v>
      </c>
      <c r="C128" s="368" t="s">
        <v>79</v>
      </c>
      <c r="F128" s="368" t="s">
        <v>312</v>
      </c>
      <c r="G128" s="368" t="s">
        <v>313</v>
      </c>
      <c r="H128" s="368">
        <v>18</v>
      </c>
      <c r="I128" s="368">
        <v>4</v>
      </c>
      <c r="J128" s="368">
        <v>22</v>
      </c>
      <c r="K128" s="367">
        <v>23</v>
      </c>
      <c r="L128" s="367">
        <v>4</v>
      </c>
      <c r="M128" s="367">
        <v>27</v>
      </c>
    </row>
    <row r="129" spans="2:13" x14ac:dyDescent="0.25">
      <c r="B129" s="368" t="s">
        <v>333</v>
      </c>
      <c r="C129" s="368" t="s">
        <v>78</v>
      </c>
      <c r="F129" s="368" t="s">
        <v>314</v>
      </c>
      <c r="G129" s="368" t="s">
        <v>315</v>
      </c>
      <c r="H129" s="368">
        <v>17</v>
      </c>
      <c r="I129" s="368">
        <v>12</v>
      </c>
      <c r="J129" s="368">
        <v>29</v>
      </c>
      <c r="K129" s="367">
        <v>24</v>
      </c>
      <c r="L129" s="367">
        <v>10</v>
      </c>
      <c r="M129" s="367">
        <v>34</v>
      </c>
    </row>
    <row r="130" spans="2:13" x14ac:dyDescent="0.25">
      <c r="B130" s="368" t="s">
        <v>335</v>
      </c>
      <c r="C130" s="368" t="s">
        <v>80</v>
      </c>
      <c r="F130" s="368" t="s">
        <v>316</v>
      </c>
      <c r="G130" s="368" t="s">
        <v>317</v>
      </c>
      <c r="H130" s="368">
        <v>27</v>
      </c>
      <c r="I130" s="368">
        <v>8</v>
      </c>
      <c r="J130" s="368">
        <v>35</v>
      </c>
      <c r="K130" s="367">
        <v>28</v>
      </c>
      <c r="L130" s="367">
        <v>10</v>
      </c>
      <c r="M130" s="367">
        <v>38</v>
      </c>
    </row>
    <row r="131" spans="2:13" x14ac:dyDescent="0.25">
      <c r="B131" s="368" t="s">
        <v>337</v>
      </c>
      <c r="C131" s="368" t="s">
        <v>78</v>
      </c>
      <c r="F131" s="368" t="s">
        <v>318</v>
      </c>
      <c r="G131" s="368" t="s">
        <v>319</v>
      </c>
      <c r="H131" s="368">
        <v>20</v>
      </c>
      <c r="I131" s="368">
        <v>1</v>
      </c>
      <c r="J131" s="368">
        <v>21</v>
      </c>
      <c r="K131" s="367">
        <v>21</v>
      </c>
      <c r="L131" s="367">
        <v>2</v>
      </c>
      <c r="M131" s="367">
        <v>23</v>
      </c>
    </row>
    <row r="132" spans="2:13" x14ac:dyDescent="0.25">
      <c r="B132" s="368" t="s">
        <v>339</v>
      </c>
      <c r="C132" s="368" t="s">
        <v>83</v>
      </c>
      <c r="F132" s="368" t="s">
        <v>320</v>
      </c>
      <c r="G132" s="368" t="s">
        <v>321</v>
      </c>
      <c r="H132" s="368">
        <v>12</v>
      </c>
      <c r="I132" s="368">
        <v>4</v>
      </c>
      <c r="J132" s="368">
        <v>16</v>
      </c>
      <c r="K132" s="367">
        <v>15</v>
      </c>
      <c r="L132" s="367">
        <v>6</v>
      </c>
      <c r="M132" s="367">
        <v>21</v>
      </c>
    </row>
    <row r="133" spans="2:13" x14ac:dyDescent="0.25">
      <c r="B133" s="368" t="s">
        <v>341</v>
      </c>
      <c r="C133" s="368" t="s">
        <v>80</v>
      </c>
      <c r="F133" s="368" t="s">
        <v>322</v>
      </c>
      <c r="G133" s="368" t="s">
        <v>323</v>
      </c>
      <c r="H133" s="368">
        <v>15</v>
      </c>
      <c r="I133" s="368">
        <v>5</v>
      </c>
      <c r="J133" s="368">
        <v>20</v>
      </c>
      <c r="K133" s="367">
        <v>13</v>
      </c>
      <c r="L133" s="367">
        <v>5</v>
      </c>
      <c r="M133" s="367">
        <v>18</v>
      </c>
    </row>
    <row r="134" spans="2:13" x14ac:dyDescent="0.25">
      <c r="B134" s="368" t="s">
        <v>343</v>
      </c>
      <c r="C134" s="368" t="s">
        <v>79</v>
      </c>
      <c r="F134" s="368" t="s">
        <v>324</v>
      </c>
      <c r="G134" s="368" t="s">
        <v>325</v>
      </c>
      <c r="H134" s="368">
        <v>22</v>
      </c>
      <c r="I134" s="368">
        <v>8</v>
      </c>
      <c r="J134" s="368">
        <v>30</v>
      </c>
      <c r="K134" s="367">
        <v>25</v>
      </c>
      <c r="L134" s="367">
        <v>8</v>
      </c>
      <c r="M134" s="367">
        <v>33</v>
      </c>
    </row>
    <row r="135" spans="2:13" x14ac:dyDescent="0.25">
      <c r="B135" s="368" t="s">
        <v>345</v>
      </c>
      <c r="C135" s="368" t="s">
        <v>82</v>
      </c>
      <c r="F135" s="368" t="s">
        <v>326</v>
      </c>
      <c r="G135" s="368" t="s">
        <v>327</v>
      </c>
      <c r="H135" s="368">
        <v>32</v>
      </c>
      <c r="I135" s="368">
        <v>3</v>
      </c>
      <c r="J135" s="368">
        <v>35</v>
      </c>
      <c r="K135" s="367">
        <v>28</v>
      </c>
      <c r="L135" s="367">
        <v>6</v>
      </c>
      <c r="M135" s="367">
        <v>34</v>
      </c>
    </row>
    <row r="136" spans="2:13" x14ac:dyDescent="0.25">
      <c r="B136" s="368" t="s">
        <v>347</v>
      </c>
      <c r="C136" s="368" t="s">
        <v>79</v>
      </c>
      <c r="F136" s="368" t="s">
        <v>328</v>
      </c>
      <c r="G136" s="368" t="s">
        <v>329</v>
      </c>
      <c r="H136" s="368">
        <v>23</v>
      </c>
      <c r="I136" s="368">
        <v>2</v>
      </c>
      <c r="J136" s="368">
        <v>25</v>
      </c>
      <c r="K136" s="367">
        <v>24</v>
      </c>
      <c r="L136" s="367">
        <v>6</v>
      </c>
      <c r="M136" s="367">
        <v>30</v>
      </c>
    </row>
    <row r="137" spans="2:13" x14ac:dyDescent="0.25">
      <c r="B137" s="368" t="s">
        <v>349</v>
      </c>
      <c r="C137" s="368" t="s">
        <v>83</v>
      </c>
      <c r="F137" s="368" t="s">
        <v>330</v>
      </c>
      <c r="G137" s="368" t="s">
        <v>331</v>
      </c>
      <c r="H137" s="368">
        <v>24</v>
      </c>
      <c r="I137" s="368">
        <v>6</v>
      </c>
      <c r="J137" s="368">
        <v>30</v>
      </c>
      <c r="K137" s="367">
        <v>28</v>
      </c>
      <c r="L137" s="367">
        <v>9</v>
      </c>
      <c r="M137" s="367">
        <v>37</v>
      </c>
    </row>
    <row r="138" spans="2:13" x14ac:dyDescent="0.25">
      <c r="B138" s="368" t="s">
        <v>351</v>
      </c>
      <c r="C138" s="368" t="s">
        <v>84</v>
      </c>
      <c r="F138" s="368" t="s">
        <v>332</v>
      </c>
      <c r="G138" s="368" t="s">
        <v>333</v>
      </c>
      <c r="H138" s="368">
        <v>14</v>
      </c>
      <c r="I138" s="368">
        <v>3</v>
      </c>
      <c r="J138" s="368">
        <v>17</v>
      </c>
      <c r="K138" s="367">
        <v>18</v>
      </c>
      <c r="L138" s="367">
        <v>3</v>
      </c>
      <c r="M138" s="367">
        <v>21</v>
      </c>
    </row>
    <row r="139" spans="2:13" x14ac:dyDescent="0.25">
      <c r="B139" s="368" t="s">
        <v>353</v>
      </c>
      <c r="C139" s="368" t="s">
        <v>80</v>
      </c>
      <c r="F139" s="368" t="s">
        <v>334</v>
      </c>
      <c r="G139" s="368" t="s">
        <v>335</v>
      </c>
      <c r="H139" s="368">
        <v>30</v>
      </c>
      <c r="I139" s="368">
        <v>13</v>
      </c>
      <c r="J139" s="368">
        <v>43</v>
      </c>
      <c r="K139" s="367">
        <v>32</v>
      </c>
      <c r="L139" s="367">
        <v>15</v>
      </c>
      <c r="M139" s="367">
        <v>47</v>
      </c>
    </row>
    <row r="140" spans="2:13" x14ac:dyDescent="0.25">
      <c r="B140" s="368" t="s">
        <v>355</v>
      </c>
      <c r="C140" s="368" t="s">
        <v>80</v>
      </c>
      <c r="F140" s="368" t="s">
        <v>336</v>
      </c>
      <c r="G140" s="368" t="s">
        <v>337</v>
      </c>
      <c r="H140" s="368">
        <v>16</v>
      </c>
      <c r="I140" s="368">
        <v>1</v>
      </c>
      <c r="J140" s="368">
        <v>17</v>
      </c>
      <c r="K140" s="367">
        <v>20</v>
      </c>
      <c r="L140" s="367">
        <v>5</v>
      </c>
      <c r="M140" s="367">
        <v>25</v>
      </c>
    </row>
    <row r="141" spans="2:13" x14ac:dyDescent="0.25">
      <c r="B141" s="368" t="s">
        <v>357</v>
      </c>
      <c r="C141" s="368" t="s">
        <v>79</v>
      </c>
      <c r="F141" s="368" t="s">
        <v>338</v>
      </c>
      <c r="G141" s="368" t="s">
        <v>339</v>
      </c>
      <c r="H141" s="368">
        <v>18</v>
      </c>
      <c r="I141" s="368">
        <v>7</v>
      </c>
      <c r="J141" s="368">
        <v>25</v>
      </c>
      <c r="K141" s="367">
        <v>29</v>
      </c>
      <c r="L141" s="367">
        <v>5</v>
      </c>
      <c r="M141" s="367">
        <v>34</v>
      </c>
    </row>
    <row r="142" spans="2:13" x14ac:dyDescent="0.25">
      <c r="B142" s="368" t="s">
        <v>359</v>
      </c>
      <c r="C142" s="368" t="s">
        <v>788</v>
      </c>
      <c r="F142" s="368" t="s">
        <v>340</v>
      </c>
      <c r="G142" s="368" t="s">
        <v>341</v>
      </c>
      <c r="H142" s="368">
        <v>26</v>
      </c>
      <c r="I142" s="368">
        <v>20</v>
      </c>
      <c r="J142" s="368">
        <v>46</v>
      </c>
      <c r="K142" s="367">
        <v>33</v>
      </c>
      <c r="L142" s="367">
        <v>22</v>
      </c>
      <c r="M142" s="367">
        <v>55</v>
      </c>
    </row>
    <row r="143" spans="2:13" x14ac:dyDescent="0.25">
      <c r="B143" s="368" t="s">
        <v>361</v>
      </c>
      <c r="C143" s="368" t="s">
        <v>80</v>
      </c>
      <c r="F143" s="368" t="s">
        <v>342</v>
      </c>
      <c r="G143" s="368" t="s">
        <v>343</v>
      </c>
      <c r="H143" s="368">
        <v>27</v>
      </c>
      <c r="I143" s="368">
        <v>6</v>
      </c>
      <c r="J143" s="368">
        <v>33</v>
      </c>
      <c r="K143" s="367">
        <v>32</v>
      </c>
      <c r="L143" s="367">
        <v>4</v>
      </c>
      <c r="M143" s="367">
        <v>36</v>
      </c>
    </row>
    <row r="144" spans="2:13" x14ac:dyDescent="0.25">
      <c r="B144" s="368" t="s">
        <v>363</v>
      </c>
      <c r="C144" s="368" t="s">
        <v>788</v>
      </c>
      <c r="F144" s="368" t="s">
        <v>344</v>
      </c>
      <c r="G144" s="368" t="s">
        <v>345</v>
      </c>
      <c r="H144" s="368">
        <v>18</v>
      </c>
      <c r="I144" s="368">
        <v>5</v>
      </c>
      <c r="J144" s="368">
        <v>23</v>
      </c>
      <c r="K144" s="367">
        <v>17</v>
      </c>
      <c r="L144" s="367">
        <v>10</v>
      </c>
      <c r="M144" s="367">
        <v>27</v>
      </c>
    </row>
    <row r="145" spans="2:13" x14ac:dyDescent="0.25">
      <c r="B145" s="368" t="s">
        <v>365</v>
      </c>
      <c r="C145" s="368" t="s">
        <v>82</v>
      </c>
      <c r="F145" s="368" t="s">
        <v>346</v>
      </c>
      <c r="G145" s="368" t="s">
        <v>347</v>
      </c>
      <c r="H145" s="368">
        <v>22</v>
      </c>
      <c r="I145" s="368">
        <v>5</v>
      </c>
      <c r="J145" s="368">
        <v>27</v>
      </c>
      <c r="K145" s="367">
        <v>22</v>
      </c>
      <c r="L145" s="367">
        <v>10</v>
      </c>
      <c r="M145" s="367">
        <v>32</v>
      </c>
    </row>
    <row r="146" spans="2:13" x14ac:dyDescent="0.25">
      <c r="B146" s="368" t="s">
        <v>367</v>
      </c>
      <c r="C146" s="368" t="s">
        <v>80</v>
      </c>
      <c r="F146" s="368" t="s">
        <v>348</v>
      </c>
      <c r="G146" s="368" t="s">
        <v>349</v>
      </c>
      <c r="H146" s="368">
        <v>13</v>
      </c>
      <c r="I146" s="368">
        <v>4</v>
      </c>
      <c r="J146" s="368">
        <v>17</v>
      </c>
      <c r="K146" s="367">
        <v>11</v>
      </c>
      <c r="L146" s="367">
        <v>6</v>
      </c>
      <c r="M146" s="367">
        <v>17</v>
      </c>
    </row>
    <row r="147" spans="2:13" x14ac:dyDescent="0.25">
      <c r="B147" s="368" t="s">
        <v>369</v>
      </c>
      <c r="C147" s="368" t="s">
        <v>82</v>
      </c>
      <c r="F147" s="368" t="s">
        <v>350</v>
      </c>
      <c r="G147" s="368" t="s">
        <v>351</v>
      </c>
      <c r="H147" s="368">
        <v>2</v>
      </c>
      <c r="I147" s="368">
        <v>1</v>
      </c>
      <c r="J147" s="368">
        <v>3</v>
      </c>
      <c r="K147" s="367">
        <v>3</v>
      </c>
      <c r="L147" s="367">
        <v>1</v>
      </c>
      <c r="M147" s="367">
        <v>4</v>
      </c>
    </row>
    <row r="148" spans="2:13" x14ac:dyDescent="0.25">
      <c r="B148" s="368" t="s">
        <v>371</v>
      </c>
      <c r="C148" s="368" t="s">
        <v>788</v>
      </c>
      <c r="F148" s="368" t="s">
        <v>352</v>
      </c>
      <c r="G148" s="368" t="s">
        <v>353</v>
      </c>
      <c r="H148" s="368">
        <v>29</v>
      </c>
      <c r="I148" s="368">
        <v>26</v>
      </c>
      <c r="J148" s="368">
        <v>55</v>
      </c>
      <c r="K148" s="367">
        <v>25</v>
      </c>
      <c r="L148" s="367">
        <v>27</v>
      </c>
      <c r="M148" s="367">
        <v>52</v>
      </c>
    </row>
    <row r="149" spans="2:13" x14ac:dyDescent="0.25">
      <c r="B149" s="368" t="s">
        <v>373</v>
      </c>
      <c r="C149" s="368" t="s">
        <v>78</v>
      </c>
      <c r="F149" s="368" t="s">
        <v>354</v>
      </c>
      <c r="G149" s="368" t="s">
        <v>355</v>
      </c>
      <c r="H149" s="368">
        <v>28</v>
      </c>
      <c r="I149" s="368">
        <v>13</v>
      </c>
      <c r="J149" s="368">
        <v>41</v>
      </c>
      <c r="K149" s="367">
        <v>22</v>
      </c>
      <c r="L149" s="367">
        <v>13</v>
      </c>
      <c r="M149" s="367">
        <v>35</v>
      </c>
    </row>
    <row r="150" spans="2:13" x14ac:dyDescent="0.25">
      <c r="B150" s="368" t="s">
        <v>375</v>
      </c>
      <c r="C150" s="368" t="s">
        <v>83</v>
      </c>
      <c r="F150" s="368" t="s">
        <v>356</v>
      </c>
      <c r="G150" s="368" t="s">
        <v>357</v>
      </c>
      <c r="H150" s="368">
        <v>22</v>
      </c>
      <c r="I150" s="368">
        <v>4</v>
      </c>
      <c r="J150" s="368">
        <v>26</v>
      </c>
      <c r="K150" s="367">
        <v>18</v>
      </c>
      <c r="L150" s="367">
        <v>8</v>
      </c>
      <c r="M150" s="367">
        <v>26</v>
      </c>
    </row>
    <row r="151" spans="2:13" x14ac:dyDescent="0.25">
      <c r="B151" s="368" t="s">
        <v>377</v>
      </c>
      <c r="C151" s="368" t="s">
        <v>80</v>
      </c>
      <c r="F151" s="368" t="s">
        <v>358</v>
      </c>
      <c r="G151" s="368" t="s">
        <v>359</v>
      </c>
      <c r="H151" s="368">
        <v>20</v>
      </c>
      <c r="I151" s="368">
        <v>7</v>
      </c>
      <c r="J151" s="368">
        <v>27</v>
      </c>
      <c r="K151" s="367">
        <v>20</v>
      </c>
      <c r="L151" s="367">
        <v>15</v>
      </c>
      <c r="M151" s="367">
        <v>35</v>
      </c>
    </row>
    <row r="152" spans="2:13" x14ac:dyDescent="0.25">
      <c r="B152" s="368" t="s">
        <v>379</v>
      </c>
      <c r="C152" s="368" t="s">
        <v>85</v>
      </c>
      <c r="F152" s="368" t="s">
        <v>360</v>
      </c>
      <c r="G152" s="368" t="s">
        <v>361</v>
      </c>
      <c r="H152" s="368">
        <v>29</v>
      </c>
      <c r="I152" s="368">
        <v>7</v>
      </c>
      <c r="J152" s="368">
        <v>36</v>
      </c>
      <c r="K152" s="367">
        <v>28</v>
      </c>
      <c r="L152" s="367">
        <v>9</v>
      </c>
      <c r="M152" s="367">
        <v>37</v>
      </c>
    </row>
    <row r="153" spans="2:13" x14ac:dyDescent="0.25">
      <c r="B153" s="368" t="s">
        <v>381</v>
      </c>
      <c r="C153" s="368" t="s">
        <v>78</v>
      </c>
      <c r="F153" s="368" t="s">
        <v>362</v>
      </c>
      <c r="G153" s="368" t="s">
        <v>363</v>
      </c>
      <c r="H153" s="368">
        <v>19</v>
      </c>
      <c r="I153" s="368">
        <v>6</v>
      </c>
      <c r="J153" s="368">
        <v>25</v>
      </c>
      <c r="K153" s="367">
        <v>25</v>
      </c>
      <c r="L153" s="367">
        <v>12</v>
      </c>
      <c r="M153" s="367">
        <v>37</v>
      </c>
    </row>
    <row r="154" spans="2:13" x14ac:dyDescent="0.25">
      <c r="B154" s="368" t="s">
        <v>383</v>
      </c>
      <c r="C154" s="368" t="s">
        <v>82</v>
      </c>
      <c r="F154" s="368" t="s">
        <v>364</v>
      </c>
      <c r="G154" s="368" t="s">
        <v>365</v>
      </c>
      <c r="H154" s="368">
        <v>19</v>
      </c>
      <c r="I154" s="368">
        <v>12</v>
      </c>
      <c r="J154" s="368">
        <v>31</v>
      </c>
      <c r="K154" s="367">
        <v>19</v>
      </c>
      <c r="L154" s="367">
        <v>14</v>
      </c>
      <c r="M154" s="367">
        <v>33</v>
      </c>
    </row>
    <row r="155" spans="2:13" x14ac:dyDescent="0.25">
      <c r="B155" s="368" t="s">
        <v>385</v>
      </c>
      <c r="C155" s="368" t="s">
        <v>79</v>
      </c>
      <c r="F155" s="368" t="s">
        <v>366</v>
      </c>
      <c r="G155" s="368" t="s">
        <v>367</v>
      </c>
      <c r="H155" s="368">
        <v>36</v>
      </c>
      <c r="I155" s="368">
        <v>35</v>
      </c>
      <c r="J155" s="368">
        <v>71</v>
      </c>
      <c r="K155" s="367">
        <v>33</v>
      </c>
      <c r="L155" s="367">
        <v>39</v>
      </c>
      <c r="M155" s="367">
        <v>72</v>
      </c>
    </row>
    <row r="156" spans="2:13" x14ac:dyDescent="0.25">
      <c r="B156" s="368" t="s">
        <v>387</v>
      </c>
      <c r="C156" s="368" t="s">
        <v>83</v>
      </c>
      <c r="F156" s="368" t="s">
        <v>368</v>
      </c>
      <c r="G156" s="368" t="s">
        <v>369</v>
      </c>
      <c r="H156" s="368">
        <v>22</v>
      </c>
      <c r="I156" s="368">
        <v>9</v>
      </c>
      <c r="J156" s="368">
        <v>31</v>
      </c>
      <c r="K156" s="367">
        <v>22</v>
      </c>
      <c r="L156" s="367">
        <v>14</v>
      </c>
      <c r="M156" s="367">
        <v>36</v>
      </c>
    </row>
    <row r="157" spans="2:13" x14ac:dyDescent="0.25">
      <c r="B157" s="368" t="s">
        <v>389</v>
      </c>
      <c r="C157" s="368" t="s">
        <v>79</v>
      </c>
      <c r="F157" s="368" t="s">
        <v>370</v>
      </c>
      <c r="G157" s="368" t="s">
        <v>371</v>
      </c>
      <c r="H157" s="368">
        <v>32</v>
      </c>
      <c r="I157" s="368">
        <v>21</v>
      </c>
      <c r="J157" s="368">
        <v>53</v>
      </c>
      <c r="K157" s="367">
        <v>34</v>
      </c>
      <c r="L157" s="367">
        <v>26</v>
      </c>
      <c r="M157" s="367">
        <v>60</v>
      </c>
    </row>
    <row r="158" spans="2:13" x14ac:dyDescent="0.25">
      <c r="B158" s="368" t="s">
        <v>391</v>
      </c>
      <c r="C158" s="368" t="s">
        <v>85</v>
      </c>
      <c r="F158" s="368" t="s">
        <v>372</v>
      </c>
      <c r="G158" s="368" t="s">
        <v>373</v>
      </c>
      <c r="H158" s="368">
        <v>23</v>
      </c>
      <c r="I158" s="368">
        <v>14</v>
      </c>
      <c r="J158" s="368">
        <v>37</v>
      </c>
      <c r="K158" s="367">
        <v>23</v>
      </c>
      <c r="L158" s="367">
        <v>18</v>
      </c>
      <c r="M158" s="367">
        <v>41</v>
      </c>
    </row>
    <row r="159" spans="2:13" x14ac:dyDescent="0.25">
      <c r="B159" s="368" t="s">
        <v>393</v>
      </c>
      <c r="C159" s="368" t="s">
        <v>82</v>
      </c>
      <c r="F159" s="368" t="s">
        <v>374</v>
      </c>
      <c r="G159" s="368" t="s">
        <v>375</v>
      </c>
      <c r="H159" s="368">
        <v>19</v>
      </c>
      <c r="I159" s="368">
        <v>5</v>
      </c>
      <c r="J159" s="368">
        <v>24</v>
      </c>
      <c r="K159" s="367">
        <v>26</v>
      </c>
      <c r="L159" s="367">
        <v>9</v>
      </c>
      <c r="M159" s="367">
        <v>35</v>
      </c>
    </row>
    <row r="160" spans="2:13" x14ac:dyDescent="0.25">
      <c r="B160" s="368" t="s">
        <v>395</v>
      </c>
      <c r="C160" s="368" t="s">
        <v>78</v>
      </c>
      <c r="F160" s="368" t="s">
        <v>376</v>
      </c>
      <c r="G160" s="368" t="s">
        <v>377</v>
      </c>
      <c r="H160" s="368">
        <v>30</v>
      </c>
      <c r="I160" s="368">
        <v>29</v>
      </c>
      <c r="J160" s="368">
        <v>59</v>
      </c>
      <c r="K160" s="367">
        <v>28</v>
      </c>
      <c r="L160" s="367">
        <v>30</v>
      </c>
      <c r="M160" s="367">
        <v>58</v>
      </c>
    </row>
    <row r="161" spans="2:13" x14ac:dyDescent="0.25">
      <c r="B161" s="368" t="s">
        <v>397</v>
      </c>
      <c r="C161" s="368" t="s">
        <v>83</v>
      </c>
      <c r="F161" s="368" t="s">
        <v>378</v>
      </c>
      <c r="G161" s="368" t="s">
        <v>379</v>
      </c>
      <c r="H161" s="368">
        <v>19</v>
      </c>
      <c r="I161" s="368">
        <v>1</v>
      </c>
      <c r="J161" s="368">
        <v>20</v>
      </c>
      <c r="K161" s="367">
        <v>21</v>
      </c>
      <c r="L161" s="367">
        <v>3</v>
      </c>
      <c r="M161" s="367">
        <v>24</v>
      </c>
    </row>
    <row r="162" spans="2:13" x14ac:dyDescent="0.25">
      <c r="B162" s="368" t="s">
        <v>399</v>
      </c>
      <c r="C162" s="368" t="s">
        <v>78</v>
      </c>
      <c r="F162" s="368" t="s">
        <v>380</v>
      </c>
      <c r="G162" s="368" t="s">
        <v>381</v>
      </c>
      <c r="H162" s="368">
        <v>18</v>
      </c>
      <c r="I162" s="368">
        <v>8</v>
      </c>
      <c r="J162" s="368">
        <v>26</v>
      </c>
      <c r="K162" s="367">
        <v>19</v>
      </c>
      <c r="L162" s="367">
        <v>6</v>
      </c>
      <c r="M162" s="367">
        <v>25</v>
      </c>
    </row>
    <row r="163" spans="2:13" x14ac:dyDescent="0.25">
      <c r="B163" s="368" t="s">
        <v>401</v>
      </c>
      <c r="C163" s="368" t="s">
        <v>84</v>
      </c>
      <c r="F163" s="368" t="s">
        <v>382</v>
      </c>
      <c r="G163" s="368" t="s">
        <v>383</v>
      </c>
      <c r="H163" s="368">
        <v>29</v>
      </c>
      <c r="I163" s="368">
        <v>43</v>
      </c>
      <c r="J163" s="368">
        <v>72</v>
      </c>
      <c r="K163" s="367">
        <v>26</v>
      </c>
      <c r="L163" s="367">
        <v>53</v>
      </c>
      <c r="M163" s="367">
        <v>79</v>
      </c>
    </row>
    <row r="164" spans="2:13" x14ac:dyDescent="0.25">
      <c r="B164" s="368" t="s">
        <v>403</v>
      </c>
      <c r="C164" s="368" t="s">
        <v>80</v>
      </c>
      <c r="F164" s="368" t="s">
        <v>384</v>
      </c>
      <c r="G164" s="368" t="s">
        <v>385</v>
      </c>
      <c r="H164" s="368">
        <v>26</v>
      </c>
      <c r="I164" s="368">
        <v>6</v>
      </c>
      <c r="J164" s="368">
        <v>32</v>
      </c>
      <c r="K164" s="367">
        <v>21</v>
      </c>
      <c r="L164" s="367">
        <v>10</v>
      </c>
      <c r="M164" s="367">
        <v>31</v>
      </c>
    </row>
    <row r="165" spans="2:13" x14ac:dyDescent="0.25">
      <c r="B165" s="368" t="s">
        <v>405</v>
      </c>
      <c r="C165" s="368" t="s">
        <v>84</v>
      </c>
      <c r="F165" s="368" t="s">
        <v>386</v>
      </c>
      <c r="G165" s="368" t="s">
        <v>387</v>
      </c>
      <c r="H165" s="368">
        <v>23</v>
      </c>
      <c r="I165" s="368">
        <v>9</v>
      </c>
      <c r="J165" s="368">
        <v>32</v>
      </c>
      <c r="K165" s="367">
        <v>26</v>
      </c>
      <c r="L165" s="367">
        <v>14</v>
      </c>
      <c r="M165" s="367">
        <v>40</v>
      </c>
    </row>
    <row r="166" spans="2:13" x14ac:dyDescent="0.25">
      <c r="B166" s="368" t="s">
        <v>407</v>
      </c>
      <c r="C166" s="368" t="s">
        <v>79</v>
      </c>
      <c r="F166" s="368" t="s">
        <v>388</v>
      </c>
      <c r="G166" s="368" t="s">
        <v>389</v>
      </c>
      <c r="H166" s="368">
        <v>16</v>
      </c>
      <c r="I166" s="368">
        <v>3</v>
      </c>
      <c r="J166" s="368">
        <v>19</v>
      </c>
      <c r="K166" s="367">
        <v>19</v>
      </c>
      <c r="L166" s="367">
        <v>4</v>
      </c>
      <c r="M166" s="367">
        <v>23</v>
      </c>
    </row>
    <row r="167" spans="2:13" x14ac:dyDescent="0.25">
      <c r="B167" s="368" t="s">
        <v>409</v>
      </c>
      <c r="C167" s="368" t="s">
        <v>83</v>
      </c>
      <c r="F167" s="368" t="s">
        <v>390</v>
      </c>
      <c r="G167" s="368" t="s">
        <v>391</v>
      </c>
      <c r="H167" s="368">
        <v>13</v>
      </c>
      <c r="I167" s="368">
        <v>1</v>
      </c>
      <c r="J167" s="368">
        <v>14</v>
      </c>
      <c r="K167" s="367">
        <v>15</v>
      </c>
      <c r="L167" s="367">
        <v>3</v>
      </c>
      <c r="M167" s="367">
        <v>18</v>
      </c>
    </row>
    <row r="168" spans="2:13" x14ac:dyDescent="0.25">
      <c r="B168" s="368" t="s">
        <v>411</v>
      </c>
      <c r="C168" s="368" t="s">
        <v>81</v>
      </c>
      <c r="F168" s="368" t="s">
        <v>392</v>
      </c>
      <c r="G168" s="368" t="s">
        <v>393</v>
      </c>
      <c r="H168" s="368">
        <v>34</v>
      </c>
      <c r="I168" s="368">
        <v>19</v>
      </c>
      <c r="J168" s="368">
        <v>53</v>
      </c>
      <c r="K168" s="367">
        <v>30</v>
      </c>
      <c r="L168" s="367">
        <v>20</v>
      </c>
      <c r="M168" s="367">
        <v>50</v>
      </c>
    </row>
    <row r="169" spans="2:13" x14ac:dyDescent="0.25">
      <c r="B169" s="368" t="s">
        <v>413</v>
      </c>
      <c r="C169" s="368" t="s">
        <v>83</v>
      </c>
      <c r="F169" s="368" t="s">
        <v>394</v>
      </c>
      <c r="G169" s="368" t="s">
        <v>395</v>
      </c>
      <c r="H169" s="368">
        <v>19</v>
      </c>
      <c r="I169" s="368">
        <v>4</v>
      </c>
      <c r="J169" s="368">
        <v>23</v>
      </c>
      <c r="K169" s="367">
        <v>21</v>
      </c>
      <c r="L169" s="367">
        <v>5</v>
      </c>
      <c r="M169" s="367">
        <v>26</v>
      </c>
    </row>
    <row r="170" spans="2:13" x14ac:dyDescent="0.25">
      <c r="B170" s="368" t="s">
        <v>415</v>
      </c>
      <c r="C170" s="368" t="s">
        <v>83</v>
      </c>
      <c r="F170" s="368" t="s">
        <v>396</v>
      </c>
      <c r="G170" s="368" t="s">
        <v>397</v>
      </c>
      <c r="H170" s="368">
        <v>23</v>
      </c>
      <c r="I170" s="368">
        <v>7</v>
      </c>
      <c r="J170" s="368">
        <v>30</v>
      </c>
      <c r="K170" s="367">
        <v>23</v>
      </c>
      <c r="L170" s="367">
        <v>6</v>
      </c>
      <c r="M170" s="367">
        <v>29</v>
      </c>
    </row>
    <row r="171" spans="2:13" x14ac:dyDescent="0.25">
      <c r="B171" s="368" t="s">
        <v>417</v>
      </c>
      <c r="C171" s="368" t="s">
        <v>83</v>
      </c>
      <c r="F171" s="368" t="s">
        <v>398</v>
      </c>
      <c r="G171" s="368" t="s">
        <v>399</v>
      </c>
      <c r="H171" s="368">
        <v>13</v>
      </c>
      <c r="I171" s="368">
        <v>2</v>
      </c>
      <c r="J171" s="368">
        <v>15</v>
      </c>
      <c r="K171" s="367">
        <v>15</v>
      </c>
      <c r="L171" s="367">
        <v>1</v>
      </c>
      <c r="M171" s="367">
        <v>16</v>
      </c>
    </row>
    <row r="172" spans="2:13" x14ac:dyDescent="0.25">
      <c r="B172" s="368" t="s">
        <v>419</v>
      </c>
      <c r="C172" s="368" t="s">
        <v>78</v>
      </c>
      <c r="F172" s="368" t="s">
        <v>400</v>
      </c>
      <c r="G172" s="368" t="s">
        <v>401</v>
      </c>
      <c r="H172" s="368">
        <v>22</v>
      </c>
      <c r="I172" s="368">
        <v>9</v>
      </c>
      <c r="J172" s="368">
        <v>31</v>
      </c>
      <c r="K172" s="367">
        <v>21</v>
      </c>
      <c r="L172" s="367">
        <v>8</v>
      </c>
      <c r="M172" s="367">
        <v>29</v>
      </c>
    </row>
    <row r="173" spans="2:13" x14ac:dyDescent="0.25">
      <c r="B173" s="368" t="s">
        <v>421</v>
      </c>
      <c r="C173" s="368" t="s">
        <v>81</v>
      </c>
      <c r="F173" s="368" t="s">
        <v>402</v>
      </c>
      <c r="G173" s="368" t="s">
        <v>403</v>
      </c>
      <c r="H173" s="368">
        <v>29</v>
      </c>
      <c r="I173" s="368">
        <v>10</v>
      </c>
      <c r="J173" s="368">
        <v>39</v>
      </c>
      <c r="K173" s="367">
        <v>28</v>
      </c>
      <c r="L173" s="367">
        <v>11</v>
      </c>
      <c r="M173" s="367">
        <v>39</v>
      </c>
    </row>
    <row r="174" spans="2:13" x14ac:dyDescent="0.25">
      <c r="B174" s="368" t="s">
        <v>423</v>
      </c>
      <c r="C174" s="368" t="s">
        <v>85</v>
      </c>
      <c r="F174" s="368" t="s">
        <v>404</v>
      </c>
      <c r="G174" s="368" t="s">
        <v>405</v>
      </c>
      <c r="H174" s="368">
        <v>17</v>
      </c>
      <c r="I174" s="368">
        <v>6</v>
      </c>
      <c r="J174" s="368">
        <v>23</v>
      </c>
      <c r="K174" s="367">
        <v>17</v>
      </c>
      <c r="L174" s="367">
        <v>8</v>
      </c>
      <c r="M174" s="367">
        <v>25</v>
      </c>
    </row>
    <row r="175" spans="2:13" x14ac:dyDescent="0.25">
      <c r="B175" s="368" t="s">
        <v>425</v>
      </c>
      <c r="C175" s="368" t="s">
        <v>80</v>
      </c>
      <c r="F175" s="368" t="s">
        <v>406</v>
      </c>
      <c r="G175" s="368" t="s">
        <v>407</v>
      </c>
      <c r="H175" s="368">
        <v>17</v>
      </c>
      <c r="I175" s="368">
        <v>3</v>
      </c>
      <c r="J175" s="368">
        <v>20</v>
      </c>
      <c r="K175" s="367">
        <v>22</v>
      </c>
      <c r="L175" s="367">
        <v>4</v>
      </c>
      <c r="M175" s="367">
        <v>26</v>
      </c>
    </row>
    <row r="176" spans="2:13" x14ac:dyDescent="0.25">
      <c r="B176" s="368" t="s">
        <v>427</v>
      </c>
      <c r="C176" s="368" t="s">
        <v>84</v>
      </c>
      <c r="F176" s="368" t="s">
        <v>408</v>
      </c>
      <c r="G176" s="368" t="s">
        <v>409</v>
      </c>
      <c r="H176" s="368">
        <v>21</v>
      </c>
      <c r="I176" s="368">
        <v>10</v>
      </c>
      <c r="J176" s="368">
        <v>31</v>
      </c>
      <c r="K176" s="367">
        <v>29</v>
      </c>
      <c r="L176" s="367">
        <v>12</v>
      </c>
      <c r="M176" s="367">
        <v>41</v>
      </c>
    </row>
    <row r="177" spans="2:13" x14ac:dyDescent="0.25">
      <c r="B177" s="368" t="s">
        <v>429</v>
      </c>
      <c r="C177" s="368" t="s">
        <v>78</v>
      </c>
      <c r="F177" s="368" t="s">
        <v>410</v>
      </c>
      <c r="G177" s="368" t="s">
        <v>411</v>
      </c>
      <c r="H177" s="368">
        <v>23</v>
      </c>
      <c r="I177" s="368">
        <v>4</v>
      </c>
      <c r="J177" s="368">
        <v>27</v>
      </c>
      <c r="K177" s="367">
        <v>20</v>
      </c>
      <c r="L177" s="367">
        <v>8</v>
      </c>
      <c r="M177" s="367">
        <v>28</v>
      </c>
    </row>
    <row r="178" spans="2:13" x14ac:dyDescent="0.25">
      <c r="B178" s="368" t="s">
        <v>431</v>
      </c>
      <c r="C178" s="368" t="s">
        <v>788</v>
      </c>
      <c r="F178" s="368" t="s">
        <v>412</v>
      </c>
      <c r="G178" s="368" t="s">
        <v>413</v>
      </c>
      <c r="H178" s="368">
        <v>39</v>
      </c>
      <c r="I178" s="368">
        <v>11</v>
      </c>
      <c r="J178" s="368">
        <v>50</v>
      </c>
      <c r="K178" s="367">
        <v>39</v>
      </c>
      <c r="L178" s="367">
        <v>13</v>
      </c>
      <c r="M178" s="367">
        <v>52</v>
      </c>
    </row>
    <row r="179" spans="2:13" x14ac:dyDescent="0.25">
      <c r="B179" s="368" t="s">
        <v>433</v>
      </c>
      <c r="C179" s="368" t="s">
        <v>79</v>
      </c>
      <c r="F179" s="368" t="s">
        <v>414</v>
      </c>
      <c r="G179" s="368" t="s">
        <v>415</v>
      </c>
      <c r="H179" s="368">
        <v>22</v>
      </c>
      <c r="I179" s="368">
        <v>9</v>
      </c>
      <c r="J179" s="368">
        <v>31</v>
      </c>
      <c r="K179" s="367">
        <v>22</v>
      </c>
      <c r="L179" s="367">
        <v>8</v>
      </c>
      <c r="M179" s="367">
        <v>30</v>
      </c>
    </row>
    <row r="180" spans="2:13" x14ac:dyDescent="0.25">
      <c r="B180" s="368" t="s">
        <v>435</v>
      </c>
      <c r="C180" s="368" t="s">
        <v>78</v>
      </c>
      <c r="F180" s="368" t="s">
        <v>416</v>
      </c>
      <c r="G180" s="368" t="s">
        <v>417</v>
      </c>
      <c r="H180" s="368">
        <v>25</v>
      </c>
      <c r="I180" s="368">
        <v>6</v>
      </c>
      <c r="J180" s="368">
        <v>31</v>
      </c>
      <c r="K180" s="367">
        <v>22</v>
      </c>
      <c r="L180" s="367">
        <v>4</v>
      </c>
      <c r="M180" s="367">
        <v>26</v>
      </c>
    </row>
    <row r="181" spans="2:13" x14ac:dyDescent="0.25">
      <c r="B181" s="368" t="s">
        <v>437</v>
      </c>
      <c r="C181" s="368" t="s">
        <v>788</v>
      </c>
      <c r="F181" s="368" t="s">
        <v>418</v>
      </c>
      <c r="G181" s="368" t="s">
        <v>419</v>
      </c>
      <c r="H181" s="368">
        <v>20</v>
      </c>
      <c r="I181" s="368">
        <v>4</v>
      </c>
      <c r="J181" s="368">
        <v>24</v>
      </c>
      <c r="K181" s="367">
        <v>23</v>
      </c>
      <c r="L181" s="367">
        <v>5</v>
      </c>
      <c r="M181" s="367">
        <v>28</v>
      </c>
    </row>
    <row r="182" spans="2:13" x14ac:dyDescent="0.25">
      <c r="B182" s="368" t="s">
        <v>439</v>
      </c>
      <c r="C182" s="368" t="s">
        <v>79</v>
      </c>
      <c r="F182" s="368" t="s">
        <v>420</v>
      </c>
      <c r="G182" s="368" t="s">
        <v>421</v>
      </c>
      <c r="H182" s="368">
        <v>20</v>
      </c>
      <c r="I182" s="368">
        <v>14</v>
      </c>
      <c r="J182" s="368">
        <v>34</v>
      </c>
      <c r="K182" s="367">
        <v>16</v>
      </c>
      <c r="L182" s="367">
        <v>15</v>
      </c>
      <c r="M182" s="367">
        <v>31</v>
      </c>
    </row>
    <row r="183" spans="2:13" x14ac:dyDescent="0.25">
      <c r="B183" s="368" t="s">
        <v>797</v>
      </c>
      <c r="C183" s="368" t="s">
        <v>78</v>
      </c>
      <c r="F183" s="368" t="s">
        <v>422</v>
      </c>
      <c r="G183" s="368" t="s">
        <v>423</v>
      </c>
      <c r="H183" s="368">
        <v>14</v>
      </c>
      <c r="I183" s="368">
        <v>6</v>
      </c>
      <c r="J183" s="368">
        <v>20</v>
      </c>
      <c r="K183" s="367">
        <v>16</v>
      </c>
      <c r="L183" s="367">
        <v>4</v>
      </c>
      <c r="M183" s="367">
        <v>20</v>
      </c>
    </row>
    <row r="184" spans="2:13" x14ac:dyDescent="0.25">
      <c r="B184" s="368" t="s">
        <v>441</v>
      </c>
      <c r="C184" s="368" t="s">
        <v>84</v>
      </c>
      <c r="F184" s="368" t="s">
        <v>424</v>
      </c>
      <c r="G184" s="368" t="s">
        <v>425</v>
      </c>
      <c r="H184" s="368">
        <v>33</v>
      </c>
      <c r="I184" s="368">
        <v>17</v>
      </c>
      <c r="J184" s="368">
        <v>50</v>
      </c>
      <c r="K184" s="367">
        <v>32</v>
      </c>
      <c r="L184" s="367">
        <v>21</v>
      </c>
      <c r="M184" s="367">
        <v>53</v>
      </c>
    </row>
    <row r="185" spans="2:13" x14ac:dyDescent="0.25">
      <c r="B185" s="368" t="s">
        <v>443</v>
      </c>
      <c r="C185" s="368" t="s">
        <v>81</v>
      </c>
      <c r="F185" s="368" t="s">
        <v>426</v>
      </c>
      <c r="G185" s="368" t="s">
        <v>427</v>
      </c>
      <c r="H185" s="368">
        <v>16</v>
      </c>
      <c r="I185" s="368">
        <v>2</v>
      </c>
      <c r="J185" s="368">
        <v>18</v>
      </c>
      <c r="K185" s="367">
        <v>18</v>
      </c>
      <c r="L185" s="367">
        <v>10</v>
      </c>
      <c r="M185" s="367">
        <v>28</v>
      </c>
    </row>
    <row r="186" spans="2:13" x14ac:dyDescent="0.25">
      <c r="B186" s="368" t="s">
        <v>445</v>
      </c>
      <c r="C186" s="368" t="s">
        <v>85</v>
      </c>
      <c r="F186" s="368" t="s">
        <v>428</v>
      </c>
      <c r="G186" s="368" t="s">
        <v>429</v>
      </c>
      <c r="H186" s="368">
        <v>17</v>
      </c>
      <c r="I186" s="368">
        <v>2</v>
      </c>
      <c r="J186" s="368">
        <v>19</v>
      </c>
      <c r="K186" s="367">
        <v>21</v>
      </c>
      <c r="L186" s="367">
        <v>4</v>
      </c>
      <c r="M186" s="367">
        <v>25</v>
      </c>
    </row>
    <row r="187" spans="2:13" x14ac:dyDescent="0.25">
      <c r="B187" s="368" t="s">
        <v>447</v>
      </c>
      <c r="C187" s="368" t="s">
        <v>78</v>
      </c>
      <c r="F187" s="368" t="s">
        <v>430</v>
      </c>
      <c r="G187" s="368" t="s">
        <v>431</v>
      </c>
      <c r="H187" s="368">
        <v>15</v>
      </c>
      <c r="I187" s="368">
        <v>8</v>
      </c>
      <c r="J187" s="368">
        <v>23</v>
      </c>
      <c r="K187" s="367">
        <v>17</v>
      </c>
      <c r="L187" s="367">
        <v>5</v>
      </c>
      <c r="M187" s="367">
        <v>22</v>
      </c>
    </row>
    <row r="188" spans="2:13" x14ac:dyDescent="0.25">
      <c r="B188" s="368" t="s">
        <v>449</v>
      </c>
      <c r="C188" s="368" t="s">
        <v>81</v>
      </c>
      <c r="F188" s="368" t="s">
        <v>432</v>
      </c>
      <c r="G188" s="368" t="s">
        <v>433</v>
      </c>
      <c r="H188" s="368">
        <v>26</v>
      </c>
      <c r="I188" s="368">
        <v>4</v>
      </c>
      <c r="J188" s="368">
        <v>30</v>
      </c>
      <c r="K188" s="367">
        <v>29</v>
      </c>
      <c r="L188" s="367">
        <v>3</v>
      </c>
      <c r="M188" s="367">
        <v>32</v>
      </c>
    </row>
    <row r="189" spans="2:13" x14ac:dyDescent="0.25">
      <c r="B189" s="368" t="s">
        <v>451</v>
      </c>
      <c r="C189" s="368" t="s">
        <v>79</v>
      </c>
      <c r="F189" s="368" t="s">
        <v>434</v>
      </c>
      <c r="G189" s="368" t="s">
        <v>435</v>
      </c>
      <c r="H189" s="368">
        <v>17</v>
      </c>
      <c r="I189" s="368">
        <v>7</v>
      </c>
      <c r="J189" s="368">
        <v>24</v>
      </c>
      <c r="K189" s="367">
        <v>20</v>
      </c>
      <c r="L189" s="367">
        <v>6</v>
      </c>
      <c r="M189" s="367">
        <v>26</v>
      </c>
    </row>
    <row r="190" spans="2:13" x14ac:dyDescent="0.25">
      <c r="B190" s="368" t="s">
        <v>453</v>
      </c>
      <c r="C190" s="368" t="s">
        <v>78</v>
      </c>
      <c r="F190" s="368" t="s">
        <v>436</v>
      </c>
      <c r="G190" s="368" t="s">
        <v>437</v>
      </c>
      <c r="H190" s="368">
        <v>15</v>
      </c>
      <c r="I190" s="368">
        <v>3</v>
      </c>
      <c r="J190" s="368">
        <v>18</v>
      </c>
      <c r="K190" s="367">
        <v>18</v>
      </c>
      <c r="L190" s="367">
        <v>2</v>
      </c>
      <c r="M190" s="367">
        <v>20</v>
      </c>
    </row>
    <row r="191" spans="2:13" x14ac:dyDescent="0.25">
      <c r="B191" s="368" t="s">
        <v>455</v>
      </c>
      <c r="C191" s="368" t="s">
        <v>85</v>
      </c>
      <c r="F191" s="368" t="s">
        <v>438</v>
      </c>
      <c r="G191" s="368" t="s">
        <v>439</v>
      </c>
      <c r="H191" s="368">
        <v>18</v>
      </c>
      <c r="I191" s="368">
        <v>1</v>
      </c>
      <c r="J191" s="368">
        <v>19</v>
      </c>
      <c r="K191" s="367">
        <v>15</v>
      </c>
      <c r="L191" s="367">
        <v>3</v>
      </c>
      <c r="M191" s="367">
        <v>18</v>
      </c>
    </row>
    <row r="192" spans="2:13" x14ac:dyDescent="0.25">
      <c r="B192" s="368" t="s">
        <v>457</v>
      </c>
      <c r="C192" s="368" t="s">
        <v>78</v>
      </c>
      <c r="F192" s="368" t="s">
        <v>799</v>
      </c>
      <c r="G192" s="368" t="s">
        <v>797</v>
      </c>
      <c r="H192" s="368">
        <v>35</v>
      </c>
      <c r="I192" s="368">
        <v>9</v>
      </c>
      <c r="J192" s="368">
        <v>44</v>
      </c>
      <c r="K192" s="367">
        <v>39</v>
      </c>
      <c r="L192" s="367">
        <v>15</v>
      </c>
      <c r="M192" s="367">
        <v>54</v>
      </c>
    </row>
    <row r="193" spans="2:13" x14ac:dyDescent="0.25">
      <c r="B193" s="368" t="s">
        <v>459</v>
      </c>
      <c r="C193" s="368" t="s">
        <v>82</v>
      </c>
      <c r="F193" s="368" t="s">
        <v>440</v>
      </c>
      <c r="G193" s="368" t="s">
        <v>441</v>
      </c>
      <c r="H193" s="368">
        <v>23</v>
      </c>
      <c r="I193" s="368">
        <v>11</v>
      </c>
      <c r="J193" s="368">
        <v>34</v>
      </c>
      <c r="K193" s="367">
        <v>30</v>
      </c>
      <c r="L193" s="367">
        <v>11</v>
      </c>
      <c r="M193" s="367">
        <v>41</v>
      </c>
    </row>
    <row r="194" spans="2:13" x14ac:dyDescent="0.25">
      <c r="B194" s="368" t="s">
        <v>461</v>
      </c>
      <c r="C194" s="368" t="s">
        <v>83</v>
      </c>
      <c r="F194" s="368" t="s">
        <v>442</v>
      </c>
      <c r="G194" s="368" t="s">
        <v>443</v>
      </c>
      <c r="H194" s="368">
        <v>18</v>
      </c>
      <c r="I194" s="368">
        <v>11</v>
      </c>
      <c r="J194" s="368">
        <v>29</v>
      </c>
      <c r="K194" s="367">
        <v>21</v>
      </c>
      <c r="L194" s="367">
        <v>14</v>
      </c>
      <c r="M194" s="367">
        <v>35</v>
      </c>
    </row>
    <row r="195" spans="2:13" x14ac:dyDescent="0.25">
      <c r="B195" s="368" t="s">
        <v>463</v>
      </c>
      <c r="C195" s="368" t="s">
        <v>82</v>
      </c>
      <c r="F195" s="368" t="s">
        <v>444</v>
      </c>
      <c r="G195" s="368" t="s">
        <v>445</v>
      </c>
      <c r="H195" s="368">
        <v>13</v>
      </c>
      <c r="I195" s="368">
        <v>0</v>
      </c>
      <c r="J195" s="368">
        <v>13</v>
      </c>
      <c r="K195" s="367">
        <v>15</v>
      </c>
      <c r="L195" s="367">
        <v>5</v>
      </c>
      <c r="M195" s="367">
        <v>20</v>
      </c>
    </row>
    <row r="196" spans="2:13" x14ac:dyDescent="0.25">
      <c r="B196" s="368" t="s">
        <v>465</v>
      </c>
      <c r="C196" s="368" t="s">
        <v>79</v>
      </c>
      <c r="F196" s="368" t="s">
        <v>446</v>
      </c>
      <c r="G196" s="368" t="s">
        <v>447</v>
      </c>
      <c r="H196" s="368">
        <v>13</v>
      </c>
      <c r="I196" s="368">
        <v>2</v>
      </c>
      <c r="J196" s="368">
        <v>15</v>
      </c>
      <c r="K196" s="367">
        <v>21</v>
      </c>
      <c r="L196" s="367">
        <v>4</v>
      </c>
      <c r="M196" s="367">
        <v>25</v>
      </c>
    </row>
    <row r="197" spans="2:13" x14ac:dyDescent="0.25">
      <c r="B197" s="368" t="s">
        <v>467</v>
      </c>
      <c r="C197" s="368" t="s">
        <v>84</v>
      </c>
      <c r="F197" s="368" t="s">
        <v>448</v>
      </c>
      <c r="G197" s="368" t="s">
        <v>449</v>
      </c>
      <c r="H197" s="368">
        <v>20</v>
      </c>
      <c r="I197" s="368">
        <v>15</v>
      </c>
      <c r="J197" s="368">
        <v>35</v>
      </c>
      <c r="K197" s="367">
        <v>21</v>
      </c>
      <c r="L197" s="367">
        <v>16</v>
      </c>
      <c r="M197" s="367">
        <v>37</v>
      </c>
    </row>
    <row r="198" spans="2:13" x14ac:dyDescent="0.25">
      <c r="B198" s="368" t="s">
        <v>469</v>
      </c>
      <c r="C198" s="368" t="s">
        <v>83</v>
      </c>
      <c r="F198" s="368" t="s">
        <v>450</v>
      </c>
      <c r="G198" s="368" t="s">
        <v>451</v>
      </c>
      <c r="H198" s="368">
        <v>21</v>
      </c>
      <c r="I198" s="368">
        <v>11</v>
      </c>
      <c r="J198" s="368">
        <v>32</v>
      </c>
      <c r="K198" s="367">
        <v>22</v>
      </c>
      <c r="L198" s="367">
        <v>8</v>
      </c>
      <c r="M198" s="367">
        <v>30</v>
      </c>
    </row>
    <row r="199" spans="2:13" x14ac:dyDescent="0.25">
      <c r="B199" s="368" t="s">
        <v>471</v>
      </c>
      <c r="C199" s="368" t="s">
        <v>82</v>
      </c>
      <c r="F199" s="368" t="s">
        <v>452</v>
      </c>
      <c r="G199" s="368" t="s">
        <v>453</v>
      </c>
      <c r="H199" s="368">
        <v>28</v>
      </c>
      <c r="I199" s="368">
        <v>13</v>
      </c>
      <c r="J199" s="368">
        <v>41</v>
      </c>
      <c r="K199" s="367">
        <v>29</v>
      </c>
      <c r="L199" s="367">
        <v>15</v>
      </c>
      <c r="M199" s="367">
        <v>44</v>
      </c>
    </row>
    <row r="200" spans="2:13" x14ac:dyDescent="0.25">
      <c r="B200" s="368" t="s">
        <v>473</v>
      </c>
      <c r="C200" s="368" t="s">
        <v>83</v>
      </c>
      <c r="F200" s="368" t="s">
        <v>454</v>
      </c>
      <c r="G200" s="368" t="s">
        <v>455</v>
      </c>
      <c r="H200" s="368">
        <v>20</v>
      </c>
      <c r="I200" s="368">
        <v>7</v>
      </c>
      <c r="J200" s="368">
        <v>27</v>
      </c>
      <c r="K200" s="367">
        <v>25</v>
      </c>
      <c r="L200" s="367">
        <v>9</v>
      </c>
      <c r="M200" s="367">
        <v>34</v>
      </c>
    </row>
    <row r="201" spans="2:13" x14ac:dyDescent="0.25">
      <c r="B201" s="368" t="s">
        <v>475</v>
      </c>
      <c r="C201" s="368" t="s">
        <v>80</v>
      </c>
      <c r="F201" s="368" t="s">
        <v>456</v>
      </c>
      <c r="G201" s="368" t="s">
        <v>457</v>
      </c>
      <c r="H201" s="368">
        <v>12</v>
      </c>
      <c r="I201" s="368">
        <v>1</v>
      </c>
      <c r="J201" s="368">
        <v>13</v>
      </c>
      <c r="K201" s="367">
        <v>16</v>
      </c>
      <c r="L201" s="367">
        <v>6</v>
      </c>
      <c r="M201" s="367">
        <v>22</v>
      </c>
    </row>
    <row r="202" spans="2:13" x14ac:dyDescent="0.25">
      <c r="B202" s="368" t="s">
        <v>477</v>
      </c>
      <c r="C202" s="368" t="s">
        <v>81</v>
      </c>
      <c r="F202" s="368" t="s">
        <v>458</v>
      </c>
      <c r="G202" s="368" t="s">
        <v>459</v>
      </c>
      <c r="H202" s="368">
        <v>15</v>
      </c>
      <c r="I202" s="368">
        <v>4</v>
      </c>
      <c r="J202" s="368">
        <v>19</v>
      </c>
      <c r="K202" s="367">
        <v>17</v>
      </c>
      <c r="L202" s="367">
        <v>7</v>
      </c>
      <c r="M202" s="367">
        <v>24</v>
      </c>
    </row>
    <row r="203" spans="2:13" x14ac:dyDescent="0.25">
      <c r="B203" s="368" t="s">
        <v>479</v>
      </c>
      <c r="C203" s="368" t="s">
        <v>85</v>
      </c>
      <c r="F203" s="368" t="s">
        <v>460</v>
      </c>
      <c r="G203" s="368" t="s">
        <v>461</v>
      </c>
      <c r="H203" s="368">
        <v>24</v>
      </c>
      <c r="I203" s="368">
        <v>4</v>
      </c>
      <c r="J203" s="368">
        <v>28</v>
      </c>
      <c r="K203" s="367">
        <v>24</v>
      </c>
      <c r="L203" s="367">
        <v>4</v>
      </c>
      <c r="M203" s="367">
        <v>28</v>
      </c>
    </row>
    <row r="204" spans="2:13" x14ac:dyDescent="0.25">
      <c r="B204" s="368" t="s">
        <v>481</v>
      </c>
      <c r="C204" s="368" t="s">
        <v>83</v>
      </c>
      <c r="F204" s="368" t="s">
        <v>462</v>
      </c>
      <c r="G204" s="368" t="s">
        <v>463</v>
      </c>
      <c r="H204" s="368">
        <v>17</v>
      </c>
      <c r="I204" s="368">
        <v>5</v>
      </c>
      <c r="J204" s="368">
        <v>22</v>
      </c>
      <c r="K204" s="367">
        <v>21</v>
      </c>
      <c r="L204" s="367">
        <v>5</v>
      </c>
      <c r="M204" s="367">
        <v>26</v>
      </c>
    </row>
    <row r="205" spans="2:13" x14ac:dyDescent="0.25">
      <c r="B205" s="368" t="s">
        <v>483</v>
      </c>
      <c r="C205" s="368" t="s">
        <v>82</v>
      </c>
      <c r="F205" s="368" t="s">
        <v>464</v>
      </c>
      <c r="G205" s="368" t="s">
        <v>465</v>
      </c>
      <c r="H205" s="368">
        <v>23</v>
      </c>
      <c r="I205" s="368">
        <v>3</v>
      </c>
      <c r="J205" s="368">
        <v>26</v>
      </c>
      <c r="K205" s="367">
        <v>25</v>
      </c>
      <c r="L205" s="367">
        <v>9</v>
      </c>
      <c r="M205" s="367">
        <v>34</v>
      </c>
    </row>
    <row r="206" spans="2:13" x14ac:dyDescent="0.25">
      <c r="B206" s="368" t="s">
        <v>485</v>
      </c>
      <c r="C206" s="368" t="s">
        <v>80</v>
      </c>
      <c r="F206" s="368" t="s">
        <v>466</v>
      </c>
      <c r="G206" s="368" t="s">
        <v>467</v>
      </c>
      <c r="H206" s="368">
        <v>22</v>
      </c>
      <c r="I206" s="368">
        <v>4</v>
      </c>
      <c r="J206" s="368">
        <v>26</v>
      </c>
      <c r="K206" s="367">
        <v>23</v>
      </c>
      <c r="L206" s="367">
        <v>4</v>
      </c>
      <c r="M206" s="367">
        <v>27</v>
      </c>
    </row>
    <row r="207" spans="2:13" x14ac:dyDescent="0.25">
      <c r="B207" s="368" t="s">
        <v>487</v>
      </c>
      <c r="C207" s="368" t="s">
        <v>788</v>
      </c>
      <c r="F207" s="368" t="s">
        <v>468</v>
      </c>
      <c r="G207" s="368" t="s">
        <v>469</v>
      </c>
      <c r="H207" s="368">
        <v>24</v>
      </c>
      <c r="I207" s="368">
        <v>10</v>
      </c>
      <c r="J207" s="368">
        <v>34</v>
      </c>
      <c r="K207" s="367">
        <v>23</v>
      </c>
      <c r="L207" s="367">
        <v>12</v>
      </c>
      <c r="M207" s="367">
        <v>35</v>
      </c>
    </row>
    <row r="208" spans="2:13" x14ac:dyDescent="0.25">
      <c r="B208" s="368" t="s">
        <v>489</v>
      </c>
      <c r="C208" s="368" t="s">
        <v>82</v>
      </c>
      <c r="F208" s="368" t="s">
        <v>470</v>
      </c>
      <c r="G208" s="368" t="s">
        <v>471</v>
      </c>
      <c r="H208" s="368">
        <v>19</v>
      </c>
      <c r="I208" s="368">
        <v>6</v>
      </c>
      <c r="J208" s="368">
        <v>25</v>
      </c>
      <c r="K208" s="367">
        <v>24</v>
      </c>
      <c r="L208" s="367">
        <v>9</v>
      </c>
      <c r="M208" s="367">
        <v>33</v>
      </c>
    </row>
    <row r="209" spans="2:13" x14ac:dyDescent="0.25">
      <c r="B209" s="368" t="s">
        <v>491</v>
      </c>
      <c r="C209" s="368" t="s">
        <v>79</v>
      </c>
      <c r="F209" s="368" t="s">
        <v>472</v>
      </c>
      <c r="G209" s="368" t="s">
        <v>473</v>
      </c>
      <c r="H209" s="368">
        <v>27</v>
      </c>
      <c r="I209" s="368">
        <v>7</v>
      </c>
      <c r="J209" s="368">
        <v>34</v>
      </c>
      <c r="K209" s="367">
        <v>29</v>
      </c>
      <c r="L209" s="367">
        <v>8</v>
      </c>
      <c r="M209" s="367">
        <v>37</v>
      </c>
    </row>
    <row r="210" spans="2:13" x14ac:dyDescent="0.25">
      <c r="B210" s="368" t="s">
        <v>493</v>
      </c>
      <c r="C210" s="368" t="s">
        <v>82</v>
      </c>
      <c r="F210" s="368" t="s">
        <v>474</v>
      </c>
      <c r="G210" s="368" t="s">
        <v>475</v>
      </c>
      <c r="H210" s="368">
        <v>32</v>
      </c>
      <c r="I210" s="368">
        <v>4</v>
      </c>
      <c r="J210" s="368">
        <v>36</v>
      </c>
      <c r="K210" s="367">
        <v>31</v>
      </c>
      <c r="L210" s="367">
        <v>5</v>
      </c>
      <c r="M210" s="367">
        <v>36</v>
      </c>
    </row>
    <row r="211" spans="2:13" x14ac:dyDescent="0.25">
      <c r="B211" s="368" t="s">
        <v>495</v>
      </c>
      <c r="C211" s="368" t="s">
        <v>83</v>
      </c>
      <c r="F211" s="368" t="s">
        <v>476</v>
      </c>
      <c r="G211" s="368" t="s">
        <v>477</v>
      </c>
      <c r="H211" s="368">
        <v>17</v>
      </c>
      <c r="I211" s="368">
        <v>5</v>
      </c>
      <c r="J211" s="368">
        <v>22</v>
      </c>
      <c r="K211" s="367">
        <v>19</v>
      </c>
      <c r="L211" s="367">
        <v>6</v>
      </c>
      <c r="M211" s="367">
        <v>25</v>
      </c>
    </row>
    <row r="212" spans="2:13" x14ac:dyDescent="0.25">
      <c r="B212" s="368" t="s">
        <v>497</v>
      </c>
      <c r="C212" s="368" t="s">
        <v>788</v>
      </c>
      <c r="F212" s="368" t="s">
        <v>478</v>
      </c>
      <c r="G212" s="368" t="s">
        <v>479</v>
      </c>
      <c r="H212" s="368">
        <v>19</v>
      </c>
      <c r="I212" s="368">
        <v>6</v>
      </c>
      <c r="J212" s="368">
        <v>25</v>
      </c>
      <c r="K212" s="367">
        <v>18</v>
      </c>
      <c r="L212" s="367">
        <v>5</v>
      </c>
      <c r="M212" s="367">
        <v>23</v>
      </c>
    </row>
    <row r="213" spans="2:13" x14ac:dyDescent="0.25">
      <c r="B213" s="368" t="s">
        <v>499</v>
      </c>
      <c r="C213" s="368" t="s">
        <v>85</v>
      </c>
      <c r="F213" s="368" t="s">
        <v>480</v>
      </c>
      <c r="G213" s="368" t="s">
        <v>481</v>
      </c>
      <c r="H213" s="368">
        <v>29</v>
      </c>
      <c r="I213" s="368">
        <v>7</v>
      </c>
      <c r="J213" s="368">
        <v>36</v>
      </c>
      <c r="K213" s="367">
        <v>29</v>
      </c>
      <c r="L213" s="367">
        <v>6</v>
      </c>
      <c r="M213" s="367">
        <v>35</v>
      </c>
    </row>
    <row r="214" spans="2:13" x14ac:dyDescent="0.25">
      <c r="B214" s="368" t="s">
        <v>501</v>
      </c>
      <c r="C214" s="368" t="s">
        <v>83</v>
      </c>
      <c r="F214" s="368" t="s">
        <v>482</v>
      </c>
      <c r="G214" s="368" t="s">
        <v>483</v>
      </c>
      <c r="H214" s="368">
        <v>18</v>
      </c>
      <c r="I214" s="368">
        <v>4</v>
      </c>
      <c r="J214" s="368">
        <v>22</v>
      </c>
      <c r="K214" s="367">
        <v>19</v>
      </c>
      <c r="L214" s="367">
        <v>4</v>
      </c>
      <c r="M214" s="367">
        <v>23</v>
      </c>
    </row>
    <row r="215" spans="2:13" x14ac:dyDescent="0.25">
      <c r="B215" s="368" t="s">
        <v>503</v>
      </c>
      <c r="C215" s="368" t="s">
        <v>78</v>
      </c>
      <c r="F215" s="368" t="s">
        <v>484</v>
      </c>
      <c r="G215" s="368" t="s">
        <v>485</v>
      </c>
      <c r="H215" s="368">
        <v>26</v>
      </c>
      <c r="I215" s="368">
        <v>9</v>
      </c>
      <c r="J215" s="368">
        <v>35</v>
      </c>
      <c r="K215" s="367">
        <v>24</v>
      </c>
      <c r="L215" s="367">
        <v>7</v>
      </c>
      <c r="M215" s="367">
        <v>31</v>
      </c>
    </row>
    <row r="216" spans="2:13" x14ac:dyDescent="0.25">
      <c r="B216" s="368" t="s">
        <v>505</v>
      </c>
      <c r="C216" s="368" t="s">
        <v>83</v>
      </c>
      <c r="F216" s="368" t="s">
        <v>486</v>
      </c>
      <c r="G216" s="368" t="s">
        <v>487</v>
      </c>
      <c r="H216" s="368">
        <v>12</v>
      </c>
      <c r="I216" s="368">
        <v>2</v>
      </c>
      <c r="J216" s="368">
        <v>14</v>
      </c>
      <c r="K216" s="367">
        <v>12</v>
      </c>
      <c r="L216" s="367">
        <v>1</v>
      </c>
      <c r="M216" s="367">
        <v>13</v>
      </c>
    </row>
    <row r="217" spans="2:13" x14ac:dyDescent="0.25">
      <c r="B217" s="368" t="s">
        <v>507</v>
      </c>
      <c r="C217" s="368" t="s">
        <v>78</v>
      </c>
      <c r="F217" s="368" t="s">
        <v>488</v>
      </c>
      <c r="G217" s="368" t="s">
        <v>489</v>
      </c>
      <c r="H217" s="368">
        <v>18</v>
      </c>
      <c r="I217" s="368">
        <v>6</v>
      </c>
      <c r="J217" s="368">
        <v>24</v>
      </c>
      <c r="K217" s="367">
        <v>22</v>
      </c>
      <c r="L217" s="367">
        <v>13</v>
      </c>
      <c r="M217" s="367">
        <v>35</v>
      </c>
    </row>
    <row r="218" spans="2:13" x14ac:dyDescent="0.25">
      <c r="B218" s="368" t="s">
        <v>509</v>
      </c>
      <c r="C218" s="368" t="s">
        <v>788</v>
      </c>
      <c r="F218" s="368" t="s">
        <v>490</v>
      </c>
      <c r="G218" s="368" t="s">
        <v>491</v>
      </c>
      <c r="H218" s="368">
        <v>17</v>
      </c>
      <c r="I218" s="368">
        <v>1</v>
      </c>
      <c r="J218" s="368">
        <v>18</v>
      </c>
      <c r="K218" s="367">
        <v>16</v>
      </c>
      <c r="L218" s="367">
        <v>1</v>
      </c>
      <c r="M218" s="367">
        <v>17</v>
      </c>
    </row>
    <row r="219" spans="2:13" x14ac:dyDescent="0.25">
      <c r="B219" s="368" t="s">
        <v>511</v>
      </c>
      <c r="C219" s="368" t="s">
        <v>82</v>
      </c>
      <c r="F219" s="368" t="s">
        <v>492</v>
      </c>
      <c r="G219" s="368" t="s">
        <v>493</v>
      </c>
      <c r="H219" s="368">
        <v>15</v>
      </c>
      <c r="I219" s="368">
        <v>4</v>
      </c>
      <c r="J219" s="368">
        <v>19</v>
      </c>
      <c r="K219" s="367">
        <v>14</v>
      </c>
      <c r="L219" s="367">
        <v>8</v>
      </c>
      <c r="M219" s="367">
        <v>22</v>
      </c>
    </row>
    <row r="220" spans="2:13" x14ac:dyDescent="0.25">
      <c r="B220" s="368" t="s">
        <v>513</v>
      </c>
      <c r="C220" s="368" t="s">
        <v>85</v>
      </c>
      <c r="F220" s="368" t="s">
        <v>494</v>
      </c>
      <c r="G220" s="368" t="s">
        <v>495</v>
      </c>
      <c r="H220" s="368">
        <v>15</v>
      </c>
      <c r="I220" s="368">
        <v>5</v>
      </c>
      <c r="J220" s="368">
        <v>20</v>
      </c>
      <c r="K220" s="367">
        <v>17</v>
      </c>
      <c r="L220" s="367">
        <v>4</v>
      </c>
      <c r="M220" s="367">
        <v>21</v>
      </c>
    </row>
    <row r="221" spans="2:13" x14ac:dyDescent="0.25">
      <c r="B221" s="368" t="s">
        <v>515</v>
      </c>
      <c r="C221" s="368" t="s">
        <v>788</v>
      </c>
      <c r="F221" s="368" t="s">
        <v>496</v>
      </c>
      <c r="G221" s="368" t="s">
        <v>497</v>
      </c>
      <c r="H221" s="368">
        <v>23</v>
      </c>
      <c r="I221" s="368">
        <v>5</v>
      </c>
      <c r="J221" s="368">
        <v>28</v>
      </c>
      <c r="K221" s="367">
        <v>24</v>
      </c>
      <c r="L221" s="367">
        <v>6</v>
      </c>
      <c r="M221" s="367">
        <v>30</v>
      </c>
    </row>
    <row r="222" spans="2:13" x14ac:dyDescent="0.25">
      <c r="B222" s="368" t="s">
        <v>517</v>
      </c>
      <c r="C222" s="368" t="s">
        <v>84</v>
      </c>
      <c r="F222" s="368" t="s">
        <v>498</v>
      </c>
      <c r="G222" s="368" t="s">
        <v>499</v>
      </c>
      <c r="H222" s="368">
        <v>20</v>
      </c>
      <c r="I222" s="368">
        <v>4</v>
      </c>
      <c r="J222" s="368">
        <v>24</v>
      </c>
      <c r="K222" s="367">
        <v>24</v>
      </c>
      <c r="L222" s="367">
        <v>7</v>
      </c>
      <c r="M222" s="367">
        <v>31</v>
      </c>
    </row>
    <row r="223" spans="2:13" x14ac:dyDescent="0.25">
      <c r="B223" s="368" t="s">
        <v>519</v>
      </c>
      <c r="C223" s="368" t="s">
        <v>82</v>
      </c>
      <c r="F223" s="368" t="s">
        <v>500</v>
      </c>
      <c r="G223" s="368" t="s">
        <v>501</v>
      </c>
      <c r="H223" s="368">
        <v>17</v>
      </c>
      <c r="I223" s="368">
        <v>4</v>
      </c>
      <c r="J223" s="368">
        <v>21</v>
      </c>
      <c r="K223" s="367">
        <v>20</v>
      </c>
      <c r="L223" s="367">
        <v>5</v>
      </c>
      <c r="M223" s="367">
        <v>25</v>
      </c>
    </row>
    <row r="224" spans="2:13" x14ac:dyDescent="0.25">
      <c r="B224" s="368" t="s">
        <v>521</v>
      </c>
      <c r="C224" s="368" t="s">
        <v>788</v>
      </c>
      <c r="F224" s="368" t="s">
        <v>502</v>
      </c>
      <c r="G224" s="368" t="s">
        <v>503</v>
      </c>
      <c r="H224" s="368">
        <v>17</v>
      </c>
      <c r="I224" s="368">
        <v>2</v>
      </c>
      <c r="J224" s="368">
        <v>19</v>
      </c>
      <c r="K224" s="367">
        <v>26</v>
      </c>
      <c r="L224" s="367">
        <v>5</v>
      </c>
      <c r="M224" s="367">
        <v>31</v>
      </c>
    </row>
    <row r="225" spans="2:13" x14ac:dyDescent="0.25">
      <c r="B225" s="368" t="s">
        <v>523</v>
      </c>
      <c r="C225" s="368" t="s">
        <v>83</v>
      </c>
      <c r="F225" s="368" t="s">
        <v>504</v>
      </c>
      <c r="G225" s="368" t="s">
        <v>505</v>
      </c>
      <c r="H225" s="368">
        <v>24</v>
      </c>
      <c r="I225" s="368">
        <v>1</v>
      </c>
      <c r="J225" s="368">
        <v>25</v>
      </c>
      <c r="K225" s="367">
        <v>24</v>
      </c>
      <c r="L225" s="367">
        <v>7</v>
      </c>
      <c r="M225" s="367">
        <v>31</v>
      </c>
    </row>
    <row r="226" spans="2:13" x14ac:dyDescent="0.25">
      <c r="B226" s="368" t="s">
        <v>525</v>
      </c>
      <c r="C226" s="368" t="s">
        <v>788</v>
      </c>
      <c r="F226" s="368" t="s">
        <v>506</v>
      </c>
      <c r="G226" s="368" t="s">
        <v>507</v>
      </c>
      <c r="H226" s="368">
        <v>12</v>
      </c>
      <c r="I226" s="368">
        <v>2</v>
      </c>
      <c r="J226" s="368">
        <v>14</v>
      </c>
      <c r="K226" s="367">
        <v>12</v>
      </c>
      <c r="L226" s="367">
        <v>2</v>
      </c>
      <c r="M226" s="367">
        <v>14</v>
      </c>
    </row>
    <row r="227" spans="2:13" x14ac:dyDescent="0.25">
      <c r="B227" s="368" t="s">
        <v>527</v>
      </c>
      <c r="C227" s="368" t="s">
        <v>85</v>
      </c>
      <c r="F227" s="368" t="s">
        <v>508</v>
      </c>
      <c r="G227" s="368" t="s">
        <v>509</v>
      </c>
      <c r="H227" s="368">
        <v>11</v>
      </c>
      <c r="I227" s="368">
        <v>4</v>
      </c>
      <c r="J227" s="368">
        <v>15</v>
      </c>
      <c r="K227" s="367">
        <v>15</v>
      </c>
      <c r="L227" s="367">
        <v>2</v>
      </c>
      <c r="M227" s="367">
        <v>17</v>
      </c>
    </row>
    <row r="228" spans="2:13" x14ac:dyDescent="0.25">
      <c r="B228" s="368" t="s">
        <v>529</v>
      </c>
      <c r="C228" s="368" t="s">
        <v>83</v>
      </c>
      <c r="F228" s="368" t="s">
        <v>510</v>
      </c>
      <c r="G228" s="368" t="s">
        <v>511</v>
      </c>
      <c r="H228" s="368">
        <v>26</v>
      </c>
      <c r="I228" s="368">
        <v>8</v>
      </c>
      <c r="J228" s="368">
        <v>34</v>
      </c>
      <c r="K228" s="367">
        <v>25</v>
      </c>
      <c r="L228" s="367">
        <v>12</v>
      </c>
      <c r="M228" s="367">
        <v>37</v>
      </c>
    </row>
    <row r="229" spans="2:13" x14ac:dyDescent="0.25">
      <c r="B229" s="368" t="s">
        <v>531</v>
      </c>
      <c r="C229" s="368" t="s">
        <v>85</v>
      </c>
      <c r="F229" s="368" t="s">
        <v>512</v>
      </c>
      <c r="G229" s="368" t="s">
        <v>513</v>
      </c>
      <c r="H229" s="368">
        <v>24</v>
      </c>
      <c r="I229" s="368">
        <v>6</v>
      </c>
      <c r="J229" s="368">
        <v>30</v>
      </c>
      <c r="K229" s="367">
        <v>24</v>
      </c>
      <c r="L229" s="367">
        <v>8</v>
      </c>
      <c r="M229" s="367">
        <v>32</v>
      </c>
    </row>
    <row r="230" spans="2:13" x14ac:dyDescent="0.25">
      <c r="B230" s="368" t="s">
        <v>533</v>
      </c>
      <c r="C230" s="368" t="s">
        <v>84</v>
      </c>
      <c r="F230" s="368" t="s">
        <v>514</v>
      </c>
      <c r="G230" s="368" t="s">
        <v>515</v>
      </c>
      <c r="H230" s="368">
        <v>21</v>
      </c>
      <c r="I230" s="368">
        <v>4</v>
      </c>
      <c r="J230" s="368">
        <v>25</v>
      </c>
      <c r="K230" s="367">
        <v>23</v>
      </c>
      <c r="L230" s="367">
        <v>5</v>
      </c>
      <c r="M230" s="367">
        <v>28</v>
      </c>
    </row>
    <row r="231" spans="2:13" x14ac:dyDescent="0.25">
      <c r="B231" s="368" t="s">
        <v>535</v>
      </c>
      <c r="C231" s="368" t="s">
        <v>79</v>
      </c>
      <c r="F231" s="368" t="s">
        <v>516</v>
      </c>
      <c r="G231" s="368" t="s">
        <v>517</v>
      </c>
      <c r="H231" s="368">
        <v>16</v>
      </c>
      <c r="I231" s="368">
        <v>9</v>
      </c>
      <c r="J231" s="368">
        <v>25</v>
      </c>
      <c r="K231" s="367">
        <v>22</v>
      </c>
      <c r="L231" s="367">
        <v>9</v>
      </c>
      <c r="M231" s="367">
        <v>31</v>
      </c>
    </row>
    <row r="232" spans="2:13" x14ac:dyDescent="0.25">
      <c r="B232" s="368" t="s">
        <v>537</v>
      </c>
      <c r="C232" s="368" t="s">
        <v>78</v>
      </c>
      <c r="F232" s="368" t="s">
        <v>518</v>
      </c>
      <c r="G232" s="368" t="s">
        <v>519</v>
      </c>
      <c r="H232" s="368">
        <v>23</v>
      </c>
      <c r="I232" s="368">
        <v>9</v>
      </c>
      <c r="J232" s="368">
        <v>32</v>
      </c>
      <c r="K232" s="367">
        <v>21</v>
      </c>
      <c r="L232" s="367">
        <v>11</v>
      </c>
      <c r="M232" s="367">
        <v>32</v>
      </c>
    </row>
    <row r="233" spans="2:13" x14ac:dyDescent="0.25">
      <c r="B233" s="368" t="s">
        <v>539</v>
      </c>
      <c r="C233" s="368" t="s">
        <v>84</v>
      </c>
      <c r="F233" s="368" t="s">
        <v>520</v>
      </c>
      <c r="G233" s="368" t="s">
        <v>521</v>
      </c>
      <c r="H233" s="368">
        <v>18</v>
      </c>
      <c r="I233" s="368">
        <v>1</v>
      </c>
      <c r="J233" s="368">
        <v>19</v>
      </c>
      <c r="K233" s="367">
        <v>23</v>
      </c>
      <c r="L233" s="367">
        <v>1</v>
      </c>
      <c r="M233" s="367">
        <v>24</v>
      </c>
    </row>
    <row r="234" spans="2:13" x14ac:dyDescent="0.25">
      <c r="B234" s="368" t="s">
        <v>541</v>
      </c>
      <c r="C234" s="368" t="s">
        <v>84</v>
      </c>
      <c r="F234" s="368" t="s">
        <v>522</v>
      </c>
      <c r="G234" s="368" t="s">
        <v>523</v>
      </c>
      <c r="H234" s="368">
        <v>14</v>
      </c>
      <c r="I234" s="368">
        <v>7</v>
      </c>
      <c r="J234" s="368">
        <v>21</v>
      </c>
      <c r="K234" s="367">
        <v>18</v>
      </c>
      <c r="L234" s="367">
        <v>6</v>
      </c>
      <c r="M234" s="367">
        <v>24</v>
      </c>
    </row>
    <row r="235" spans="2:13" x14ac:dyDescent="0.25">
      <c r="B235" s="368" t="s">
        <v>543</v>
      </c>
      <c r="C235" s="368" t="s">
        <v>78</v>
      </c>
      <c r="F235" s="368" t="s">
        <v>524</v>
      </c>
      <c r="G235" s="368" t="s">
        <v>525</v>
      </c>
      <c r="H235" s="368">
        <v>30</v>
      </c>
      <c r="I235" s="368">
        <v>14</v>
      </c>
      <c r="J235" s="368">
        <v>44</v>
      </c>
      <c r="K235" s="367">
        <v>29</v>
      </c>
      <c r="L235" s="367">
        <v>15</v>
      </c>
      <c r="M235" s="367">
        <v>44</v>
      </c>
    </row>
    <row r="236" spans="2:13" x14ac:dyDescent="0.25">
      <c r="B236" s="368" t="s">
        <v>545</v>
      </c>
      <c r="C236" s="368" t="s">
        <v>78</v>
      </c>
      <c r="F236" s="368" t="s">
        <v>526</v>
      </c>
      <c r="G236" s="368" t="s">
        <v>527</v>
      </c>
      <c r="H236" s="368">
        <v>25</v>
      </c>
      <c r="I236" s="368">
        <v>10</v>
      </c>
      <c r="J236" s="368">
        <v>35</v>
      </c>
      <c r="K236" s="367">
        <v>25</v>
      </c>
      <c r="L236" s="367">
        <v>10</v>
      </c>
      <c r="M236" s="367">
        <v>35</v>
      </c>
    </row>
    <row r="237" spans="2:13" x14ac:dyDescent="0.25">
      <c r="B237" s="368" t="s">
        <v>547</v>
      </c>
      <c r="C237" s="368" t="s">
        <v>82</v>
      </c>
      <c r="F237" s="368" t="s">
        <v>528</v>
      </c>
      <c r="G237" s="368" t="s">
        <v>529</v>
      </c>
      <c r="H237" s="368">
        <v>28</v>
      </c>
      <c r="I237" s="368">
        <v>8</v>
      </c>
      <c r="J237" s="368">
        <v>36</v>
      </c>
      <c r="K237" s="367">
        <v>27</v>
      </c>
      <c r="L237" s="367">
        <v>7</v>
      </c>
      <c r="M237" s="367">
        <v>34</v>
      </c>
    </row>
    <row r="238" spans="2:13" x14ac:dyDescent="0.25">
      <c r="B238" s="368" t="s">
        <v>549</v>
      </c>
      <c r="C238" s="368" t="s">
        <v>79</v>
      </c>
      <c r="F238" s="368" t="s">
        <v>530</v>
      </c>
      <c r="G238" s="368" t="s">
        <v>531</v>
      </c>
      <c r="H238" s="368">
        <v>23</v>
      </c>
      <c r="I238" s="368">
        <v>7</v>
      </c>
      <c r="J238" s="368">
        <v>30</v>
      </c>
      <c r="K238" s="367">
        <v>22</v>
      </c>
      <c r="L238" s="367">
        <v>10</v>
      </c>
      <c r="M238" s="367">
        <v>32</v>
      </c>
    </row>
    <row r="239" spans="2:13" x14ac:dyDescent="0.25">
      <c r="B239" s="368" t="s">
        <v>551</v>
      </c>
      <c r="C239" s="368" t="s">
        <v>83</v>
      </c>
      <c r="F239" s="368" t="s">
        <v>532</v>
      </c>
      <c r="G239" s="368" t="s">
        <v>533</v>
      </c>
      <c r="H239" s="368">
        <v>0</v>
      </c>
      <c r="I239" s="368">
        <v>0</v>
      </c>
      <c r="J239" s="368">
        <v>0</v>
      </c>
      <c r="K239" s="367">
        <v>28</v>
      </c>
      <c r="L239" s="367">
        <v>13</v>
      </c>
      <c r="M239" s="367">
        <v>41</v>
      </c>
    </row>
    <row r="240" spans="2:13" x14ac:dyDescent="0.25">
      <c r="B240" s="368" t="s">
        <v>553</v>
      </c>
      <c r="C240" s="368" t="s">
        <v>82</v>
      </c>
      <c r="F240" s="368" t="s">
        <v>534</v>
      </c>
      <c r="G240" s="368" t="s">
        <v>535</v>
      </c>
      <c r="H240" s="368">
        <v>27</v>
      </c>
      <c r="I240" s="368">
        <v>3</v>
      </c>
      <c r="J240" s="368">
        <v>30</v>
      </c>
      <c r="K240" s="367">
        <v>31</v>
      </c>
      <c r="L240" s="367">
        <v>2</v>
      </c>
      <c r="M240" s="367">
        <v>33</v>
      </c>
    </row>
    <row r="241" spans="2:13" x14ac:dyDescent="0.25">
      <c r="B241" s="368" t="s">
        <v>555</v>
      </c>
      <c r="C241" s="368" t="s">
        <v>84</v>
      </c>
      <c r="F241" s="368" t="s">
        <v>536</v>
      </c>
      <c r="G241" s="368" t="s">
        <v>537</v>
      </c>
      <c r="H241" s="368">
        <v>12</v>
      </c>
      <c r="I241" s="368">
        <v>4</v>
      </c>
      <c r="J241" s="368">
        <v>16</v>
      </c>
      <c r="K241" s="367">
        <v>21</v>
      </c>
      <c r="L241" s="367">
        <v>4</v>
      </c>
      <c r="M241" s="367">
        <v>25</v>
      </c>
    </row>
    <row r="242" spans="2:13" x14ac:dyDescent="0.25">
      <c r="B242" s="368" t="s">
        <v>557</v>
      </c>
      <c r="C242" s="368" t="s">
        <v>85</v>
      </c>
      <c r="F242" s="368" t="s">
        <v>538</v>
      </c>
      <c r="G242" s="368" t="s">
        <v>539</v>
      </c>
      <c r="H242" s="368">
        <v>23</v>
      </c>
      <c r="I242" s="368">
        <v>15</v>
      </c>
      <c r="J242" s="368">
        <v>38</v>
      </c>
      <c r="K242" s="367">
        <v>25</v>
      </c>
      <c r="L242" s="367">
        <v>12</v>
      </c>
      <c r="M242" s="367">
        <v>37</v>
      </c>
    </row>
    <row r="243" spans="2:13" x14ac:dyDescent="0.25">
      <c r="B243" s="368" t="s">
        <v>559</v>
      </c>
      <c r="C243" s="368" t="s">
        <v>81</v>
      </c>
      <c r="F243" s="368" t="s">
        <v>540</v>
      </c>
      <c r="G243" s="368" t="s">
        <v>541</v>
      </c>
      <c r="H243" s="368">
        <v>13</v>
      </c>
      <c r="I243" s="368">
        <v>6</v>
      </c>
      <c r="J243" s="368">
        <v>19</v>
      </c>
      <c r="K243" s="367">
        <v>22</v>
      </c>
      <c r="L243" s="367">
        <v>4</v>
      </c>
      <c r="M243" s="367">
        <v>26</v>
      </c>
    </row>
    <row r="244" spans="2:13" x14ac:dyDescent="0.25">
      <c r="B244" s="368" t="s">
        <v>561</v>
      </c>
      <c r="C244" s="368" t="s">
        <v>83</v>
      </c>
      <c r="F244" s="368" t="s">
        <v>542</v>
      </c>
      <c r="G244" s="368" t="s">
        <v>543</v>
      </c>
      <c r="H244" s="368">
        <v>15</v>
      </c>
      <c r="I244" s="368">
        <v>3</v>
      </c>
      <c r="J244" s="368">
        <v>18</v>
      </c>
      <c r="K244" s="367">
        <v>18</v>
      </c>
      <c r="L244" s="367">
        <v>4</v>
      </c>
      <c r="M244" s="367">
        <v>22</v>
      </c>
    </row>
    <row r="245" spans="2:13" x14ac:dyDescent="0.25">
      <c r="B245" s="368" t="s">
        <v>563</v>
      </c>
      <c r="C245" s="368" t="s">
        <v>79</v>
      </c>
      <c r="F245" s="368" t="s">
        <v>544</v>
      </c>
      <c r="G245" s="368" t="s">
        <v>545</v>
      </c>
      <c r="H245" s="368">
        <v>29</v>
      </c>
      <c r="I245" s="368">
        <v>5</v>
      </c>
      <c r="J245" s="368">
        <v>34</v>
      </c>
      <c r="K245" s="367">
        <v>24</v>
      </c>
      <c r="L245" s="367">
        <v>5</v>
      </c>
      <c r="M245" s="367">
        <v>29</v>
      </c>
    </row>
    <row r="246" spans="2:13" x14ac:dyDescent="0.25">
      <c r="B246" s="368" t="s">
        <v>565</v>
      </c>
      <c r="C246" s="368" t="s">
        <v>80</v>
      </c>
      <c r="F246" s="368" t="s">
        <v>546</v>
      </c>
      <c r="G246" s="368" t="s">
        <v>547</v>
      </c>
      <c r="H246" s="368">
        <v>9</v>
      </c>
      <c r="I246" s="368">
        <v>5</v>
      </c>
      <c r="J246" s="368">
        <v>14</v>
      </c>
      <c r="K246" s="367">
        <v>12</v>
      </c>
      <c r="L246" s="367">
        <v>6</v>
      </c>
      <c r="M246" s="367">
        <v>18</v>
      </c>
    </row>
    <row r="247" spans="2:13" x14ac:dyDescent="0.25">
      <c r="B247" s="368" t="s">
        <v>567</v>
      </c>
      <c r="C247" s="368" t="s">
        <v>83</v>
      </c>
      <c r="F247" s="368" t="s">
        <v>548</v>
      </c>
      <c r="G247" s="368" t="s">
        <v>549</v>
      </c>
      <c r="H247" s="368">
        <v>19</v>
      </c>
      <c r="I247" s="368">
        <v>1</v>
      </c>
      <c r="J247" s="368">
        <v>20</v>
      </c>
      <c r="K247" s="367">
        <v>21</v>
      </c>
      <c r="L247" s="367">
        <v>2</v>
      </c>
      <c r="M247" s="367">
        <v>23</v>
      </c>
    </row>
    <row r="248" spans="2:13" x14ac:dyDescent="0.25">
      <c r="B248" s="368" t="s">
        <v>569</v>
      </c>
      <c r="C248" s="368" t="s">
        <v>79</v>
      </c>
      <c r="F248" s="368" t="s">
        <v>550</v>
      </c>
      <c r="G248" s="368" t="s">
        <v>551</v>
      </c>
      <c r="H248" s="368">
        <v>20</v>
      </c>
      <c r="I248" s="368">
        <v>8</v>
      </c>
      <c r="J248" s="368">
        <v>28</v>
      </c>
      <c r="K248" s="367">
        <v>33</v>
      </c>
      <c r="L248" s="367">
        <v>9</v>
      </c>
      <c r="M248" s="367">
        <v>42</v>
      </c>
    </row>
    <row r="249" spans="2:13" x14ac:dyDescent="0.25">
      <c r="B249" s="368" t="s">
        <v>571</v>
      </c>
      <c r="C249" s="368" t="s">
        <v>82</v>
      </c>
      <c r="F249" s="368" t="s">
        <v>552</v>
      </c>
      <c r="G249" s="368" t="s">
        <v>553</v>
      </c>
      <c r="H249" s="368">
        <v>14</v>
      </c>
      <c r="I249" s="368">
        <v>3</v>
      </c>
      <c r="J249" s="368">
        <v>17</v>
      </c>
      <c r="K249" s="367">
        <v>18</v>
      </c>
      <c r="L249" s="367">
        <v>9</v>
      </c>
      <c r="M249" s="367">
        <v>27</v>
      </c>
    </row>
    <row r="250" spans="2:13" x14ac:dyDescent="0.25">
      <c r="B250" s="368" t="s">
        <v>573</v>
      </c>
      <c r="C250" s="368" t="s">
        <v>85</v>
      </c>
      <c r="F250" s="368" t="s">
        <v>554</v>
      </c>
      <c r="G250" s="368" t="s">
        <v>555</v>
      </c>
      <c r="H250" s="368">
        <v>21</v>
      </c>
      <c r="I250" s="368">
        <v>4</v>
      </c>
      <c r="J250" s="368">
        <v>25</v>
      </c>
      <c r="K250" s="367">
        <v>27</v>
      </c>
      <c r="L250" s="367">
        <v>10</v>
      </c>
      <c r="M250" s="367">
        <v>37</v>
      </c>
    </row>
    <row r="251" spans="2:13" x14ac:dyDescent="0.25">
      <c r="B251" s="368" t="s">
        <v>575</v>
      </c>
      <c r="C251" s="368" t="s">
        <v>85</v>
      </c>
      <c r="F251" s="368" t="s">
        <v>556</v>
      </c>
      <c r="G251" s="368" t="s">
        <v>557</v>
      </c>
      <c r="H251" s="368">
        <v>12</v>
      </c>
      <c r="I251" s="368">
        <v>1</v>
      </c>
      <c r="J251" s="368">
        <v>13</v>
      </c>
      <c r="K251" s="367">
        <v>14</v>
      </c>
      <c r="L251" s="367">
        <v>3</v>
      </c>
      <c r="M251" s="367">
        <v>17</v>
      </c>
    </row>
    <row r="252" spans="2:13" x14ac:dyDescent="0.25">
      <c r="B252" s="368" t="s">
        <v>577</v>
      </c>
      <c r="C252" s="368" t="s">
        <v>79</v>
      </c>
      <c r="F252" s="368" t="s">
        <v>558</v>
      </c>
      <c r="G252" s="368" t="s">
        <v>559</v>
      </c>
      <c r="H252" s="368">
        <v>17</v>
      </c>
      <c r="I252" s="368">
        <v>7</v>
      </c>
      <c r="J252" s="368">
        <v>24</v>
      </c>
      <c r="K252" s="367">
        <v>17</v>
      </c>
      <c r="L252" s="367">
        <v>8</v>
      </c>
      <c r="M252" s="367">
        <v>25</v>
      </c>
    </row>
    <row r="253" spans="2:13" x14ac:dyDescent="0.25">
      <c r="B253" s="368" t="s">
        <v>579</v>
      </c>
      <c r="C253" s="368" t="s">
        <v>82</v>
      </c>
      <c r="F253" s="368" t="s">
        <v>560</v>
      </c>
      <c r="G253" s="368" t="s">
        <v>561</v>
      </c>
      <c r="H253" s="368">
        <v>29</v>
      </c>
      <c r="I253" s="368">
        <v>9</v>
      </c>
      <c r="J253" s="368">
        <v>38</v>
      </c>
      <c r="K253" s="367">
        <v>31</v>
      </c>
      <c r="L253" s="367">
        <v>8</v>
      </c>
      <c r="M253" s="367">
        <v>39</v>
      </c>
    </row>
    <row r="254" spans="2:13" x14ac:dyDescent="0.25">
      <c r="B254" s="368" t="s">
        <v>581</v>
      </c>
      <c r="C254" s="368" t="s">
        <v>81</v>
      </c>
      <c r="F254" s="368" t="s">
        <v>562</v>
      </c>
      <c r="G254" s="368" t="s">
        <v>563</v>
      </c>
      <c r="H254" s="368">
        <v>26</v>
      </c>
      <c r="I254" s="368">
        <v>6</v>
      </c>
      <c r="J254" s="368">
        <v>32</v>
      </c>
      <c r="K254" s="367">
        <v>27</v>
      </c>
      <c r="L254" s="367">
        <v>9</v>
      </c>
      <c r="M254" s="367">
        <v>36</v>
      </c>
    </row>
    <row r="255" spans="2:13" x14ac:dyDescent="0.25">
      <c r="B255" s="368" t="s">
        <v>583</v>
      </c>
      <c r="C255" s="368" t="s">
        <v>85</v>
      </c>
      <c r="F255" s="368" t="s">
        <v>564</v>
      </c>
      <c r="G255" s="368" t="s">
        <v>565</v>
      </c>
      <c r="H255" s="368">
        <v>33</v>
      </c>
      <c r="I255" s="368">
        <v>30</v>
      </c>
      <c r="J255" s="368">
        <v>63</v>
      </c>
      <c r="K255" s="367">
        <v>30</v>
      </c>
      <c r="L255" s="367">
        <v>32</v>
      </c>
      <c r="M255" s="367">
        <v>62</v>
      </c>
    </row>
    <row r="256" spans="2:13" x14ac:dyDescent="0.25">
      <c r="B256" s="368" t="s">
        <v>585</v>
      </c>
      <c r="C256" s="368" t="s">
        <v>85</v>
      </c>
      <c r="F256" s="368" t="s">
        <v>566</v>
      </c>
      <c r="G256" s="368" t="s">
        <v>567</v>
      </c>
      <c r="H256" s="368">
        <v>14</v>
      </c>
      <c r="I256" s="368">
        <v>7</v>
      </c>
      <c r="J256" s="368">
        <v>21</v>
      </c>
      <c r="K256" s="367">
        <v>14</v>
      </c>
      <c r="L256" s="367">
        <v>3</v>
      </c>
      <c r="M256" s="367">
        <v>17</v>
      </c>
    </row>
    <row r="257" spans="2:13" x14ac:dyDescent="0.25">
      <c r="B257" s="368" t="s">
        <v>587</v>
      </c>
      <c r="C257" s="368" t="s">
        <v>84</v>
      </c>
      <c r="F257" s="368" t="s">
        <v>568</v>
      </c>
      <c r="G257" s="368" t="s">
        <v>569</v>
      </c>
      <c r="H257" s="368">
        <v>18</v>
      </c>
      <c r="I257" s="368">
        <v>5</v>
      </c>
      <c r="J257" s="368">
        <v>23</v>
      </c>
      <c r="K257" s="367">
        <v>22</v>
      </c>
      <c r="L257" s="367">
        <v>5</v>
      </c>
      <c r="M257" s="367">
        <v>27</v>
      </c>
    </row>
    <row r="258" spans="2:13" x14ac:dyDescent="0.25">
      <c r="B258" s="368" t="s">
        <v>589</v>
      </c>
      <c r="C258" s="368" t="s">
        <v>81</v>
      </c>
      <c r="F258" s="368" t="s">
        <v>570</v>
      </c>
      <c r="G258" s="368" t="s">
        <v>571</v>
      </c>
      <c r="H258" s="368">
        <v>21</v>
      </c>
      <c r="I258" s="368">
        <v>6</v>
      </c>
      <c r="J258" s="368">
        <v>27</v>
      </c>
      <c r="K258" s="367">
        <v>27</v>
      </c>
      <c r="L258" s="367">
        <v>4</v>
      </c>
      <c r="M258" s="367">
        <v>31</v>
      </c>
    </row>
    <row r="259" spans="2:13" x14ac:dyDescent="0.25">
      <c r="B259" s="368" t="s">
        <v>591</v>
      </c>
      <c r="C259" s="368" t="s">
        <v>83</v>
      </c>
      <c r="F259" s="368" t="s">
        <v>572</v>
      </c>
      <c r="G259" s="368" t="s">
        <v>573</v>
      </c>
      <c r="H259" s="368">
        <v>19</v>
      </c>
      <c r="I259" s="368">
        <v>3</v>
      </c>
      <c r="J259" s="368">
        <v>22</v>
      </c>
      <c r="K259" s="367">
        <v>19</v>
      </c>
      <c r="L259" s="367">
        <v>2</v>
      </c>
      <c r="M259" s="367">
        <v>21</v>
      </c>
    </row>
    <row r="260" spans="2:13" x14ac:dyDescent="0.25">
      <c r="B260" s="368" t="s">
        <v>593</v>
      </c>
      <c r="C260" s="368" t="s">
        <v>80</v>
      </c>
      <c r="F260" s="368" t="s">
        <v>574</v>
      </c>
      <c r="G260" s="368" t="s">
        <v>575</v>
      </c>
      <c r="H260" s="368">
        <v>10</v>
      </c>
      <c r="I260" s="368">
        <v>7</v>
      </c>
      <c r="J260" s="368">
        <v>17</v>
      </c>
      <c r="K260" s="367">
        <v>20</v>
      </c>
      <c r="L260" s="367">
        <v>6</v>
      </c>
      <c r="M260" s="367">
        <v>26</v>
      </c>
    </row>
    <row r="261" spans="2:13" x14ac:dyDescent="0.25">
      <c r="B261" s="368" t="s">
        <v>595</v>
      </c>
      <c r="C261" s="368" t="s">
        <v>83</v>
      </c>
      <c r="F261" s="368" t="s">
        <v>576</v>
      </c>
      <c r="G261" s="368" t="s">
        <v>577</v>
      </c>
      <c r="H261" s="368">
        <v>24</v>
      </c>
      <c r="I261" s="368">
        <v>4</v>
      </c>
      <c r="J261" s="368">
        <v>28</v>
      </c>
      <c r="K261" s="367">
        <v>26</v>
      </c>
      <c r="L261" s="367">
        <v>8</v>
      </c>
      <c r="M261" s="367">
        <v>34</v>
      </c>
    </row>
    <row r="262" spans="2:13" x14ac:dyDescent="0.25">
      <c r="B262" s="368" t="s">
        <v>597</v>
      </c>
      <c r="C262" s="368" t="s">
        <v>84</v>
      </c>
      <c r="F262" s="368" t="s">
        <v>578</v>
      </c>
      <c r="G262" s="368" t="s">
        <v>579</v>
      </c>
      <c r="H262" s="368">
        <v>21</v>
      </c>
      <c r="I262" s="368">
        <v>6</v>
      </c>
      <c r="J262" s="368">
        <v>27</v>
      </c>
      <c r="K262" s="367">
        <v>24</v>
      </c>
      <c r="L262" s="367">
        <v>9</v>
      </c>
      <c r="M262" s="367">
        <v>33</v>
      </c>
    </row>
    <row r="263" spans="2:13" x14ac:dyDescent="0.25">
      <c r="B263" s="368" t="s">
        <v>599</v>
      </c>
      <c r="C263" s="368" t="s">
        <v>82</v>
      </c>
      <c r="F263" s="368" t="s">
        <v>580</v>
      </c>
      <c r="G263" s="368" t="s">
        <v>581</v>
      </c>
      <c r="H263" s="368">
        <v>17</v>
      </c>
      <c r="I263" s="368">
        <v>2</v>
      </c>
      <c r="J263" s="368">
        <v>19</v>
      </c>
      <c r="K263" s="367">
        <v>18</v>
      </c>
      <c r="L263" s="367">
        <v>6</v>
      </c>
      <c r="M263" s="367">
        <v>24</v>
      </c>
    </row>
    <row r="264" spans="2:13" x14ac:dyDescent="0.25">
      <c r="B264" s="368" t="s">
        <v>601</v>
      </c>
      <c r="C264" s="368" t="s">
        <v>85</v>
      </c>
      <c r="F264" s="368" t="s">
        <v>582</v>
      </c>
      <c r="G264" s="368" t="s">
        <v>583</v>
      </c>
      <c r="H264" s="368">
        <v>17</v>
      </c>
      <c r="I264" s="368">
        <v>8</v>
      </c>
      <c r="J264" s="368">
        <v>25</v>
      </c>
      <c r="K264" s="367">
        <v>19</v>
      </c>
      <c r="L264" s="367">
        <v>11</v>
      </c>
      <c r="M264" s="367">
        <v>30</v>
      </c>
    </row>
    <row r="265" spans="2:13" x14ac:dyDescent="0.25">
      <c r="B265" s="368" t="s">
        <v>603</v>
      </c>
      <c r="C265" s="368" t="s">
        <v>83</v>
      </c>
      <c r="F265" s="368" t="s">
        <v>584</v>
      </c>
      <c r="G265" s="368" t="s">
        <v>585</v>
      </c>
      <c r="H265" s="368">
        <v>12</v>
      </c>
      <c r="I265" s="368">
        <v>6</v>
      </c>
      <c r="J265" s="368">
        <v>18</v>
      </c>
      <c r="K265" s="367">
        <v>21</v>
      </c>
      <c r="L265" s="367">
        <v>10</v>
      </c>
      <c r="M265" s="367">
        <v>31</v>
      </c>
    </row>
    <row r="266" spans="2:13" x14ac:dyDescent="0.25">
      <c r="B266" s="368" t="s">
        <v>605</v>
      </c>
      <c r="C266" s="368" t="s">
        <v>84</v>
      </c>
      <c r="F266" s="368" t="s">
        <v>586</v>
      </c>
      <c r="G266" s="368" t="s">
        <v>587</v>
      </c>
      <c r="H266" s="368">
        <v>26</v>
      </c>
      <c r="I266" s="368">
        <v>7</v>
      </c>
      <c r="J266" s="368">
        <v>33</v>
      </c>
      <c r="K266" s="367">
        <v>28</v>
      </c>
      <c r="L266" s="367">
        <v>13</v>
      </c>
      <c r="M266" s="367">
        <v>41</v>
      </c>
    </row>
    <row r="267" spans="2:13" x14ac:dyDescent="0.25">
      <c r="B267" s="368" t="s">
        <v>607</v>
      </c>
      <c r="C267" s="368" t="s">
        <v>85</v>
      </c>
      <c r="F267" s="368" t="s">
        <v>588</v>
      </c>
      <c r="G267" s="368" t="s">
        <v>589</v>
      </c>
      <c r="H267" s="368">
        <v>19</v>
      </c>
      <c r="I267" s="368">
        <v>12</v>
      </c>
      <c r="J267" s="368">
        <v>31</v>
      </c>
      <c r="K267" s="367">
        <v>24</v>
      </c>
      <c r="L267" s="367">
        <v>12</v>
      </c>
      <c r="M267" s="367">
        <v>36</v>
      </c>
    </row>
    <row r="268" spans="2:13" x14ac:dyDescent="0.25">
      <c r="B268" s="368" t="s">
        <v>609</v>
      </c>
      <c r="C268" s="368" t="s">
        <v>79</v>
      </c>
      <c r="F268" s="368" t="s">
        <v>590</v>
      </c>
      <c r="G268" s="368" t="s">
        <v>591</v>
      </c>
      <c r="H268" s="368">
        <v>12</v>
      </c>
      <c r="I268" s="368">
        <v>3</v>
      </c>
      <c r="J268" s="368">
        <v>15</v>
      </c>
      <c r="K268" s="367">
        <v>19</v>
      </c>
      <c r="L268" s="367">
        <v>6</v>
      </c>
      <c r="M268" s="367">
        <v>25</v>
      </c>
    </row>
    <row r="269" spans="2:13" x14ac:dyDescent="0.25">
      <c r="B269" s="368" t="s">
        <v>611</v>
      </c>
      <c r="C269" s="368" t="s">
        <v>83</v>
      </c>
      <c r="F269" s="368" t="s">
        <v>592</v>
      </c>
      <c r="G269" s="368" t="s">
        <v>593</v>
      </c>
      <c r="H269" s="368">
        <v>30</v>
      </c>
      <c r="I269" s="368">
        <v>8</v>
      </c>
      <c r="J269" s="368">
        <v>38</v>
      </c>
      <c r="K269" s="367">
        <v>29</v>
      </c>
      <c r="L269" s="367">
        <v>12</v>
      </c>
      <c r="M269" s="367">
        <v>41</v>
      </c>
    </row>
    <row r="270" spans="2:13" x14ac:dyDescent="0.25">
      <c r="B270" s="368" t="s">
        <v>613</v>
      </c>
      <c r="C270" s="368" t="s">
        <v>84</v>
      </c>
      <c r="F270" s="368" t="s">
        <v>594</v>
      </c>
      <c r="G270" s="368" t="s">
        <v>595</v>
      </c>
      <c r="H270" s="368">
        <v>18</v>
      </c>
      <c r="I270" s="368">
        <v>5</v>
      </c>
      <c r="J270" s="368">
        <v>23</v>
      </c>
      <c r="K270" s="367">
        <v>23</v>
      </c>
      <c r="L270" s="367">
        <v>6</v>
      </c>
      <c r="M270" s="367">
        <v>29</v>
      </c>
    </row>
    <row r="271" spans="2:13" x14ac:dyDescent="0.25">
      <c r="B271" s="368" t="s">
        <v>615</v>
      </c>
      <c r="C271" s="368" t="s">
        <v>83</v>
      </c>
      <c r="F271" s="368" t="s">
        <v>596</v>
      </c>
      <c r="G271" s="368" t="s">
        <v>597</v>
      </c>
      <c r="H271" s="368">
        <v>30</v>
      </c>
      <c r="I271" s="368">
        <v>6</v>
      </c>
      <c r="J271" s="368">
        <v>36</v>
      </c>
      <c r="K271" s="367">
        <v>29</v>
      </c>
      <c r="L271" s="367">
        <v>3</v>
      </c>
      <c r="M271" s="367">
        <v>32</v>
      </c>
    </row>
    <row r="272" spans="2:13" x14ac:dyDescent="0.25">
      <c r="B272" s="368" t="s">
        <v>617</v>
      </c>
      <c r="C272" s="368" t="s">
        <v>79</v>
      </c>
      <c r="F272" s="368" t="s">
        <v>598</v>
      </c>
      <c r="G272" s="368" t="s">
        <v>599</v>
      </c>
      <c r="H272" s="368">
        <v>23</v>
      </c>
      <c r="I272" s="368">
        <v>5</v>
      </c>
      <c r="J272" s="368">
        <v>28</v>
      </c>
      <c r="K272" s="367">
        <v>23</v>
      </c>
      <c r="L272" s="367">
        <v>9</v>
      </c>
      <c r="M272" s="367">
        <v>32</v>
      </c>
    </row>
    <row r="273" spans="2:13" x14ac:dyDescent="0.25">
      <c r="B273" s="368" t="s">
        <v>619</v>
      </c>
      <c r="C273" s="368" t="s">
        <v>79</v>
      </c>
      <c r="F273" s="368" t="s">
        <v>600</v>
      </c>
      <c r="G273" s="368" t="s">
        <v>601</v>
      </c>
      <c r="H273" s="368">
        <v>17</v>
      </c>
      <c r="I273" s="368">
        <v>1</v>
      </c>
      <c r="J273" s="368">
        <v>18</v>
      </c>
      <c r="K273" s="367">
        <v>19</v>
      </c>
      <c r="L273" s="367">
        <v>2</v>
      </c>
      <c r="M273" s="367">
        <v>21</v>
      </c>
    </row>
    <row r="274" spans="2:13" x14ac:dyDescent="0.25">
      <c r="B274" s="368" t="s">
        <v>621</v>
      </c>
      <c r="C274" s="368" t="s">
        <v>83</v>
      </c>
      <c r="F274" s="368" t="s">
        <v>602</v>
      </c>
      <c r="G274" s="368" t="s">
        <v>603</v>
      </c>
      <c r="H274" s="368">
        <v>16</v>
      </c>
      <c r="I274" s="368">
        <v>9</v>
      </c>
      <c r="J274" s="368">
        <v>25</v>
      </c>
      <c r="K274" s="367">
        <v>20</v>
      </c>
      <c r="L274" s="367">
        <v>10</v>
      </c>
      <c r="M274" s="367">
        <v>30</v>
      </c>
    </row>
    <row r="275" spans="2:13" x14ac:dyDescent="0.25">
      <c r="B275" s="368" t="s">
        <v>623</v>
      </c>
      <c r="C275" s="368" t="s">
        <v>84</v>
      </c>
      <c r="F275" s="368" t="s">
        <v>604</v>
      </c>
      <c r="G275" s="368" t="s">
        <v>605</v>
      </c>
      <c r="H275" s="368">
        <v>20</v>
      </c>
      <c r="I275" s="368">
        <v>3</v>
      </c>
      <c r="J275" s="368">
        <v>23</v>
      </c>
      <c r="K275" s="367">
        <v>22</v>
      </c>
      <c r="L275" s="367">
        <v>6</v>
      </c>
      <c r="M275" s="367">
        <v>28</v>
      </c>
    </row>
    <row r="276" spans="2:13" x14ac:dyDescent="0.25">
      <c r="B276" s="368" t="s">
        <v>625</v>
      </c>
      <c r="C276" s="368" t="s">
        <v>84</v>
      </c>
      <c r="F276" s="368" t="s">
        <v>606</v>
      </c>
      <c r="G276" s="368" t="s">
        <v>607</v>
      </c>
      <c r="H276" s="368">
        <v>14</v>
      </c>
      <c r="I276" s="368">
        <v>6</v>
      </c>
      <c r="J276" s="368">
        <v>20</v>
      </c>
      <c r="K276" s="367">
        <v>20</v>
      </c>
      <c r="L276" s="367">
        <v>9</v>
      </c>
      <c r="M276" s="367">
        <v>29</v>
      </c>
    </row>
    <row r="277" spans="2:13" x14ac:dyDescent="0.25">
      <c r="B277" s="368" t="s">
        <v>627</v>
      </c>
      <c r="C277" s="368" t="s">
        <v>80</v>
      </c>
      <c r="F277" s="368" t="s">
        <v>608</v>
      </c>
      <c r="G277" s="368" t="s">
        <v>609</v>
      </c>
      <c r="H277" s="368">
        <v>29</v>
      </c>
      <c r="I277" s="368">
        <v>2</v>
      </c>
      <c r="J277" s="368">
        <v>31</v>
      </c>
      <c r="K277" s="367">
        <v>32</v>
      </c>
      <c r="L277" s="367">
        <v>7</v>
      </c>
      <c r="M277" s="367">
        <v>39</v>
      </c>
    </row>
    <row r="278" spans="2:13" x14ac:dyDescent="0.25">
      <c r="B278" s="368" t="s">
        <v>629</v>
      </c>
      <c r="C278" s="368" t="s">
        <v>82</v>
      </c>
      <c r="F278" s="368" t="s">
        <v>610</v>
      </c>
      <c r="G278" s="368" t="s">
        <v>611</v>
      </c>
      <c r="H278" s="368">
        <v>20</v>
      </c>
      <c r="I278" s="368">
        <v>5</v>
      </c>
      <c r="J278" s="368">
        <v>25</v>
      </c>
      <c r="K278" s="367">
        <v>23</v>
      </c>
      <c r="L278" s="367">
        <v>6</v>
      </c>
      <c r="M278" s="367">
        <v>29</v>
      </c>
    </row>
    <row r="279" spans="2:13" x14ac:dyDescent="0.25">
      <c r="B279" s="368" t="s">
        <v>631</v>
      </c>
      <c r="C279" s="368" t="s">
        <v>83</v>
      </c>
      <c r="F279" s="368" t="s">
        <v>612</v>
      </c>
      <c r="G279" s="368" t="s">
        <v>613</v>
      </c>
      <c r="H279" s="368">
        <v>20</v>
      </c>
      <c r="I279" s="368">
        <v>1</v>
      </c>
      <c r="J279" s="368">
        <v>21</v>
      </c>
      <c r="K279" s="367">
        <v>23</v>
      </c>
      <c r="L279" s="367">
        <v>3</v>
      </c>
      <c r="M279" s="367">
        <v>26</v>
      </c>
    </row>
    <row r="280" spans="2:13" x14ac:dyDescent="0.25">
      <c r="B280" s="368" t="s">
        <v>633</v>
      </c>
      <c r="C280" s="368" t="s">
        <v>79</v>
      </c>
      <c r="F280" s="368" t="s">
        <v>614</v>
      </c>
      <c r="G280" s="368" t="s">
        <v>615</v>
      </c>
      <c r="H280" s="368">
        <v>20</v>
      </c>
      <c r="I280" s="368">
        <v>2</v>
      </c>
      <c r="J280" s="368">
        <v>22</v>
      </c>
      <c r="K280" s="367">
        <v>19</v>
      </c>
      <c r="L280" s="367">
        <v>5</v>
      </c>
      <c r="M280" s="367">
        <v>24</v>
      </c>
    </row>
    <row r="281" spans="2:13" x14ac:dyDescent="0.25">
      <c r="B281" s="368" t="s">
        <v>635</v>
      </c>
      <c r="C281" s="368" t="s">
        <v>83</v>
      </c>
      <c r="F281" s="368" t="s">
        <v>616</v>
      </c>
      <c r="G281" s="368" t="s">
        <v>617</v>
      </c>
      <c r="H281" s="368">
        <v>26</v>
      </c>
      <c r="I281" s="368">
        <v>3</v>
      </c>
      <c r="J281" s="368">
        <v>29</v>
      </c>
      <c r="K281" s="367">
        <v>24</v>
      </c>
      <c r="L281" s="367">
        <v>3</v>
      </c>
      <c r="M281" s="367">
        <v>27</v>
      </c>
    </row>
    <row r="282" spans="2:13" x14ac:dyDescent="0.25">
      <c r="B282" s="368" t="s">
        <v>637</v>
      </c>
      <c r="C282" s="368" t="s">
        <v>788</v>
      </c>
      <c r="F282" s="368" t="s">
        <v>618</v>
      </c>
      <c r="G282" s="368" t="s">
        <v>619</v>
      </c>
      <c r="H282" s="368">
        <v>19</v>
      </c>
      <c r="I282" s="368">
        <v>2</v>
      </c>
      <c r="J282" s="368">
        <v>21</v>
      </c>
      <c r="K282" s="367">
        <v>19</v>
      </c>
      <c r="L282" s="367">
        <v>3</v>
      </c>
      <c r="M282" s="367">
        <v>22</v>
      </c>
    </row>
    <row r="283" spans="2:13" x14ac:dyDescent="0.25">
      <c r="B283" s="368" t="s">
        <v>639</v>
      </c>
      <c r="C283" s="368" t="s">
        <v>85</v>
      </c>
      <c r="F283" s="368" t="s">
        <v>620</v>
      </c>
      <c r="G283" s="368" t="s">
        <v>621</v>
      </c>
      <c r="H283" s="368">
        <v>20</v>
      </c>
      <c r="I283" s="368">
        <v>5</v>
      </c>
      <c r="J283" s="368">
        <v>25</v>
      </c>
      <c r="K283" s="367">
        <v>24</v>
      </c>
      <c r="L283" s="367">
        <v>9</v>
      </c>
      <c r="M283" s="367">
        <v>33</v>
      </c>
    </row>
    <row r="284" spans="2:13" x14ac:dyDescent="0.25">
      <c r="B284" s="368" t="s">
        <v>641</v>
      </c>
      <c r="C284" s="368" t="s">
        <v>80</v>
      </c>
      <c r="F284" s="368" t="s">
        <v>622</v>
      </c>
      <c r="G284" s="368" t="s">
        <v>623</v>
      </c>
      <c r="H284" s="368">
        <v>15</v>
      </c>
      <c r="I284" s="368">
        <v>7</v>
      </c>
      <c r="J284" s="368">
        <v>22</v>
      </c>
      <c r="K284" s="367">
        <v>23</v>
      </c>
      <c r="L284" s="367">
        <v>8</v>
      </c>
      <c r="M284" s="367">
        <v>31</v>
      </c>
    </row>
    <row r="285" spans="2:13" x14ac:dyDescent="0.25">
      <c r="B285" s="368" t="s">
        <v>643</v>
      </c>
      <c r="C285" s="368" t="s">
        <v>80</v>
      </c>
      <c r="F285" s="368" t="s">
        <v>624</v>
      </c>
      <c r="G285" s="368" t="s">
        <v>625</v>
      </c>
      <c r="H285" s="368">
        <v>9</v>
      </c>
      <c r="I285" s="368">
        <v>3</v>
      </c>
      <c r="J285" s="368">
        <v>12</v>
      </c>
      <c r="K285" s="367">
        <v>14</v>
      </c>
      <c r="L285" s="367">
        <v>8</v>
      </c>
      <c r="M285" s="367">
        <v>22</v>
      </c>
    </row>
    <row r="286" spans="2:13" x14ac:dyDescent="0.25">
      <c r="B286" s="368" t="s">
        <v>645</v>
      </c>
      <c r="C286" s="368" t="s">
        <v>82</v>
      </c>
      <c r="F286" s="368" t="s">
        <v>626</v>
      </c>
      <c r="G286" s="368" t="s">
        <v>627</v>
      </c>
      <c r="H286" s="368">
        <v>36</v>
      </c>
      <c r="I286" s="368">
        <v>15</v>
      </c>
      <c r="J286" s="368">
        <v>51</v>
      </c>
      <c r="K286" s="367">
        <v>32</v>
      </c>
      <c r="L286" s="367">
        <v>17</v>
      </c>
      <c r="M286" s="367">
        <v>49</v>
      </c>
    </row>
    <row r="287" spans="2:13" x14ac:dyDescent="0.25">
      <c r="B287" s="368" t="s">
        <v>647</v>
      </c>
      <c r="C287" s="368" t="s">
        <v>85</v>
      </c>
      <c r="F287" s="368" t="s">
        <v>628</v>
      </c>
      <c r="G287" s="368" t="s">
        <v>629</v>
      </c>
      <c r="H287" s="368">
        <v>25</v>
      </c>
      <c r="I287" s="368">
        <v>7</v>
      </c>
      <c r="J287" s="368">
        <v>32</v>
      </c>
      <c r="K287" s="367">
        <v>28</v>
      </c>
      <c r="L287" s="367">
        <v>7</v>
      </c>
      <c r="M287" s="367">
        <v>35</v>
      </c>
    </row>
    <row r="288" spans="2:13" x14ac:dyDescent="0.25">
      <c r="B288" s="368" t="s">
        <v>649</v>
      </c>
      <c r="C288" s="368" t="s">
        <v>79</v>
      </c>
      <c r="F288" s="368" t="s">
        <v>630</v>
      </c>
      <c r="G288" s="368" t="s">
        <v>631</v>
      </c>
      <c r="H288" s="368">
        <v>24</v>
      </c>
      <c r="I288" s="368">
        <v>12</v>
      </c>
      <c r="J288" s="368">
        <v>36</v>
      </c>
      <c r="K288" s="367">
        <v>23</v>
      </c>
      <c r="L288" s="367">
        <v>14</v>
      </c>
      <c r="M288" s="367">
        <v>37</v>
      </c>
    </row>
    <row r="289" spans="2:13" x14ac:dyDescent="0.25">
      <c r="B289" s="368" t="s">
        <v>651</v>
      </c>
      <c r="C289" s="368" t="s">
        <v>83</v>
      </c>
      <c r="F289" s="368" t="s">
        <v>632</v>
      </c>
      <c r="G289" s="368" t="s">
        <v>633</v>
      </c>
      <c r="H289" s="368">
        <v>19</v>
      </c>
      <c r="I289" s="368">
        <v>3</v>
      </c>
      <c r="J289" s="368">
        <v>22</v>
      </c>
      <c r="K289" s="367">
        <v>28</v>
      </c>
      <c r="L289" s="367">
        <v>3</v>
      </c>
      <c r="M289" s="367">
        <v>31</v>
      </c>
    </row>
    <row r="290" spans="2:13" x14ac:dyDescent="0.25">
      <c r="B290" s="368" t="s">
        <v>653</v>
      </c>
      <c r="C290" s="368" t="s">
        <v>83</v>
      </c>
      <c r="F290" s="368" t="s">
        <v>634</v>
      </c>
      <c r="G290" s="368" t="s">
        <v>635</v>
      </c>
      <c r="H290" s="368">
        <v>15</v>
      </c>
      <c r="I290" s="368">
        <v>5</v>
      </c>
      <c r="J290" s="368">
        <v>20</v>
      </c>
      <c r="K290" s="367">
        <v>24</v>
      </c>
      <c r="L290" s="367">
        <v>7</v>
      </c>
      <c r="M290" s="367">
        <v>31</v>
      </c>
    </row>
    <row r="291" spans="2:13" x14ac:dyDescent="0.25">
      <c r="B291" s="368" t="s">
        <v>655</v>
      </c>
      <c r="C291" s="368" t="s">
        <v>79</v>
      </c>
      <c r="F291" s="368" t="s">
        <v>636</v>
      </c>
      <c r="G291" s="368" t="s">
        <v>637</v>
      </c>
      <c r="H291" s="368">
        <v>20</v>
      </c>
      <c r="I291" s="368">
        <v>8</v>
      </c>
      <c r="J291" s="368">
        <v>28</v>
      </c>
      <c r="K291" s="367">
        <v>26</v>
      </c>
      <c r="L291" s="367">
        <v>11</v>
      </c>
      <c r="M291" s="367">
        <v>37</v>
      </c>
    </row>
    <row r="292" spans="2:13" x14ac:dyDescent="0.25">
      <c r="B292" s="368" t="s">
        <v>657</v>
      </c>
      <c r="C292" s="368" t="s">
        <v>83</v>
      </c>
      <c r="F292" s="368" t="s">
        <v>638</v>
      </c>
      <c r="G292" s="368" t="s">
        <v>639</v>
      </c>
      <c r="H292" s="368">
        <v>23</v>
      </c>
      <c r="I292" s="368">
        <v>10</v>
      </c>
      <c r="J292" s="368">
        <v>33</v>
      </c>
      <c r="K292" s="367">
        <v>21</v>
      </c>
      <c r="L292" s="367">
        <v>10</v>
      </c>
      <c r="M292" s="367">
        <v>31</v>
      </c>
    </row>
    <row r="293" spans="2:13" x14ac:dyDescent="0.25">
      <c r="B293" s="368" t="s">
        <v>659</v>
      </c>
      <c r="C293" s="368" t="s">
        <v>84</v>
      </c>
      <c r="F293" s="368" t="s">
        <v>640</v>
      </c>
      <c r="G293" s="368" t="s">
        <v>641</v>
      </c>
      <c r="H293" s="368">
        <v>33</v>
      </c>
      <c r="I293" s="368">
        <v>12</v>
      </c>
      <c r="J293" s="368">
        <v>45</v>
      </c>
      <c r="K293" s="367">
        <v>31</v>
      </c>
      <c r="L293" s="367">
        <v>14</v>
      </c>
      <c r="M293" s="367">
        <v>45</v>
      </c>
    </row>
    <row r="294" spans="2:13" x14ac:dyDescent="0.25">
      <c r="B294" s="368" t="s">
        <v>661</v>
      </c>
      <c r="C294" s="368" t="s">
        <v>82</v>
      </c>
      <c r="F294" s="368" t="s">
        <v>642</v>
      </c>
      <c r="G294" s="368" t="s">
        <v>643</v>
      </c>
      <c r="H294" s="368">
        <v>33</v>
      </c>
      <c r="I294" s="368">
        <v>14</v>
      </c>
      <c r="J294" s="368">
        <v>47</v>
      </c>
      <c r="K294" s="367">
        <v>26</v>
      </c>
      <c r="L294" s="367">
        <v>17</v>
      </c>
      <c r="M294" s="367">
        <v>43</v>
      </c>
    </row>
    <row r="295" spans="2:13" x14ac:dyDescent="0.25">
      <c r="B295" s="368" t="s">
        <v>663</v>
      </c>
      <c r="C295" s="368" t="s">
        <v>78</v>
      </c>
      <c r="F295" s="368" t="s">
        <v>644</v>
      </c>
      <c r="G295" s="368" t="s">
        <v>645</v>
      </c>
      <c r="H295" s="368">
        <v>24</v>
      </c>
      <c r="I295" s="368">
        <v>2</v>
      </c>
      <c r="J295" s="368">
        <v>26</v>
      </c>
      <c r="K295" s="367">
        <v>27</v>
      </c>
      <c r="L295" s="367">
        <v>7</v>
      </c>
      <c r="M295" s="367">
        <v>34</v>
      </c>
    </row>
    <row r="296" spans="2:13" x14ac:dyDescent="0.25">
      <c r="B296" s="368" t="s">
        <v>798</v>
      </c>
      <c r="C296" s="368" t="s">
        <v>78</v>
      </c>
      <c r="F296" s="368" t="s">
        <v>646</v>
      </c>
      <c r="G296" s="368" t="s">
        <v>647</v>
      </c>
      <c r="H296" s="368">
        <v>17</v>
      </c>
      <c r="I296" s="368">
        <v>8</v>
      </c>
      <c r="J296" s="368">
        <v>25</v>
      </c>
      <c r="K296" s="367">
        <v>24</v>
      </c>
      <c r="L296" s="367">
        <v>7</v>
      </c>
      <c r="M296" s="367">
        <v>31</v>
      </c>
    </row>
    <row r="297" spans="2:13" x14ac:dyDescent="0.25">
      <c r="B297" s="368" t="s">
        <v>665</v>
      </c>
      <c r="C297" s="368" t="s">
        <v>83</v>
      </c>
      <c r="F297" s="368" t="s">
        <v>648</v>
      </c>
      <c r="G297" s="368" t="s">
        <v>649</v>
      </c>
      <c r="H297" s="368">
        <v>26</v>
      </c>
      <c r="I297" s="368">
        <v>2</v>
      </c>
      <c r="J297" s="368">
        <v>28</v>
      </c>
      <c r="K297" s="367">
        <v>25</v>
      </c>
      <c r="L297" s="367">
        <v>10</v>
      </c>
      <c r="M297" s="367">
        <v>35</v>
      </c>
    </row>
    <row r="298" spans="2:13" x14ac:dyDescent="0.25">
      <c r="B298" s="368" t="s">
        <v>667</v>
      </c>
      <c r="C298" s="368" t="s">
        <v>79</v>
      </c>
      <c r="F298" s="368" t="s">
        <v>650</v>
      </c>
      <c r="G298" s="368" t="s">
        <v>651</v>
      </c>
      <c r="H298" s="368">
        <v>17</v>
      </c>
      <c r="I298" s="368">
        <v>6</v>
      </c>
      <c r="J298" s="368">
        <v>23</v>
      </c>
      <c r="K298" s="367">
        <v>24</v>
      </c>
      <c r="L298" s="367">
        <v>8</v>
      </c>
      <c r="M298" s="367">
        <v>32</v>
      </c>
    </row>
    <row r="299" spans="2:13" x14ac:dyDescent="0.25">
      <c r="B299" s="368" t="s">
        <v>669</v>
      </c>
      <c r="C299" s="368" t="s">
        <v>80</v>
      </c>
      <c r="F299" s="368" t="s">
        <v>652</v>
      </c>
      <c r="G299" s="368" t="s">
        <v>653</v>
      </c>
      <c r="H299" s="368">
        <v>19</v>
      </c>
      <c r="I299" s="368">
        <v>4</v>
      </c>
      <c r="J299" s="368">
        <v>23</v>
      </c>
      <c r="K299" s="367">
        <v>22</v>
      </c>
      <c r="L299" s="367">
        <v>7</v>
      </c>
      <c r="M299" s="367">
        <v>29</v>
      </c>
    </row>
    <row r="300" spans="2:13" x14ac:dyDescent="0.25">
      <c r="B300" s="368" t="s">
        <v>671</v>
      </c>
      <c r="C300" s="368" t="s">
        <v>82</v>
      </c>
      <c r="F300" s="368" t="s">
        <v>654</v>
      </c>
      <c r="G300" s="368" t="s">
        <v>655</v>
      </c>
      <c r="H300" s="368">
        <v>24</v>
      </c>
      <c r="I300" s="368">
        <v>7</v>
      </c>
      <c r="J300" s="368">
        <v>31</v>
      </c>
      <c r="K300" s="367">
        <v>26</v>
      </c>
      <c r="L300" s="367">
        <v>4</v>
      </c>
      <c r="M300" s="367">
        <v>30</v>
      </c>
    </row>
    <row r="301" spans="2:13" x14ac:dyDescent="0.25">
      <c r="B301" s="368" t="s">
        <v>673</v>
      </c>
      <c r="C301" s="368" t="s">
        <v>84</v>
      </c>
      <c r="F301" s="368" t="s">
        <v>656</v>
      </c>
      <c r="G301" s="368" t="s">
        <v>657</v>
      </c>
      <c r="H301" s="368">
        <v>29</v>
      </c>
      <c r="I301" s="368">
        <v>3</v>
      </c>
      <c r="J301" s="368">
        <v>32</v>
      </c>
      <c r="K301" s="367">
        <v>33</v>
      </c>
      <c r="L301" s="367">
        <v>4</v>
      </c>
      <c r="M301" s="367">
        <v>37</v>
      </c>
    </row>
    <row r="302" spans="2:13" x14ac:dyDescent="0.25">
      <c r="B302" s="368" t="s">
        <v>675</v>
      </c>
      <c r="C302" s="368" t="s">
        <v>83</v>
      </c>
      <c r="F302" s="368" t="s">
        <v>658</v>
      </c>
      <c r="G302" s="368" t="s">
        <v>659</v>
      </c>
      <c r="H302" s="368">
        <v>14</v>
      </c>
      <c r="I302" s="368">
        <v>6</v>
      </c>
      <c r="J302" s="368">
        <v>20</v>
      </c>
      <c r="K302" s="367">
        <v>14</v>
      </c>
      <c r="L302" s="367">
        <v>7</v>
      </c>
      <c r="M302" s="367">
        <v>21</v>
      </c>
    </row>
    <row r="303" spans="2:13" x14ac:dyDescent="0.25">
      <c r="B303" s="368" t="s">
        <v>677</v>
      </c>
      <c r="C303" s="368" t="s">
        <v>83</v>
      </c>
      <c r="F303" s="368" t="s">
        <v>660</v>
      </c>
      <c r="G303" s="368" t="s">
        <v>661</v>
      </c>
      <c r="H303" s="368">
        <v>24</v>
      </c>
      <c r="I303" s="368">
        <v>6</v>
      </c>
      <c r="J303" s="368">
        <v>30</v>
      </c>
      <c r="K303" s="367">
        <v>24</v>
      </c>
      <c r="L303" s="367">
        <v>9</v>
      </c>
      <c r="M303" s="367">
        <v>33</v>
      </c>
    </row>
    <row r="304" spans="2:13" x14ac:dyDescent="0.25">
      <c r="B304" s="368" t="s">
        <v>679</v>
      </c>
      <c r="C304" s="368" t="s">
        <v>82</v>
      </c>
      <c r="F304" s="368" t="s">
        <v>662</v>
      </c>
      <c r="G304" s="368" t="s">
        <v>663</v>
      </c>
      <c r="H304" s="368">
        <v>15</v>
      </c>
      <c r="I304" s="368">
        <v>4</v>
      </c>
      <c r="J304" s="368">
        <v>19</v>
      </c>
      <c r="K304" s="367">
        <v>15</v>
      </c>
      <c r="L304" s="367">
        <v>4</v>
      </c>
      <c r="M304" s="367">
        <v>19</v>
      </c>
    </row>
    <row r="305" spans="2:13" x14ac:dyDescent="0.25">
      <c r="B305" s="368" t="s">
        <v>681</v>
      </c>
      <c r="C305" s="368" t="s">
        <v>83</v>
      </c>
      <c r="F305" s="368" t="s">
        <v>800</v>
      </c>
      <c r="G305" s="368" t="s">
        <v>798</v>
      </c>
      <c r="H305" s="368">
        <v>41</v>
      </c>
      <c r="I305" s="368">
        <v>4</v>
      </c>
      <c r="J305" s="368">
        <v>45</v>
      </c>
      <c r="K305" s="367">
        <v>40</v>
      </c>
      <c r="L305" s="367">
        <v>7</v>
      </c>
      <c r="M305" s="367">
        <v>47</v>
      </c>
    </row>
    <row r="306" spans="2:13" x14ac:dyDescent="0.25">
      <c r="B306" s="368" t="s">
        <v>683</v>
      </c>
      <c r="C306" s="368" t="s">
        <v>83</v>
      </c>
      <c r="F306" s="368" t="s">
        <v>664</v>
      </c>
      <c r="G306" s="368" t="s">
        <v>665</v>
      </c>
      <c r="H306" s="368">
        <v>16</v>
      </c>
      <c r="I306" s="368">
        <v>2</v>
      </c>
      <c r="J306" s="368">
        <v>18</v>
      </c>
      <c r="K306" s="367">
        <v>23</v>
      </c>
      <c r="L306" s="367">
        <v>2</v>
      </c>
      <c r="M306" s="367">
        <v>25</v>
      </c>
    </row>
    <row r="307" spans="2:13" x14ac:dyDescent="0.25">
      <c r="B307" s="368" t="s">
        <v>685</v>
      </c>
      <c r="C307" s="368" t="s">
        <v>85</v>
      </c>
      <c r="F307" s="368" t="s">
        <v>666</v>
      </c>
      <c r="G307" s="368" t="s">
        <v>667</v>
      </c>
      <c r="H307" s="368">
        <v>0</v>
      </c>
      <c r="I307" s="368">
        <v>0</v>
      </c>
      <c r="J307" s="368">
        <v>0</v>
      </c>
      <c r="K307" s="367">
        <v>29</v>
      </c>
      <c r="L307" s="367">
        <v>5</v>
      </c>
      <c r="M307" s="367">
        <v>34</v>
      </c>
    </row>
    <row r="308" spans="2:13" x14ac:dyDescent="0.25">
      <c r="B308" s="368" t="s">
        <v>687</v>
      </c>
      <c r="C308" s="368" t="s">
        <v>85</v>
      </c>
      <c r="F308" s="368" t="s">
        <v>668</v>
      </c>
      <c r="G308" s="368" t="s">
        <v>669</v>
      </c>
      <c r="H308" s="368">
        <v>25</v>
      </c>
      <c r="I308" s="368">
        <v>18</v>
      </c>
      <c r="J308" s="368">
        <v>43</v>
      </c>
      <c r="K308" s="367">
        <v>22</v>
      </c>
      <c r="L308" s="367">
        <v>20</v>
      </c>
      <c r="M308" s="367">
        <v>42</v>
      </c>
    </row>
    <row r="309" spans="2:13" x14ac:dyDescent="0.25">
      <c r="B309" s="368" t="s">
        <v>689</v>
      </c>
      <c r="C309" s="368" t="s">
        <v>83</v>
      </c>
      <c r="F309" s="368" t="s">
        <v>670</v>
      </c>
      <c r="G309" s="368" t="s">
        <v>671</v>
      </c>
      <c r="H309" s="368">
        <v>16</v>
      </c>
      <c r="I309" s="368">
        <v>5</v>
      </c>
      <c r="J309" s="368">
        <v>21</v>
      </c>
      <c r="K309" s="367">
        <v>20</v>
      </c>
      <c r="L309" s="367">
        <v>9</v>
      </c>
      <c r="M309" s="367">
        <v>29</v>
      </c>
    </row>
    <row r="310" spans="2:13" x14ac:dyDescent="0.25">
      <c r="B310" s="368" t="s">
        <v>691</v>
      </c>
      <c r="C310" s="368" t="s">
        <v>85</v>
      </c>
      <c r="F310" s="368" t="s">
        <v>672</v>
      </c>
      <c r="G310" s="368" t="s">
        <v>673</v>
      </c>
      <c r="H310" s="368">
        <v>44</v>
      </c>
      <c r="I310" s="368">
        <v>15</v>
      </c>
      <c r="J310" s="368">
        <v>59</v>
      </c>
      <c r="K310" s="367">
        <v>47</v>
      </c>
      <c r="L310" s="367">
        <v>14</v>
      </c>
      <c r="M310" s="367">
        <v>61</v>
      </c>
    </row>
    <row r="311" spans="2:13" x14ac:dyDescent="0.25">
      <c r="B311" s="368" t="s">
        <v>693</v>
      </c>
      <c r="C311" s="368" t="s">
        <v>82</v>
      </c>
      <c r="F311" s="368" t="s">
        <v>674</v>
      </c>
      <c r="G311" s="368" t="s">
        <v>675</v>
      </c>
      <c r="H311" s="368">
        <v>21</v>
      </c>
      <c r="I311" s="368">
        <v>8</v>
      </c>
      <c r="J311" s="368">
        <v>29</v>
      </c>
      <c r="K311" s="367">
        <v>25</v>
      </c>
      <c r="L311" s="367">
        <v>7</v>
      </c>
      <c r="M311" s="367">
        <v>32</v>
      </c>
    </row>
    <row r="312" spans="2:13" x14ac:dyDescent="0.25">
      <c r="B312" s="368" t="s">
        <v>695</v>
      </c>
      <c r="C312" s="368" t="s">
        <v>85</v>
      </c>
      <c r="F312" s="368" t="s">
        <v>676</v>
      </c>
      <c r="G312" s="368" t="s">
        <v>677</v>
      </c>
      <c r="H312" s="368">
        <v>21</v>
      </c>
      <c r="I312" s="368">
        <v>3</v>
      </c>
      <c r="J312" s="368">
        <v>24</v>
      </c>
      <c r="K312" s="367">
        <v>19</v>
      </c>
      <c r="L312" s="367">
        <v>4</v>
      </c>
      <c r="M312" s="367">
        <v>23</v>
      </c>
    </row>
    <row r="313" spans="2:13" x14ac:dyDescent="0.25">
      <c r="B313" s="368" t="s">
        <v>697</v>
      </c>
      <c r="C313" s="368" t="s">
        <v>788</v>
      </c>
      <c r="F313" s="368" t="s">
        <v>678</v>
      </c>
      <c r="G313" s="368" t="s">
        <v>679</v>
      </c>
      <c r="H313" s="368">
        <v>18</v>
      </c>
      <c r="I313" s="368">
        <v>14</v>
      </c>
      <c r="J313" s="368">
        <v>32</v>
      </c>
      <c r="K313" s="367">
        <v>20</v>
      </c>
      <c r="L313" s="367">
        <v>15</v>
      </c>
      <c r="M313" s="367">
        <v>35</v>
      </c>
    </row>
    <row r="314" spans="2:13" x14ac:dyDescent="0.25">
      <c r="B314" s="144"/>
      <c r="C314" s="144"/>
      <c r="F314" s="368" t="s">
        <v>680</v>
      </c>
      <c r="G314" s="368" t="s">
        <v>681</v>
      </c>
      <c r="H314" s="368">
        <v>24</v>
      </c>
      <c r="I314" s="368">
        <v>4</v>
      </c>
      <c r="J314" s="368">
        <v>28</v>
      </c>
      <c r="K314" s="367">
        <v>23</v>
      </c>
      <c r="L314" s="367">
        <v>7</v>
      </c>
      <c r="M314" s="367">
        <v>30</v>
      </c>
    </row>
    <row r="315" spans="2:13" x14ac:dyDescent="0.25">
      <c r="B315" s="144"/>
      <c r="C315" s="144"/>
      <c r="F315" s="368" t="s">
        <v>682</v>
      </c>
      <c r="G315" s="368" t="s">
        <v>683</v>
      </c>
      <c r="H315" s="368">
        <v>24</v>
      </c>
      <c r="I315" s="368">
        <v>3</v>
      </c>
      <c r="J315" s="368">
        <v>27</v>
      </c>
      <c r="K315" s="367">
        <v>26</v>
      </c>
      <c r="L315" s="367">
        <v>6</v>
      </c>
      <c r="M315" s="367">
        <v>32</v>
      </c>
    </row>
    <row r="316" spans="2:13" x14ac:dyDescent="0.25">
      <c r="B316" s="144"/>
      <c r="C316" s="144"/>
      <c r="F316" s="368" t="s">
        <v>684</v>
      </c>
      <c r="G316" s="368" t="s">
        <v>685</v>
      </c>
      <c r="H316" s="368">
        <v>18</v>
      </c>
      <c r="I316" s="368">
        <v>7</v>
      </c>
      <c r="J316" s="368">
        <v>25</v>
      </c>
      <c r="K316" s="367">
        <v>22</v>
      </c>
      <c r="L316" s="367">
        <v>11</v>
      </c>
      <c r="M316" s="367">
        <v>33</v>
      </c>
    </row>
    <row r="317" spans="2:13" x14ac:dyDescent="0.25">
      <c r="B317" s="144"/>
      <c r="C317" s="144"/>
      <c r="F317" s="368" t="s">
        <v>686</v>
      </c>
      <c r="G317" s="368" t="s">
        <v>687</v>
      </c>
      <c r="H317" s="368">
        <v>21</v>
      </c>
      <c r="I317" s="368">
        <v>7</v>
      </c>
      <c r="J317" s="368">
        <v>28</v>
      </c>
      <c r="K317" s="367">
        <v>23</v>
      </c>
      <c r="L317" s="367">
        <v>12</v>
      </c>
      <c r="M317" s="367">
        <v>35</v>
      </c>
    </row>
    <row r="318" spans="2:13" x14ac:dyDescent="0.25">
      <c r="B318" s="144"/>
      <c r="C318" s="144"/>
      <c r="F318" s="368" t="s">
        <v>688</v>
      </c>
      <c r="G318" s="368" t="s">
        <v>689</v>
      </c>
      <c r="H318" s="368">
        <v>17</v>
      </c>
      <c r="I318" s="368">
        <v>7</v>
      </c>
      <c r="J318" s="368">
        <v>24</v>
      </c>
      <c r="K318" s="367">
        <v>15</v>
      </c>
      <c r="L318" s="367">
        <v>8</v>
      </c>
      <c r="M318" s="367">
        <v>23</v>
      </c>
    </row>
    <row r="319" spans="2:13" x14ac:dyDescent="0.25">
      <c r="B319" s="144"/>
      <c r="C319" s="144"/>
      <c r="F319" s="368" t="s">
        <v>690</v>
      </c>
      <c r="G319" s="368" t="s">
        <v>691</v>
      </c>
      <c r="H319" s="368">
        <v>17</v>
      </c>
      <c r="I319" s="368">
        <v>2</v>
      </c>
      <c r="J319" s="368">
        <v>19</v>
      </c>
      <c r="K319" s="367">
        <v>19</v>
      </c>
      <c r="L319" s="367">
        <v>4</v>
      </c>
      <c r="M319" s="367">
        <v>23</v>
      </c>
    </row>
    <row r="320" spans="2:13" x14ac:dyDescent="0.25">
      <c r="B320" s="144"/>
      <c r="C320" s="144"/>
      <c r="F320" s="368" t="s">
        <v>692</v>
      </c>
      <c r="G320" s="368" t="s">
        <v>693</v>
      </c>
      <c r="H320" s="368">
        <v>12</v>
      </c>
      <c r="I320" s="368">
        <v>6</v>
      </c>
      <c r="J320" s="368">
        <v>18</v>
      </c>
      <c r="K320" s="367">
        <v>18</v>
      </c>
      <c r="L320" s="367">
        <v>12</v>
      </c>
      <c r="M320" s="367">
        <v>30</v>
      </c>
    </row>
    <row r="321" spans="2:13" x14ac:dyDescent="0.25">
      <c r="B321" s="144"/>
      <c r="C321" s="144"/>
      <c r="F321" s="368" t="s">
        <v>694</v>
      </c>
      <c r="G321" s="368" t="s">
        <v>695</v>
      </c>
      <c r="H321" s="368">
        <v>16</v>
      </c>
      <c r="I321" s="368">
        <v>1</v>
      </c>
      <c r="J321" s="368">
        <v>17</v>
      </c>
      <c r="K321" s="367">
        <v>12</v>
      </c>
      <c r="L321" s="367">
        <v>4</v>
      </c>
      <c r="M321" s="367">
        <v>16</v>
      </c>
    </row>
    <row r="322" spans="2:13" x14ac:dyDescent="0.25">
      <c r="F322" s="368" t="s">
        <v>696</v>
      </c>
      <c r="G322" s="368" t="s">
        <v>697</v>
      </c>
      <c r="H322" s="368">
        <v>16</v>
      </c>
      <c r="I322" s="368">
        <v>8</v>
      </c>
      <c r="J322" s="368">
        <v>24</v>
      </c>
      <c r="K322" s="367">
        <v>22</v>
      </c>
      <c r="L322" s="367">
        <v>7</v>
      </c>
      <c r="M322" s="367">
        <v>29</v>
      </c>
    </row>
    <row r="323" spans="2:13" x14ac:dyDescent="0.25">
      <c r="F323" s="428"/>
      <c r="G323" s="428"/>
    </row>
  </sheetData>
  <mergeCells count="1">
    <mergeCell ref="F2:M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3719E-7B7E-48AC-AFA9-21DDFD251A0D}">
  <sheetPr codeName="Sheet13">
    <tabColor rgb="FFEDEBF5"/>
    <pageSetUpPr fitToPage="1"/>
  </sheetPr>
  <dimension ref="B2:F55"/>
  <sheetViews>
    <sheetView workbookViewId="0"/>
  </sheetViews>
  <sheetFormatPr defaultColWidth="9.140625" defaultRowHeight="14.25" x14ac:dyDescent="0.2"/>
  <cols>
    <col min="1" max="1" width="2.140625" style="312" customWidth="1"/>
    <col min="2" max="16384" width="9.140625" style="312"/>
  </cols>
  <sheetData>
    <row r="2" spans="2:2" ht="27.75" x14ac:dyDescent="0.4">
      <c r="B2" s="307" t="s">
        <v>785</v>
      </c>
    </row>
    <row r="4" spans="2:2" ht="15" x14ac:dyDescent="0.25">
      <c r="B4" s="313" t="s">
        <v>795</v>
      </c>
    </row>
    <row r="5" spans="2:2" ht="15" x14ac:dyDescent="0.25">
      <c r="B5" s="313"/>
    </row>
    <row r="6" spans="2:2" ht="15" x14ac:dyDescent="0.25">
      <c r="B6" s="313"/>
    </row>
    <row r="7" spans="2:2" ht="15" x14ac:dyDescent="0.25">
      <c r="B7" s="313"/>
    </row>
    <row r="8" spans="2:2" ht="15" x14ac:dyDescent="0.25">
      <c r="B8" s="313"/>
    </row>
    <row r="9" spans="2:2" ht="15" x14ac:dyDescent="0.25">
      <c r="B9" s="313"/>
    </row>
    <row r="10" spans="2:2" ht="15" x14ac:dyDescent="0.25">
      <c r="B10" s="313"/>
    </row>
    <row r="11" spans="2:2" ht="15" x14ac:dyDescent="0.25">
      <c r="B11" s="313"/>
    </row>
    <row r="12" spans="2:2" ht="15.75" x14ac:dyDescent="0.25">
      <c r="B12" s="308" t="s">
        <v>767</v>
      </c>
    </row>
    <row r="14" spans="2:2" x14ac:dyDescent="0.2">
      <c r="B14" s="321" t="s">
        <v>771</v>
      </c>
    </row>
    <row r="25" spans="2:2" ht="15.75" x14ac:dyDescent="0.25">
      <c r="B25" s="308" t="s">
        <v>768</v>
      </c>
    </row>
    <row r="27" spans="2:2" x14ac:dyDescent="0.2">
      <c r="B27" s="321" t="s">
        <v>772</v>
      </c>
    </row>
    <row r="35" spans="2:2" x14ac:dyDescent="0.2">
      <c r="B35" s="321" t="s">
        <v>773</v>
      </c>
    </row>
    <row r="46" spans="2:2" ht="15" x14ac:dyDescent="0.25">
      <c r="B46" s="313" t="s">
        <v>774</v>
      </c>
    </row>
    <row r="47" spans="2:2" ht="15" x14ac:dyDescent="0.25">
      <c r="B47" s="313"/>
    </row>
    <row r="48" spans="2:2" ht="15" x14ac:dyDescent="0.25">
      <c r="B48" s="313"/>
    </row>
    <row r="49" spans="2:6" ht="15" x14ac:dyDescent="0.25">
      <c r="B49" s="313"/>
    </row>
    <row r="50" spans="2:6" ht="15" x14ac:dyDescent="0.25">
      <c r="B50" s="313"/>
    </row>
    <row r="51" spans="2:6" ht="15" x14ac:dyDescent="0.25">
      <c r="B51" s="313"/>
    </row>
    <row r="52" spans="2:6" ht="15" x14ac:dyDescent="0.25">
      <c r="B52" s="313"/>
    </row>
    <row r="53" spans="2:6" ht="15" x14ac:dyDescent="0.25">
      <c r="B53" s="313"/>
    </row>
    <row r="54" spans="2:6" x14ac:dyDescent="0.2">
      <c r="B54" s="474" t="s">
        <v>817</v>
      </c>
      <c r="C54" s="474"/>
      <c r="D54" s="474"/>
      <c r="E54" s="474"/>
      <c r="F54" s="474"/>
    </row>
    <row r="55" spans="2:6" x14ac:dyDescent="0.2">
      <c r="B55" s="475"/>
      <c r="C55" s="475"/>
      <c r="D55" s="475"/>
      <c r="E55" s="475"/>
    </row>
  </sheetData>
  <sheetProtection algorithmName="SHA-512" hashValue="eTpYkT2nrA4m64GlKXdIqUmWHpHJjrrCJz9voUPietfydpke8AWPhpo2TxDfzvNKcAqHoNeBcYOPzqlIK4IZAA==" saltValue="DOzayEeDmWRw8JCq+XXF7g==" spinCount="100000" sheet="1" objects="1" scenarios="1"/>
  <mergeCells count="2">
    <mergeCell ref="B54:F54"/>
    <mergeCell ref="B55:E55"/>
  </mergeCells>
  <hyperlinks>
    <hyperlink ref="B54" location="'LA Lookup results 2015-20'!A1" display="Return to sheet &quot;LA Lookup results 2015-20&quot;" xr:uid="{436A82AF-06F9-448F-93F1-166230B51C96}"/>
    <hyperlink ref="B54:F54" location="'PRP LA trend tool 2015-23'!F3" display="Return to sheet &quot;PRP LA trend tool 2015-22&quot;" xr:uid="{E065EC9B-DE38-484C-A2B9-9F8840B1CC7D}"/>
  </hyperlinks>
  <pageMargins left="0.70866141732283472" right="0.70866141732283472" top="0.74803149606299213" bottom="0.74803149606299213" header="0.31496062992125984" footer="0.31496062992125984"/>
  <pageSetup paperSize="9" scale="62" orientation="portrait" r:id="rId1"/>
  <headerFooter>
    <oddFooter>&amp;C&amp;1#&amp;"Calibri"&amp;12&amp;K0078D7OFFICIAL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36828-BBAA-404F-A617-5DDAC6C2B884}">
  <sheetPr codeName="Sheet2">
    <tabColor rgb="FFFFFF00"/>
  </sheetPr>
  <dimension ref="A1:AG322"/>
  <sheetViews>
    <sheetView zoomScale="80" zoomScaleNormal="80" workbookViewId="0">
      <selection sqref="A1:XFD1048576"/>
    </sheetView>
  </sheetViews>
  <sheetFormatPr defaultColWidth="9.140625" defaultRowHeight="12.75" x14ac:dyDescent="0.2"/>
  <cols>
    <col min="1" max="8" width="9.140625" style="145"/>
    <col min="9" max="10" width="10.42578125" style="145" customWidth="1"/>
    <col min="11" max="11" width="10.42578125" style="145" bestFit="1" customWidth="1"/>
    <col min="12" max="16384" width="9.140625" style="145"/>
  </cols>
  <sheetData>
    <row r="1" spans="1:33" s="144" customFormat="1" x14ac:dyDescent="0.2">
      <c r="A1" s="134"/>
      <c r="B1" s="134"/>
      <c r="C1" s="135" t="s">
        <v>38</v>
      </c>
      <c r="D1" s="135" t="s">
        <v>38</v>
      </c>
      <c r="E1" s="135" t="s">
        <v>38</v>
      </c>
      <c r="F1" s="135" t="s">
        <v>38</v>
      </c>
      <c r="G1" s="135" t="s">
        <v>38</v>
      </c>
      <c r="H1" s="135" t="s">
        <v>38</v>
      </c>
      <c r="I1" s="136" t="s">
        <v>39</v>
      </c>
      <c r="J1" s="136" t="s">
        <v>39</v>
      </c>
      <c r="K1" s="137" t="s">
        <v>40</v>
      </c>
      <c r="L1" s="137" t="s">
        <v>40</v>
      </c>
      <c r="M1" s="137" t="s">
        <v>40</v>
      </c>
      <c r="N1" s="138" t="s">
        <v>40</v>
      </c>
      <c r="O1" s="137" t="s">
        <v>40</v>
      </c>
      <c r="P1" s="139" t="s">
        <v>41</v>
      </c>
      <c r="Q1" s="139" t="s">
        <v>41</v>
      </c>
      <c r="R1" s="139" t="s">
        <v>41</v>
      </c>
      <c r="S1" s="139" t="s">
        <v>41</v>
      </c>
      <c r="T1" s="139" t="s">
        <v>41</v>
      </c>
      <c r="U1" s="140" t="s">
        <v>42</v>
      </c>
      <c r="V1" s="140" t="s">
        <v>42</v>
      </c>
      <c r="W1" s="141" t="s">
        <v>43</v>
      </c>
      <c r="X1" s="141" t="s">
        <v>43</v>
      </c>
      <c r="Y1" s="142" t="s">
        <v>44</v>
      </c>
      <c r="Z1" s="142" t="s">
        <v>44</v>
      </c>
      <c r="AA1" s="142" t="s">
        <v>44</v>
      </c>
      <c r="AB1" s="142" t="s">
        <v>44</v>
      </c>
      <c r="AC1" s="142" t="s">
        <v>44</v>
      </c>
      <c r="AD1" s="143" t="s">
        <v>45</v>
      </c>
      <c r="AE1" s="143" t="s">
        <v>45</v>
      </c>
      <c r="AF1" s="143" t="s">
        <v>45</v>
      </c>
      <c r="AG1" s="143" t="s">
        <v>45</v>
      </c>
    </row>
    <row r="2" spans="1:33" x14ac:dyDescent="0.2">
      <c r="B2" s="146">
        <v>1</v>
      </c>
      <c r="C2" s="146">
        <v>2</v>
      </c>
      <c r="D2" s="146">
        <v>3</v>
      </c>
      <c r="E2" s="146">
        <v>4</v>
      </c>
      <c r="F2" s="146">
        <v>5</v>
      </c>
      <c r="G2" s="146">
        <v>6</v>
      </c>
      <c r="H2" s="146">
        <v>7</v>
      </c>
      <c r="I2" s="146">
        <v>8</v>
      </c>
      <c r="J2" s="146">
        <v>9</v>
      </c>
      <c r="K2" s="146">
        <v>10</v>
      </c>
      <c r="L2" s="146">
        <v>11</v>
      </c>
      <c r="M2" s="146">
        <v>12</v>
      </c>
      <c r="N2" s="146">
        <v>13</v>
      </c>
      <c r="O2" s="146">
        <v>14</v>
      </c>
      <c r="P2" s="146">
        <v>15</v>
      </c>
      <c r="Q2" s="146">
        <v>16</v>
      </c>
      <c r="R2" s="146">
        <v>17</v>
      </c>
      <c r="S2" s="146">
        <v>18</v>
      </c>
      <c r="T2" s="146">
        <v>19</v>
      </c>
      <c r="U2" s="146">
        <v>20</v>
      </c>
      <c r="V2" s="146">
        <v>21</v>
      </c>
      <c r="W2" s="146">
        <v>22</v>
      </c>
      <c r="X2" s="146">
        <v>23</v>
      </c>
      <c r="Y2" s="146">
        <v>24</v>
      </c>
      <c r="Z2" s="146">
        <v>25</v>
      </c>
      <c r="AA2" s="146">
        <v>26</v>
      </c>
      <c r="AB2" s="146">
        <v>27</v>
      </c>
      <c r="AC2" s="146">
        <v>28</v>
      </c>
      <c r="AD2" s="146">
        <v>29</v>
      </c>
      <c r="AE2" s="146">
        <v>30</v>
      </c>
      <c r="AF2" s="146">
        <v>31</v>
      </c>
      <c r="AG2" s="146">
        <v>32</v>
      </c>
    </row>
    <row r="3" spans="1:33" ht="89.25" x14ac:dyDescent="0.2">
      <c r="A3" s="145" t="s">
        <v>46</v>
      </c>
      <c r="B3" s="145" t="s">
        <v>47</v>
      </c>
      <c r="C3" s="147" t="s">
        <v>48</v>
      </c>
      <c r="D3" s="147" t="s">
        <v>49</v>
      </c>
      <c r="E3" s="147" t="s">
        <v>50</v>
      </c>
      <c r="F3" s="147" t="s">
        <v>51</v>
      </c>
      <c r="G3" s="147" t="s">
        <v>52</v>
      </c>
      <c r="H3" s="147" t="s">
        <v>53</v>
      </c>
      <c r="I3" s="148" t="s">
        <v>54</v>
      </c>
      <c r="J3" s="148" t="s">
        <v>55</v>
      </c>
      <c r="K3" s="149" t="s">
        <v>56</v>
      </c>
      <c r="L3" s="149" t="s">
        <v>57</v>
      </c>
      <c r="M3" s="149" t="s">
        <v>58</v>
      </c>
      <c r="N3" s="150" t="s">
        <v>59</v>
      </c>
      <c r="O3" s="149" t="s">
        <v>60</v>
      </c>
      <c r="P3" s="151" t="s">
        <v>61</v>
      </c>
      <c r="Q3" s="151" t="s">
        <v>62</v>
      </c>
      <c r="R3" s="151" t="s">
        <v>58</v>
      </c>
      <c r="S3" s="151" t="s">
        <v>63</v>
      </c>
      <c r="T3" s="151" t="s">
        <v>64</v>
      </c>
      <c r="U3" s="152" t="s">
        <v>65</v>
      </c>
      <c r="V3" s="152" t="s">
        <v>66</v>
      </c>
      <c r="W3" s="153" t="s">
        <v>67</v>
      </c>
      <c r="X3" s="153" t="s">
        <v>68</v>
      </c>
      <c r="Y3" s="154" t="s">
        <v>69</v>
      </c>
      <c r="Z3" s="154" t="s">
        <v>70</v>
      </c>
      <c r="AA3" s="154" t="s">
        <v>71</v>
      </c>
      <c r="AB3" s="154" t="s">
        <v>72</v>
      </c>
      <c r="AC3" s="154" t="s">
        <v>73</v>
      </c>
      <c r="AD3" s="155" t="s">
        <v>74</v>
      </c>
      <c r="AE3" s="155" t="s">
        <v>75</v>
      </c>
      <c r="AF3" s="155" t="s">
        <v>76</v>
      </c>
      <c r="AG3" s="155" t="s">
        <v>77</v>
      </c>
    </row>
    <row r="4" spans="1:33" x14ac:dyDescent="0.2">
      <c r="A4" s="344" t="s">
        <v>13</v>
      </c>
      <c r="B4" s="344" t="s">
        <v>13</v>
      </c>
      <c r="C4" s="345">
        <v>2027038</v>
      </c>
      <c r="D4" s="345">
        <v>8596</v>
      </c>
      <c r="E4" s="345">
        <v>116082</v>
      </c>
      <c r="F4" s="345">
        <v>300267</v>
      </c>
      <c r="G4" s="345">
        <v>156784</v>
      </c>
      <c r="H4" s="346">
        <v>2608767</v>
      </c>
      <c r="I4" s="345">
        <v>2451983</v>
      </c>
      <c r="J4" s="345">
        <v>16474</v>
      </c>
      <c r="K4" s="347">
        <v>95.88</v>
      </c>
      <c r="L4" s="347">
        <v>96.85</v>
      </c>
      <c r="M4" s="347">
        <v>6.02</v>
      </c>
      <c r="N4" s="347">
        <v>99.33</v>
      </c>
      <c r="O4" s="348">
        <v>1824788</v>
      </c>
      <c r="P4" s="345">
        <v>87.71</v>
      </c>
      <c r="Q4" s="345">
        <v>85.34</v>
      </c>
      <c r="R4" s="345">
        <v>31.28</v>
      </c>
      <c r="S4" s="345">
        <v>115.98</v>
      </c>
      <c r="T4" s="345">
        <v>361210</v>
      </c>
      <c r="U4" s="345">
        <v>124.34</v>
      </c>
      <c r="V4" s="345">
        <v>117288</v>
      </c>
      <c r="W4" s="345">
        <v>146.38999999999999</v>
      </c>
      <c r="X4" s="345">
        <v>5976</v>
      </c>
      <c r="Y4" s="345">
        <v>4098</v>
      </c>
      <c r="Z4" s="345">
        <v>5162</v>
      </c>
      <c r="AA4" s="345">
        <v>2803</v>
      </c>
      <c r="AB4" s="345">
        <v>7734</v>
      </c>
      <c r="AC4" s="345">
        <v>4862</v>
      </c>
      <c r="AD4" s="349">
        <v>1967526</v>
      </c>
      <c r="AE4" s="345">
        <v>15068</v>
      </c>
      <c r="AF4" s="345">
        <v>12347</v>
      </c>
      <c r="AG4" s="345">
        <v>27415</v>
      </c>
    </row>
    <row r="5" spans="1:33" x14ac:dyDescent="0.2">
      <c r="A5" s="350" t="s">
        <v>78</v>
      </c>
      <c r="B5" s="350" t="s">
        <v>78</v>
      </c>
      <c r="C5" s="346">
        <v>103532</v>
      </c>
      <c r="D5" s="346">
        <v>202</v>
      </c>
      <c r="E5" s="346">
        <v>7470</v>
      </c>
      <c r="F5" s="346">
        <v>24836</v>
      </c>
      <c r="G5" s="346">
        <v>10684</v>
      </c>
      <c r="H5" s="346">
        <v>146724</v>
      </c>
      <c r="I5" s="345">
        <v>136040</v>
      </c>
      <c r="J5" s="345">
        <v>553</v>
      </c>
      <c r="K5" s="347">
        <v>87.91</v>
      </c>
      <c r="L5" s="347">
        <v>88.33</v>
      </c>
      <c r="M5" s="347">
        <v>4.51</v>
      </c>
      <c r="N5" s="347">
        <v>90.58</v>
      </c>
      <c r="O5" s="348">
        <v>95037</v>
      </c>
      <c r="P5" s="345">
        <v>83.9</v>
      </c>
      <c r="Q5" s="345">
        <v>80.900000000000006</v>
      </c>
      <c r="R5" s="345">
        <v>26.57</v>
      </c>
      <c r="S5" s="345">
        <v>106.95</v>
      </c>
      <c r="T5" s="345">
        <v>28863</v>
      </c>
      <c r="U5" s="345">
        <v>104.47</v>
      </c>
      <c r="V5" s="345">
        <v>4186</v>
      </c>
      <c r="W5" s="345">
        <v>131.38</v>
      </c>
      <c r="X5" s="345">
        <v>311</v>
      </c>
      <c r="Y5" s="345">
        <v>42</v>
      </c>
      <c r="Z5" s="345">
        <v>255</v>
      </c>
      <c r="AA5" s="345">
        <v>186</v>
      </c>
      <c r="AB5" s="345">
        <v>557</v>
      </c>
      <c r="AC5" s="345">
        <v>320</v>
      </c>
      <c r="AD5" s="349">
        <v>100833</v>
      </c>
      <c r="AE5" s="345">
        <v>781</v>
      </c>
      <c r="AF5" s="345">
        <v>560</v>
      </c>
      <c r="AG5" s="345">
        <v>1341</v>
      </c>
    </row>
    <row r="6" spans="1:33" x14ac:dyDescent="0.2">
      <c r="A6" s="350" t="s">
        <v>79</v>
      </c>
      <c r="B6" s="350" t="s">
        <v>79</v>
      </c>
      <c r="C6" s="346">
        <v>203432</v>
      </c>
      <c r="D6" s="346">
        <v>774</v>
      </c>
      <c r="E6" s="346">
        <v>12673</v>
      </c>
      <c r="F6" s="346">
        <v>30621</v>
      </c>
      <c r="G6" s="346">
        <v>17383</v>
      </c>
      <c r="H6" s="346">
        <v>264883</v>
      </c>
      <c r="I6" s="345">
        <v>247500</v>
      </c>
      <c r="J6" s="345">
        <v>642</v>
      </c>
      <c r="K6" s="347">
        <v>100.22</v>
      </c>
      <c r="L6" s="347">
        <v>101.02</v>
      </c>
      <c r="M6" s="347">
        <v>5.0599999999999996</v>
      </c>
      <c r="N6" s="347">
        <v>102.68</v>
      </c>
      <c r="O6" s="348">
        <v>185091</v>
      </c>
      <c r="P6" s="345">
        <v>88.69</v>
      </c>
      <c r="Q6" s="345">
        <v>86.74</v>
      </c>
      <c r="R6" s="345">
        <v>30.72</v>
      </c>
      <c r="S6" s="345">
        <v>116.37</v>
      </c>
      <c r="T6" s="345">
        <v>37112</v>
      </c>
      <c r="U6" s="345">
        <v>127.41</v>
      </c>
      <c r="V6" s="345">
        <v>12541</v>
      </c>
      <c r="W6" s="345">
        <v>173.76</v>
      </c>
      <c r="X6" s="345">
        <v>206</v>
      </c>
      <c r="Y6" s="345">
        <v>302</v>
      </c>
      <c r="Z6" s="345">
        <v>515</v>
      </c>
      <c r="AA6" s="345">
        <v>210</v>
      </c>
      <c r="AB6" s="345">
        <v>881</v>
      </c>
      <c r="AC6" s="345">
        <v>543</v>
      </c>
      <c r="AD6" s="349">
        <v>201484</v>
      </c>
      <c r="AE6" s="345">
        <v>1123</v>
      </c>
      <c r="AF6" s="345">
        <v>743</v>
      </c>
      <c r="AG6" s="345">
        <v>1866</v>
      </c>
    </row>
    <row r="7" spans="1:33" x14ac:dyDescent="0.2">
      <c r="A7" s="350" t="s">
        <v>80</v>
      </c>
      <c r="B7" s="350" t="s">
        <v>80</v>
      </c>
      <c r="C7" s="346">
        <v>337595</v>
      </c>
      <c r="D7" s="346">
        <v>3908</v>
      </c>
      <c r="E7" s="346">
        <v>28004</v>
      </c>
      <c r="F7" s="346">
        <v>28168</v>
      </c>
      <c r="G7" s="346">
        <v>42965</v>
      </c>
      <c r="H7" s="346">
        <v>440640</v>
      </c>
      <c r="I7" s="345">
        <v>397675</v>
      </c>
      <c r="J7" s="345">
        <v>7269</v>
      </c>
      <c r="K7" s="347">
        <v>121.37</v>
      </c>
      <c r="L7" s="347">
        <v>125.74</v>
      </c>
      <c r="M7" s="347">
        <v>10.33</v>
      </c>
      <c r="N7" s="347">
        <v>128.47999999999999</v>
      </c>
      <c r="O7" s="348">
        <v>292516</v>
      </c>
      <c r="P7" s="345">
        <v>109.81</v>
      </c>
      <c r="Q7" s="345">
        <v>109.53</v>
      </c>
      <c r="R7" s="345">
        <v>44.22</v>
      </c>
      <c r="S7" s="345">
        <v>151.03</v>
      </c>
      <c r="T7" s="345">
        <v>44560</v>
      </c>
      <c r="U7" s="345">
        <v>176.79</v>
      </c>
      <c r="V7" s="345">
        <v>16454</v>
      </c>
      <c r="W7" s="345">
        <v>198.29</v>
      </c>
      <c r="X7" s="345">
        <v>582</v>
      </c>
      <c r="Y7" s="345">
        <v>432</v>
      </c>
      <c r="Z7" s="345">
        <v>622</v>
      </c>
      <c r="AA7" s="345">
        <v>367</v>
      </c>
      <c r="AB7" s="345">
        <v>2729</v>
      </c>
      <c r="AC7" s="345">
        <v>1842</v>
      </c>
      <c r="AD7" s="349">
        <v>317692</v>
      </c>
      <c r="AE7" s="345">
        <v>1699</v>
      </c>
      <c r="AF7" s="345">
        <v>2347</v>
      </c>
      <c r="AG7" s="345">
        <v>4046</v>
      </c>
    </row>
    <row r="8" spans="1:33" x14ac:dyDescent="0.2">
      <c r="A8" s="350" t="s">
        <v>81</v>
      </c>
      <c r="B8" s="350" t="s">
        <v>81</v>
      </c>
      <c r="C8" s="346">
        <v>133500</v>
      </c>
      <c r="D8" s="346">
        <v>516</v>
      </c>
      <c r="E8" s="346">
        <v>6113</v>
      </c>
      <c r="F8" s="346">
        <v>20069</v>
      </c>
      <c r="G8" s="346">
        <v>3278</v>
      </c>
      <c r="H8" s="346">
        <v>163476</v>
      </c>
      <c r="I8" s="345">
        <v>160198</v>
      </c>
      <c r="J8" s="345">
        <v>1143</v>
      </c>
      <c r="K8" s="347">
        <v>80.45</v>
      </c>
      <c r="L8" s="347">
        <v>79.09</v>
      </c>
      <c r="M8" s="347">
        <v>6.11</v>
      </c>
      <c r="N8" s="347">
        <v>82.84</v>
      </c>
      <c r="O8" s="348">
        <v>122573</v>
      </c>
      <c r="P8" s="345">
        <v>79.900000000000006</v>
      </c>
      <c r="Q8" s="345">
        <v>73.63</v>
      </c>
      <c r="R8" s="345">
        <v>34.08</v>
      </c>
      <c r="S8" s="345">
        <v>106.51</v>
      </c>
      <c r="T8" s="345">
        <v>24130</v>
      </c>
      <c r="U8" s="345">
        <v>95.31</v>
      </c>
      <c r="V8" s="345">
        <v>8324</v>
      </c>
      <c r="W8" s="345">
        <v>124.71</v>
      </c>
      <c r="X8" s="345">
        <v>946</v>
      </c>
      <c r="Y8" s="345">
        <v>12</v>
      </c>
      <c r="Z8" s="345">
        <v>391</v>
      </c>
      <c r="AA8" s="345">
        <v>174</v>
      </c>
      <c r="AB8" s="345">
        <v>119</v>
      </c>
      <c r="AC8" s="345">
        <v>63</v>
      </c>
      <c r="AD8" s="349">
        <v>130902</v>
      </c>
      <c r="AE8" s="345">
        <v>1959</v>
      </c>
      <c r="AF8" s="345">
        <v>1185</v>
      </c>
      <c r="AG8" s="345">
        <v>3144</v>
      </c>
    </row>
    <row r="9" spans="1:33" x14ac:dyDescent="0.2">
      <c r="A9" s="350" t="s">
        <v>82</v>
      </c>
      <c r="B9" s="350" t="s">
        <v>82</v>
      </c>
      <c r="C9" s="346">
        <v>421015</v>
      </c>
      <c r="D9" s="346">
        <v>262</v>
      </c>
      <c r="E9" s="346">
        <v>18367</v>
      </c>
      <c r="F9" s="346">
        <v>60515</v>
      </c>
      <c r="G9" s="346">
        <v>12546</v>
      </c>
      <c r="H9" s="346">
        <v>512705</v>
      </c>
      <c r="I9" s="345">
        <v>500159</v>
      </c>
      <c r="J9" s="345">
        <v>3823</v>
      </c>
      <c r="K9" s="347">
        <v>83.13</v>
      </c>
      <c r="L9" s="347">
        <v>83.73</v>
      </c>
      <c r="M9" s="347">
        <v>4.63</v>
      </c>
      <c r="N9" s="347">
        <v>85.4</v>
      </c>
      <c r="O9" s="348">
        <v>383526</v>
      </c>
      <c r="P9" s="345">
        <v>80.430000000000007</v>
      </c>
      <c r="Q9" s="345">
        <v>77.290000000000006</v>
      </c>
      <c r="R9" s="345">
        <v>27.83</v>
      </c>
      <c r="S9" s="345">
        <v>105.06</v>
      </c>
      <c r="T9" s="345">
        <v>72495</v>
      </c>
      <c r="U9" s="345">
        <v>103.75</v>
      </c>
      <c r="V9" s="345">
        <v>25832</v>
      </c>
      <c r="W9" s="345">
        <v>133.34</v>
      </c>
      <c r="X9" s="345">
        <v>704</v>
      </c>
      <c r="Y9" s="345">
        <v>530</v>
      </c>
      <c r="Z9" s="345">
        <v>1561</v>
      </c>
      <c r="AA9" s="345">
        <v>535</v>
      </c>
      <c r="AB9" s="345">
        <v>478</v>
      </c>
      <c r="AC9" s="345">
        <v>210</v>
      </c>
      <c r="AD9" s="349">
        <v>410100</v>
      </c>
      <c r="AE9" s="345">
        <v>3458</v>
      </c>
      <c r="AF9" s="345">
        <v>3313</v>
      </c>
      <c r="AG9" s="345">
        <v>6771</v>
      </c>
    </row>
    <row r="10" spans="1:33" x14ac:dyDescent="0.2">
      <c r="A10" s="350" t="s">
        <v>83</v>
      </c>
      <c r="B10" s="350" t="s">
        <v>83</v>
      </c>
      <c r="C10" s="346">
        <v>277126</v>
      </c>
      <c r="D10" s="346">
        <v>1802</v>
      </c>
      <c r="E10" s="346">
        <v>14787</v>
      </c>
      <c r="F10" s="346">
        <v>41007</v>
      </c>
      <c r="G10" s="346">
        <v>34664</v>
      </c>
      <c r="H10" s="346">
        <v>369386</v>
      </c>
      <c r="I10" s="345">
        <v>334722</v>
      </c>
      <c r="J10" s="345">
        <v>1370</v>
      </c>
      <c r="K10" s="347">
        <v>108.64</v>
      </c>
      <c r="L10" s="347">
        <v>109.06</v>
      </c>
      <c r="M10" s="347">
        <v>5.15</v>
      </c>
      <c r="N10" s="347">
        <v>111.92</v>
      </c>
      <c r="O10" s="348">
        <v>245434</v>
      </c>
      <c r="P10" s="345">
        <v>93.09</v>
      </c>
      <c r="Q10" s="345">
        <v>91.58</v>
      </c>
      <c r="R10" s="345">
        <v>29.66</v>
      </c>
      <c r="S10" s="345">
        <v>120.78</v>
      </c>
      <c r="T10" s="345">
        <v>46375</v>
      </c>
      <c r="U10" s="345">
        <v>144.28</v>
      </c>
      <c r="V10" s="345">
        <v>19467</v>
      </c>
      <c r="W10" s="345">
        <v>162.1</v>
      </c>
      <c r="X10" s="345">
        <v>1034</v>
      </c>
      <c r="Y10" s="345">
        <v>1220</v>
      </c>
      <c r="Z10" s="345">
        <v>404</v>
      </c>
      <c r="AA10" s="345">
        <v>243</v>
      </c>
      <c r="AB10" s="345">
        <v>1578</v>
      </c>
      <c r="AC10" s="345">
        <v>1040</v>
      </c>
      <c r="AD10" s="349">
        <v>270526</v>
      </c>
      <c r="AE10" s="345">
        <v>1390</v>
      </c>
      <c r="AF10" s="345">
        <v>1086</v>
      </c>
      <c r="AG10" s="345">
        <v>2476</v>
      </c>
    </row>
    <row r="11" spans="1:33" x14ac:dyDescent="0.2">
      <c r="A11" s="350" t="s">
        <v>84</v>
      </c>
      <c r="B11" s="350" t="s">
        <v>84</v>
      </c>
      <c r="C11" s="346">
        <v>184140</v>
      </c>
      <c r="D11" s="346">
        <v>366</v>
      </c>
      <c r="E11" s="346">
        <v>9873</v>
      </c>
      <c r="F11" s="346">
        <v>35369</v>
      </c>
      <c r="G11" s="346">
        <v>15193</v>
      </c>
      <c r="H11" s="346">
        <v>244941</v>
      </c>
      <c r="I11" s="345">
        <v>229748</v>
      </c>
      <c r="J11" s="345">
        <v>978</v>
      </c>
      <c r="K11" s="347">
        <v>92.7</v>
      </c>
      <c r="L11" s="347">
        <v>92.25</v>
      </c>
      <c r="M11" s="347">
        <v>4.3600000000000003</v>
      </c>
      <c r="N11" s="347">
        <v>95.29</v>
      </c>
      <c r="O11" s="348">
        <v>163918</v>
      </c>
      <c r="P11" s="345">
        <v>84.4</v>
      </c>
      <c r="Q11" s="345">
        <v>82.27</v>
      </c>
      <c r="R11" s="345">
        <v>25.72</v>
      </c>
      <c r="S11" s="345">
        <v>108.76</v>
      </c>
      <c r="T11" s="345">
        <v>40073</v>
      </c>
      <c r="U11" s="345">
        <v>120.22</v>
      </c>
      <c r="V11" s="345">
        <v>11611</v>
      </c>
      <c r="W11" s="345">
        <v>142.26</v>
      </c>
      <c r="X11" s="345">
        <v>433</v>
      </c>
      <c r="Y11" s="345">
        <v>712</v>
      </c>
      <c r="Z11" s="345">
        <v>465</v>
      </c>
      <c r="AA11" s="345">
        <v>321</v>
      </c>
      <c r="AB11" s="345">
        <v>700</v>
      </c>
      <c r="AC11" s="345">
        <v>336</v>
      </c>
      <c r="AD11" s="349">
        <v>176364</v>
      </c>
      <c r="AE11" s="345">
        <v>1105</v>
      </c>
      <c r="AF11" s="345">
        <v>770</v>
      </c>
      <c r="AG11" s="345">
        <v>1875</v>
      </c>
    </row>
    <row r="12" spans="1:33" x14ac:dyDescent="0.2">
      <c r="A12" s="350" t="s">
        <v>85</v>
      </c>
      <c r="B12" s="350" t="s">
        <v>85</v>
      </c>
      <c r="C12" s="346">
        <v>208332</v>
      </c>
      <c r="D12" s="346">
        <v>380</v>
      </c>
      <c r="E12" s="346">
        <v>10941</v>
      </c>
      <c r="F12" s="346">
        <v>33405</v>
      </c>
      <c r="G12" s="346">
        <v>13918</v>
      </c>
      <c r="H12" s="346">
        <v>266976</v>
      </c>
      <c r="I12" s="345">
        <v>253058</v>
      </c>
      <c r="J12" s="345">
        <v>354</v>
      </c>
      <c r="K12" s="347">
        <v>89.27</v>
      </c>
      <c r="L12" s="347">
        <v>89.52</v>
      </c>
      <c r="M12" s="347">
        <v>5.34</v>
      </c>
      <c r="N12" s="347">
        <v>92.81</v>
      </c>
      <c r="O12" s="348">
        <v>189788</v>
      </c>
      <c r="P12" s="345">
        <v>84.86</v>
      </c>
      <c r="Q12" s="345">
        <v>83.24</v>
      </c>
      <c r="R12" s="345">
        <v>34.770000000000003</v>
      </c>
      <c r="S12" s="345">
        <v>116.2</v>
      </c>
      <c r="T12" s="345">
        <v>37668</v>
      </c>
      <c r="U12" s="345">
        <v>107.52</v>
      </c>
      <c r="V12" s="345">
        <v>10861</v>
      </c>
      <c r="W12" s="345">
        <v>150.26</v>
      </c>
      <c r="X12" s="345">
        <v>970</v>
      </c>
      <c r="Y12" s="345">
        <v>537</v>
      </c>
      <c r="Z12" s="345">
        <v>550</v>
      </c>
      <c r="AA12" s="345">
        <v>400</v>
      </c>
      <c r="AB12" s="345">
        <v>533</v>
      </c>
      <c r="AC12" s="345">
        <v>367</v>
      </c>
      <c r="AD12" s="349">
        <v>202879</v>
      </c>
      <c r="AE12" s="345">
        <v>1401</v>
      </c>
      <c r="AF12" s="345">
        <v>889</v>
      </c>
      <c r="AG12" s="345">
        <v>2290</v>
      </c>
    </row>
    <row r="13" spans="1:33" x14ac:dyDescent="0.2">
      <c r="A13" s="350" t="s">
        <v>788</v>
      </c>
      <c r="B13" s="350" t="s">
        <v>788</v>
      </c>
      <c r="C13" s="346">
        <v>158366</v>
      </c>
      <c r="D13" s="346">
        <v>386</v>
      </c>
      <c r="E13" s="346">
        <v>7854</v>
      </c>
      <c r="F13" s="346">
        <v>26277</v>
      </c>
      <c r="G13" s="346">
        <v>6153</v>
      </c>
      <c r="H13" s="346">
        <v>199036</v>
      </c>
      <c r="I13" s="345">
        <v>192883</v>
      </c>
      <c r="J13" s="345">
        <v>342</v>
      </c>
      <c r="K13" s="347">
        <v>81.790000000000006</v>
      </c>
      <c r="L13" s="347">
        <v>83.56</v>
      </c>
      <c r="M13" s="347">
        <v>5.26</v>
      </c>
      <c r="N13" s="347">
        <v>84.68</v>
      </c>
      <c r="O13" s="348">
        <v>146905</v>
      </c>
      <c r="P13" s="345">
        <v>80.91</v>
      </c>
      <c r="Q13" s="345">
        <v>77.010000000000005</v>
      </c>
      <c r="R13" s="345">
        <v>28.8</v>
      </c>
      <c r="S13" s="345">
        <v>108.09</v>
      </c>
      <c r="T13" s="345">
        <v>29934</v>
      </c>
      <c r="U13" s="345">
        <v>99.11</v>
      </c>
      <c r="V13" s="345">
        <v>8012</v>
      </c>
      <c r="W13" s="345">
        <v>121.45</v>
      </c>
      <c r="X13" s="345">
        <v>790</v>
      </c>
      <c r="Y13" s="345">
        <v>311</v>
      </c>
      <c r="Z13" s="345">
        <v>399</v>
      </c>
      <c r="AA13" s="345">
        <v>367</v>
      </c>
      <c r="AB13" s="345">
        <v>159</v>
      </c>
      <c r="AC13" s="345">
        <v>141</v>
      </c>
      <c r="AD13" s="349">
        <v>156746</v>
      </c>
      <c r="AE13" s="345">
        <v>2152</v>
      </c>
      <c r="AF13" s="345">
        <v>1454</v>
      </c>
      <c r="AG13" s="345">
        <v>3606</v>
      </c>
    </row>
    <row r="14" spans="1:33" x14ac:dyDescent="0.2">
      <c r="A14" s="344" t="s">
        <v>86</v>
      </c>
      <c r="B14" s="350" t="s">
        <v>87</v>
      </c>
      <c r="C14" s="346">
        <v>810</v>
      </c>
      <c r="D14" s="346">
        <v>0</v>
      </c>
      <c r="E14" s="346">
        <v>49</v>
      </c>
      <c r="F14" s="346">
        <v>137</v>
      </c>
      <c r="G14" s="346">
        <v>134</v>
      </c>
      <c r="H14" s="346">
        <v>1130</v>
      </c>
      <c r="I14" s="345">
        <v>996</v>
      </c>
      <c r="J14" s="345">
        <v>0</v>
      </c>
      <c r="K14" s="347">
        <v>112.71</v>
      </c>
      <c r="L14" s="347">
        <v>111.46</v>
      </c>
      <c r="M14" s="347">
        <v>4.49</v>
      </c>
      <c r="N14" s="347">
        <v>116.12</v>
      </c>
      <c r="O14" s="348">
        <v>732</v>
      </c>
      <c r="P14" s="345">
        <v>81.540000000000006</v>
      </c>
      <c r="Q14" s="345">
        <v>82.23</v>
      </c>
      <c r="R14" s="345">
        <v>26.07</v>
      </c>
      <c r="S14" s="345">
        <v>107.61</v>
      </c>
      <c r="T14" s="345">
        <v>165</v>
      </c>
      <c r="U14" s="345">
        <v>142.38</v>
      </c>
      <c r="V14" s="345">
        <v>50</v>
      </c>
      <c r="W14" s="345">
        <v>128.79</v>
      </c>
      <c r="X14" s="345">
        <v>13</v>
      </c>
      <c r="Y14" s="345">
        <v>0</v>
      </c>
      <c r="Z14" s="345">
        <v>0</v>
      </c>
      <c r="AA14" s="345">
        <v>0</v>
      </c>
      <c r="AB14" s="345">
        <v>0</v>
      </c>
      <c r="AC14" s="345">
        <v>6</v>
      </c>
      <c r="AD14" s="349">
        <v>789</v>
      </c>
      <c r="AE14" s="349">
        <v>2</v>
      </c>
      <c r="AF14" s="349">
        <v>1</v>
      </c>
      <c r="AG14" s="349">
        <v>3</v>
      </c>
    </row>
    <row r="15" spans="1:33" x14ac:dyDescent="0.2">
      <c r="A15" s="344" t="s">
        <v>88</v>
      </c>
      <c r="B15" s="350" t="s">
        <v>89</v>
      </c>
      <c r="C15" s="346">
        <v>8058</v>
      </c>
      <c r="D15" s="346">
        <v>30</v>
      </c>
      <c r="E15" s="346">
        <v>161</v>
      </c>
      <c r="F15" s="346">
        <v>353</v>
      </c>
      <c r="G15" s="346">
        <v>99</v>
      </c>
      <c r="H15" s="346">
        <v>8701</v>
      </c>
      <c r="I15" s="345">
        <v>8602</v>
      </c>
      <c r="J15" s="345">
        <v>7</v>
      </c>
      <c r="K15" s="347">
        <v>84.4</v>
      </c>
      <c r="L15" s="347">
        <v>84.02</v>
      </c>
      <c r="M15" s="347">
        <v>2.36</v>
      </c>
      <c r="N15" s="347">
        <v>86.13</v>
      </c>
      <c r="O15" s="348">
        <v>7314</v>
      </c>
      <c r="P15" s="345">
        <v>77.510000000000005</v>
      </c>
      <c r="Q15" s="345">
        <v>75.39</v>
      </c>
      <c r="R15" s="345">
        <v>28.1</v>
      </c>
      <c r="S15" s="345">
        <v>104.88</v>
      </c>
      <c r="T15" s="345">
        <v>506</v>
      </c>
      <c r="U15" s="345">
        <v>103.16</v>
      </c>
      <c r="V15" s="345">
        <v>236</v>
      </c>
      <c r="W15" s="345">
        <v>0</v>
      </c>
      <c r="X15" s="345">
        <v>0</v>
      </c>
      <c r="Y15" s="345">
        <v>0</v>
      </c>
      <c r="Z15" s="345">
        <v>12</v>
      </c>
      <c r="AA15" s="345">
        <v>6</v>
      </c>
      <c r="AB15" s="345">
        <v>0</v>
      </c>
      <c r="AC15" s="345">
        <v>0</v>
      </c>
      <c r="AD15" s="349">
        <v>7444</v>
      </c>
      <c r="AE15" s="349">
        <v>119</v>
      </c>
      <c r="AF15" s="349">
        <v>59</v>
      </c>
      <c r="AG15" s="349">
        <v>178</v>
      </c>
    </row>
    <row r="16" spans="1:33" x14ac:dyDescent="0.2">
      <c r="A16" s="344" t="s">
        <v>90</v>
      </c>
      <c r="B16" s="350" t="s">
        <v>91</v>
      </c>
      <c r="C16" s="346">
        <v>4461</v>
      </c>
      <c r="D16" s="346">
        <v>0</v>
      </c>
      <c r="E16" s="346">
        <v>145</v>
      </c>
      <c r="F16" s="346">
        <v>2427</v>
      </c>
      <c r="G16" s="346">
        <v>113</v>
      </c>
      <c r="H16" s="346">
        <v>7146</v>
      </c>
      <c r="I16" s="345">
        <v>7033</v>
      </c>
      <c r="J16" s="345">
        <v>0</v>
      </c>
      <c r="K16" s="347">
        <v>90.9</v>
      </c>
      <c r="L16" s="347">
        <v>92.19</v>
      </c>
      <c r="M16" s="347">
        <v>2.34</v>
      </c>
      <c r="N16" s="347">
        <v>93.01</v>
      </c>
      <c r="O16" s="348">
        <v>4432</v>
      </c>
      <c r="P16" s="345">
        <v>83.05</v>
      </c>
      <c r="Q16" s="345">
        <v>85.45</v>
      </c>
      <c r="R16" s="345">
        <v>7.47</v>
      </c>
      <c r="S16" s="345">
        <v>90.47</v>
      </c>
      <c r="T16" s="345">
        <v>2540</v>
      </c>
      <c r="U16" s="345">
        <v>96.57</v>
      </c>
      <c r="V16" s="345">
        <v>13</v>
      </c>
      <c r="W16" s="345">
        <v>0</v>
      </c>
      <c r="X16" s="345">
        <v>0</v>
      </c>
      <c r="Y16" s="345">
        <v>0</v>
      </c>
      <c r="Z16" s="345">
        <v>21</v>
      </c>
      <c r="AA16" s="345">
        <v>9</v>
      </c>
      <c r="AB16" s="345">
        <v>3</v>
      </c>
      <c r="AC16" s="345">
        <v>1</v>
      </c>
      <c r="AD16" s="349">
        <v>4453</v>
      </c>
      <c r="AE16" s="349">
        <v>33</v>
      </c>
      <c r="AF16" s="349">
        <v>21</v>
      </c>
      <c r="AG16" s="349">
        <v>54</v>
      </c>
    </row>
    <row r="17" spans="1:33" x14ac:dyDescent="0.2">
      <c r="A17" s="344" t="s">
        <v>92</v>
      </c>
      <c r="B17" s="350" t="s">
        <v>93</v>
      </c>
      <c r="C17" s="346">
        <v>2629</v>
      </c>
      <c r="D17" s="346">
        <v>67</v>
      </c>
      <c r="E17" s="346">
        <v>169</v>
      </c>
      <c r="F17" s="346">
        <v>373</v>
      </c>
      <c r="G17" s="346">
        <v>468</v>
      </c>
      <c r="H17" s="346">
        <v>3706</v>
      </c>
      <c r="I17" s="345">
        <v>3238</v>
      </c>
      <c r="J17" s="345">
        <v>3</v>
      </c>
      <c r="K17" s="347">
        <v>109.5</v>
      </c>
      <c r="L17" s="347">
        <v>108.76</v>
      </c>
      <c r="M17" s="347">
        <v>4.5</v>
      </c>
      <c r="N17" s="347">
        <v>113.21</v>
      </c>
      <c r="O17" s="348">
        <v>2209</v>
      </c>
      <c r="P17" s="345">
        <v>87.81</v>
      </c>
      <c r="Q17" s="345">
        <v>84.21</v>
      </c>
      <c r="R17" s="345">
        <v>34.869999999999997</v>
      </c>
      <c r="S17" s="345">
        <v>120.13</v>
      </c>
      <c r="T17" s="345">
        <v>422</v>
      </c>
      <c r="U17" s="345">
        <v>155.74</v>
      </c>
      <c r="V17" s="345">
        <v>369</v>
      </c>
      <c r="W17" s="345">
        <v>0</v>
      </c>
      <c r="X17" s="345">
        <v>0</v>
      </c>
      <c r="Y17" s="345">
        <v>0</v>
      </c>
      <c r="Z17" s="345">
        <v>0</v>
      </c>
      <c r="AA17" s="345">
        <v>2</v>
      </c>
      <c r="AB17" s="345">
        <v>12</v>
      </c>
      <c r="AC17" s="345">
        <v>10</v>
      </c>
      <c r="AD17" s="349">
        <v>2622</v>
      </c>
      <c r="AE17" s="349">
        <v>9</v>
      </c>
      <c r="AF17" s="349">
        <v>12</v>
      </c>
      <c r="AG17" s="349">
        <v>21</v>
      </c>
    </row>
    <row r="18" spans="1:33" x14ac:dyDescent="0.2">
      <c r="A18" s="344" t="s">
        <v>94</v>
      </c>
      <c r="B18" s="350" t="s">
        <v>95</v>
      </c>
      <c r="C18" s="346">
        <v>1472</v>
      </c>
      <c r="D18" s="346">
        <v>0</v>
      </c>
      <c r="E18" s="346">
        <v>140</v>
      </c>
      <c r="F18" s="346">
        <v>288</v>
      </c>
      <c r="G18" s="346">
        <v>174</v>
      </c>
      <c r="H18" s="346">
        <v>2074</v>
      </c>
      <c r="I18" s="345">
        <v>1900</v>
      </c>
      <c r="J18" s="345">
        <v>0</v>
      </c>
      <c r="K18" s="347">
        <v>86.18</v>
      </c>
      <c r="L18" s="347">
        <v>84.71</v>
      </c>
      <c r="M18" s="347">
        <v>4.7</v>
      </c>
      <c r="N18" s="347">
        <v>88.5</v>
      </c>
      <c r="O18" s="348">
        <v>1364</v>
      </c>
      <c r="P18" s="345">
        <v>89.27</v>
      </c>
      <c r="Q18" s="345">
        <v>83.83</v>
      </c>
      <c r="R18" s="345">
        <v>33.58</v>
      </c>
      <c r="S18" s="345">
        <v>121.02</v>
      </c>
      <c r="T18" s="345">
        <v>385</v>
      </c>
      <c r="U18" s="345">
        <v>100.15</v>
      </c>
      <c r="V18" s="345">
        <v>38</v>
      </c>
      <c r="W18" s="345">
        <v>0</v>
      </c>
      <c r="X18" s="345">
        <v>0</v>
      </c>
      <c r="Y18" s="345">
        <v>0</v>
      </c>
      <c r="Z18" s="345">
        <v>1</v>
      </c>
      <c r="AA18" s="345">
        <v>1</v>
      </c>
      <c r="AB18" s="345">
        <v>9</v>
      </c>
      <c r="AC18" s="345">
        <v>6</v>
      </c>
      <c r="AD18" s="349">
        <v>1472</v>
      </c>
      <c r="AE18" s="349">
        <v>4</v>
      </c>
      <c r="AF18" s="349">
        <v>7</v>
      </c>
      <c r="AG18" s="349">
        <v>11</v>
      </c>
    </row>
    <row r="19" spans="1:33" x14ac:dyDescent="0.2">
      <c r="A19" s="344" t="s">
        <v>96</v>
      </c>
      <c r="B19" s="350" t="s">
        <v>97</v>
      </c>
      <c r="C19" s="346">
        <v>2059</v>
      </c>
      <c r="D19" s="346">
        <v>0</v>
      </c>
      <c r="E19" s="346">
        <v>97</v>
      </c>
      <c r="F19" s="346">
        <v>91</v>
      </c>
      <c r="G19" s="346">
        <v>603</v>
      </c>
      <c r="H19" s="346">
        <v>2850</v>
      </c>
      <c r="I19" s="345">
        <v>2247</v>
      </c>
      <c r="J19" s="345">
        <v>0</v>
      </c>
      <c r="K19" s="347">
        <v>101.1</v>
      </c>
      <c r="L19" s="347">
        <v>100</v>
      </c>
      <c r="M19" s="347">
        <v>5.4</v>
      </c>
      <c r="N19" s="347">
        <v>105.42</v>
      </c>
      <c r="O19" s="348">
        <v>1778</v>
      </c>
      <c r="P19" s="345">
        <v>85.77</v>
      </c>
      <c r="Q19" s="345">
        <v>84.58</v>
      </c>
      <c r="R19" s="345">
        <v>38.78</v>
      </c>
      <c r="S19" s="345">
        <v>123.3</v>
      </c>
      <c r="T19" s="345">
        <v>187</v>
      </c>
      <c r="U19" s="345">
        <v>125.5</v>
      </c>
      <c r="V19" s="345">
        <v>183</v>
      </c>
      <c r="W19" s="345">
        <v>0</v>
      </c>
      <c r="X19" s="345">
        <v>0</v>
      </c>
      <c r="Y19" s="345">
        <v>0</v>
      </c>
      <c r="Z19" s="345">
        <v>0</v>
      </c>
      <c r="AA19" s="345">
        <v>0</v>
      </c>
      <c r="AB19" s="345">
        <v>11</v>
      </c>
      <c r="AC19" s="345">
        <v>10</v>
      </c>
      <c r="AD19" s="349">
        <v>1997</v>
      </c>
      <c r="AE19" s="349">
        <v>13</v>
      </c>
      <c r="AF19" s="349">
        <v>0</v>
      </c>
      <c r="AG19" s="349">
        <v>13</v>
      </c>
    </row>
    <row r="20" spans="1:33" x14ac:dyDescent="0.2">
      <c r="A20" s="344" t="s">
        <v>98</v>
      </c>
      <c r="B20" s="350" t="s">
        <v>99</v>
      </c>
      <c r="C20" s="346">
        <v>1645</v>
      </c>
      <c r="D20" s="346">
        <v>0</v>
      </c>
      <c r="E20" s="346">
        <v>133</v>
      </c>
      <c r="F20" s="346">
        <v>125</v>
      </c>
      <c r="G20" s="346">
        <v>155</v>
      </c>
      <c r="H20" s="346">
        <v>2058</v>
      </c>
      <c r="I20" s="345">
        <v>1903</v>
      </c>
      <c r="J20" s="345">
        <v>17</v>
      </c>
      <c r="K20" s="347">
        <v>93.38</v>
      </c>
      <c r="L20" s="347">
        <v>92.74</v>
      </c>
      <c r="M20" s="347">
        <v>3.59</v>
      </c>
      <c r="N20" s="347">
        <v>95.18</v>
      </c>
      <c r="O20" s="348">
        <v>1341</v>
      </c>
      <c r="P20" s="345">
        <v>100.74</v>
      </c>
      <c r="Q20" s="345">
        <v>89.64</v>
      </c>
      <c r="R20" s="345">
        <v>44.54</v>
      </c>
      <c r="S20" s="345">
        <v>142.15</v>
      </c>
      <c r="T20" s="345">
        <v>199</v>
      </c>
      <c r="U20" s="345">
        <v>115.96</v>
      </c>
      <c r="V20" s="345">
        <v>252</v>
      </c>
      <c r="W20" s="345">
        <v>108.62</v>
      </c>
      <c r="X20" s="345">
        <v>2</v>
      </c>
      <c r="Y20" s="345">
        <v>0</v>
      </c>
      <c r="Z20" s="345">
        <v>0</v>
      </c>
      <c r="AA20" s="345">
        <v>5</v>
      </c>
      <c r="AB20" s="345">
        <v>9</v>
      </c>
      <c r="AC20" s="345">
        <v>0</v>
      </c>
      <c r="AD20" s="349">
        <v>1638</v>
      </c>
      <c r="AE20" s="349">
        <v>13</v>
      </c>
      <c r="AF20" s="349">
        <v>7</v>
      </c>
      <c r="AG20" s="349">
        <v>20</v>
      </c>
    </row>
    <row r="21" spans="1:33" x14ac:dyDescent="0.2">
      <c r="A21" s="344" t="s">
        <v>100</v>
      </c>
      <c r="B21" s="350" t="s">
        <v>101</v>
      </c>
      <c r="C21" s="346">
        <v>3467</v>
      </c>
      <c r="D21" s="346">
        <v>5</v>
      </c>
      <c r="E21" s="346">
        <v>494</v>
      </c>
      <c r="F21" s="346">
        <v>464</v>
      </c>
      <c r="G21" s="346">
        <v>801</v>
      </c>
      <c r="H21" s="346">
        <v>5231</v>
      </c>
      <c r="I21" s="345">
        <v>4430</v>
      </c>
      <c r="J21" s="345">
        <v>19</v>
      </c>
      <c r="K21" s="347">
        <v>127.02</v>
      </c>
      <c r="L21" s="347">
        <v>115.73</v>
      </c>
      <c r="M21" s="347">
        <v>4.18</v>
      </c>
      <c r="N21" s="347">
        <v>129.63999999999999</v>
      </c>
      <c r="O21" s="348">
        <v>2754</v>
      </c>
      <c r="P21" s="345">
        <v>102.08</v>
      </c>
      <c r="Q21" s="345">
        <v>99.4</v>
      </c>
      <c r="R21" s="345">
        <v>54.04</v>
      </c>
      <c r="S21" s="345">
        <v>150.09</v>
      </c>
      <c r="T21" s="345">
        <v>806</v>
      </c>
      <c r="U21" s="345">
        <v>166.51</v>
      </c>
      <c r="V21" s="345">
        <v>379</v>
      </c>
      <c r="W21" s="345">
        <v>0</v>
      </c>
      <c r="X21" s="345">
        <v>0</v>
      </c>
      <c r="Y21" s="345">
        <v>0</v>
      </c>
      <c r="Z21" s="345">
        <v>3</v>
      </c>
      <c r="AA21" s="345">
        <v>1</v>
      </c>
      <c r="AB21" s="345">
        <v>13</v>
      </c>
      <c r="AC21" s="345">
        <v>12</v>
      </c>
      <c r="AD21" s="349">
        <v>3467</v>
      </c>
      <c r="AE21" s="349">
        <v>60</v>
      </c>
      <c r="AF21" s="349">
        <v>3</v>
      </c>
      <c r="AG21" s="349">
        <v>63</v>
      </c>
    </row>
    <row r="22" spans="1:33" x14ac:dyDescent="0.2">
      <c r="A22" s="344" t="s">
        <v>102</v>
      </c>
      <c r="B22" s="350" t="s">
        <v>103</v>
      </c>
      <c r="C22" s="346">
        <v>6186</v>
      </c>
      <c r="D22" s="346">
        <v>36</v>
      </c>
      <c r="E22" s="346">
        <v>442</v>
      </c>
      <c r="F22" s="346">
        <v>1199</v>
      </c>
      <c r="G22" s="346">
        <v>1280</v>
      </c>
      <c r="H22" s="346">
        <v>9143</v>
      </c>
      <c r="I22" s="345">
        <v>7863</v>
      </c>
      <c r="J22" s="345">
        <v>92</v>
      </c>
      <c r="K22" s="347">
        <v>127.15</v>
      </c>
      <c r="L22" s="347">
        <v>129.22999999999999</v>
      </c>
      <c r="M22" s="347">
        <v>12.27</v>
      </c>
      <c r="N22" s="347">
        <v>137.32</v>
      </c>
      <c r="O22" s="348">
        <v>5559</v>
      </c>
      <c r="P22" s="345">
        <v>111.7</v>
      </c>
      <c r="Q22" s="345">
        <v>109.31</v>
      </c>
      <c r="R22" s="345">
        <v>52.21</v>
      </c>
      <c r="S22" s="345">
        <v>160.24</v>
      </c>
      <c r="T22" s="345">
        <v>769</v>
      </c>
      <c r="U22" s="345">
        <v>182.04</v>
      </c>
      <c r="V22" s="345">
        <v>307</v>
      </c>
      <c r="W22" s="345">
        <v>0</v>
      </c>
      <c r="X22" s="345">
        <v>0</v>
      </c>
      <c r="Y22" s="345">
        <v>0</v>
      </c>
      <c r="Z22" s="345">
        <v>4</v>
      </c>
      <c r="AA22" s="345">
        <v>14</v>
      </c>
      <c r="AB22" s="345">
        <v>13</v>
      </c>
      <c r="AC22" s="345">
        <v>31</v>
      </c>
      <c r="AD22" s="349">
        <v>5924</v>
      </c>
      <c r="AE22" s="349">
        <v>82</v>
      </c>
      <c r="AF22" s="349">
        <v>10</v>
      </c>
      <c r="AG22" s="349">
        <v>92</v>
      </c>
    </row>
    <row r="23" spans="1:33" x14ac:dyDescent="0.2">
      <c r="A23" s="344" t="s">
        <v>104</v>
      </c>
      <c r="B23" s="350" t="s">
        <v>105</v>
      </c>
      <c r="C23" s="346">
        <v>2500</v>
      </c>
      <c r="D23" s="346">
        <v>0</v>
      </c>
      <c r="E23" s="346">
        <v>266</v>
      </c>
      <c r="F23" s="346">
        <v>745</v>
      </c>
      <c r="G23" s="346">
        <v>246</v>
      </c>
      <c r="H23" s="346">
        <v>3757</v>
      </c>
      <c r="I23" s="345">
        <v>3511</v>
      </c>
      <c r="J23" s="345">
        <v>5</v>
      </c>
      <c r="K23" s="347">
        <v>86.24</v>
      </c>
      <c r="L23" s="347">
        <v>84.61</v>
      </c>
      <c r="M23" s="347">
        <v>5.31</v>
      </c>
      <c r="N23" s="347">
        <v>88.63</v>
      </c>
      <c r="O23" s="348">
        <v>1904</v>
      </c>
      <c r="P23" s="345">
        <v>82.4</v>
      </c>
      <c r="Q23" s="345">
        <v>80</v>
      </c>
      <c r="R23" s="345">
        <v>32.24</v>
      </c>
      <c r="S23" s="345">
        <v>114.28</v>
      </c>
      <c r="T23" s="345">
        <v>956</v>
      </c>
      <c r="U23" s="345">
        <v>92.3</v>
      </c>
      <c r="V23" s="345">
        <v>437</v>
      </c>
      <c r="W23" s="345">
        <v>0</v>
      </c>
      <c r="X23" s="345">
        <v>0</v>
      </c>
      <c r="Y23" s="345">
        <v>0</v>
      </c>
      <c r="Z23" s="345">
        <v>2</v>
      </c>
      <c r="AA23" s="345">
        <v>12</v>
      </c>
      <c r="AB23" s="345">
        <v>5</v>
      </c>
      <c r="AC23" s="345">
        <v>2</v>
      </c>
      <c r="AD23" s="349">
        <v>2494</v>
      </c>
      <c r="AE23" s="349">
        <v>27</v>
      </c>
      <c r="AF23" s="349">
        <v>22</v>
      </c>
      <c r="AG23" s="349">
        <v>49</v>
      </c>
    </row>
    <row r="24" spans="1:33" x14ac:dyDescent="0.2">
      <c r="A24" s="344" t="s">
        <v>106</v>
      </c>
      <c r="B24" s="350" t="s">
        <v>107</v>
      </c>
      <c r="C24" s="346">
        <v>439</v>
      </c>
      <c r="D24" s="346">
        <v>0</v>
      </c>
      <c r="E24" s="346">
        <v>95</v>
      </c>
      <c r="F24" s="346">
        <v>278</v>
      </c>
      <c r="G24" s="346">
        <v>2</v>
      </c>
      <c r="H24" s="346">
        <v>814</v>
      </c>
      <c r="I24" s="345">
        <v>812</v>
      </c>
      <c r="J24" s="345">
        <v>57</v>
      </c>
      <c r="K24" s="347">
        <v>82.32</v>
      </c>
      <c r="L24" s="347">
        <v>82.51</v>
      </c>
      <c r="M24" s="347">
        <v>3.43</v>
      </c>
      <c r="N24" s="347">
        <v>84.07</v>
      </c>
      <c r="O24" s="348">
        <v>386</v>
      </c>
      <c r="P24" s="345">
        <v>77.8</v>
      </c>
      <c r="Q24" s="345">
        <v>78.33</v>
      </c>
      <c r="R24" s="345">
        <v>31.47</v>
      </c>
      <c r="S24" s="345">
        <v>108.82</v>
      </c>
      <c r="T24" s="345">
        <v>352</v>
      </c>
      <c r="U24" s="345">
        <v>109.62</v>
      </c>
      <c r="V24" s="345">
        <v>27</v>
      </c>
      <c r="W24" s="345">
        <v>0</v>
      </c>
      <c r="X24" s="345">
        <v>0</v>
      </c>
      <c r="Y24" s="345">
        <v>0</v>
      </c>
      <c r="Z24" s="345">
        <v>0</v>
      </c>
      <c r="AA24" s="345">
        <v>0</v>
      </c>
      <c r="AB24" s="345">
        <v>0</v>
      </c>
      <c r="AC24" s="345">
        <v>0</v>
      </c>
      <c r="AD24" s="349">
        <v>428</v>
      </c>
      <c r="AE24" s="349">
        <v>1</v>
      </c>
      <c r="AF24" s="349">
        <v>0</v>
      </c>
      <c r="AG24" s="349">
        <v>1</v>
      </c>
    </row>
    <row r="25" spans="1:33" x14ac:dyDescent="0.2">
      <c r="A25" s="344" t="s">
        <v>108</v>
      </c>
      <c r="B25" s="350" t="s">
        <v>109</v>
      </c>
      <c r="C25" s="346">
        <v>5176</v>
      </c>
      <c r="D25" s="346">
        <v>0</v>
      </c>
      <c r="E25" s="346">
        <v>243</v>
      </c>
      <c r="F25" s="346">
        <v>334</v>
      </c>
      <c r="G25" s="346">
        <v>696</v>
      </c>
      <c r="H25" s="346">
        <v>6449</v>
      </c>
      <c r="I25" s="345">
        <v>5753</v>
      </c>
      <c r="J25" s="345">
        <v>3</v>
      </c>
      <c r="K25" s="347">
        <v>109.58</v>
      </c>
      <c r="L25" s="347">
        <v>108.7</v>
      </c>
      <c r="M25" s="347">
        <v>4.21</v>
      </c>
      <c r="N25" s="347">
        <v>111.85</v>
      </c>
      <c r="O25" s="348">
        <v>4912</v>
      </c>
      <c r="P25" s="345">
        <v>92.26</v>
      </c>
      <c r="Q25" s="345">
        <v>90.69</v>
      </c>
      <c r="R25" s="345">
        <v>36.47</v>
      </c>
      <c r="S25" s="345">
        <v>127.89</v>
      </c>
      <c r="T25" s="345">
        <v>472</v>
      </c>
      <c r="U25" s="345">
        <v>123.74</v>
      </c>
      <c r="V25" s="345">
        <v>128</v>
      </c>
      <c r="W25" s="345">
        <v>0</v>
      </c>
      <c r="X25" s="345">
        <v>0</v>
      </c>
      <c r="Y25" s="345">
        <v>54</v>
      </c>
      <c r="Z25" s="345">
        <v>12</v>
      </c>
      <c r="AA25" s="345">
        <v>1</v>
      </c>
      <c r="AB25" s="345">
        <v>3</v>
      </c>
      <c r="AC25" s="345">
        <v>11</v>
      </c>
      <c r="AD25" s="349">
        <v>5176</v>
      </c>
      <c r="AE25" s="349">
        <v>31</v>
      </c>
      <c r="AF25" s="349">
        <v>12</v>
      </c>
      <c r="AG25" s="349">
        <v>43</v>
      </c>
    </row>
    <row r="26" spans="1:33" x14ac:dyDescent="0.2">
      <c r="A26" s="344" t="s">
        <v>110</v>
      </c>
      <c r="B26" s="350" t="s">
        <v>111</v>
      </c>
      <c r="C26" s="346">
        <v>11801</v>
      </c>
      <c r="D26" s="346">
        <v>1</v>
      </c>
      <c r="E26" s="346">
        <v>349</v>
      </c>
      <c r="F26" s="346">
        <v>1030</v>
      </c>
      <c r="G26" s="346">
        <v>962</v>
      </c>
      <c r="H26" s="346">
        <v>14143</v>
      </c>
      <c r="I26" s="345">
        <v>13181</v>
      </c>
      <c r="J26" s="345">
        <v>1</v>
      </c>
      <c r="K26" s="347">
        <v>113.43</v>
      </c>
      <c r="L26" s="347">
        <v>112.83</v>
      </c>
      <c r="M26" s="347">
        <v>4.2300000000000004</v>
      </c>
      <c r="N26" s="347">
        <v>114.99</v>
      </c>
      <c r="O26" s="348">
        <v>11005</v>
      </c>
      <c r="P26" s="345">
        <v>94.25</v>
      </c>
      <c r="Q26" s="345">
        <v>93.6</v>
      </c>
      <c r="R26" s="345">
        <v>29.55</v>
      </c>
      <c r="S26" s="345">
        <v>119.71</v>
      </c>
      <c r="T26" s="345">
        <v>1236</v>
      </c>
      <c r="U26" s="345">
        <v>141.47999999999999</v>
      </c>
      <c r="V26" s="345">
        <v>489</v>
      </c>
      <c r="W26" s="345">
        <v>0</v>
      </c>
      <c r="X26" s="345">
        <v>0</v>
      </c>
      <c r="Y26" s="345">
        <v>23</v>
      </c>
      <c r="Z26" s="345">
        <v>12</v>
      </c>
      <c r="AA26" s="345">
        <v>1</v>
      </c>
      <c r="AB26" s="345">
        <v>63</v>
      </c>
      <c r="AC26" s="345">
        <v>41</v>
      </c>
      <c r="AD26" s="349">
        <v>11801</v>
      </c>
      <c r="AE26" s="349">
        <v>45</v>
      </c>
      <c r="AF26" s="349">
        <v>44</v>
      </c>
      <c r="AG26" s="349">
        <v>89</v>
      </c>
    </row>
    <row r="27" spans="1:33" x14ac:dyDescent="0.2">
      <c r="A27" s="344" t="s">
        <v>112</v>
      </c>
      <c r="B27" s="350" t="s">
        <v>113</v>
      </c>
      <c r="C27" s="346">
        <v>838</v>
      </c>
      <c r="D27" s="346">
        <v>0</v>
      </c>
      <c r="E27" s="346">
        <v>258</v>
      </c>
      <c r="F27" s="346">
        <v>154</v>
      </c>
      <c r="G27" s="346">
        <v>72</v>
      </c>
      <c r="H27" s="346">
        <v>1322</v>
      </c>
      <c r="I27" s="345">
        <v>1250</v>
      </c>
      <c r="J27" s="345">
        <v>0</v>
      </c>
      <c r="K27" s="347">
        <v>86.71</v>
      </c>
      <c r="L27" s="347">
        <v>85.51</v>
      </c>
      <c r="M27" s="347">
        <v>3.25</v>
      </c>
      <c r="N27" s="347">
        <v>88.62</v>
      </c>
      <c r="O27" s="348">
        <v>798</v>
      </c>
      <c r="P27" s="345">
        <v>121.34</v>
      </c>
      <c r="Q27" s="345">
        <v>70.75</v>
      </c>
      <c r="R27" s="345">
        <v>31.54</v>
      </c>
      <c r="S27" s="345">
        <v>149.36000000000001</v>
      </c>
      <c r="T27" s="345">
        <v>313</v>
      </c>
      <c r="U27" s="345">
        <v>91</v>
      </c>
      <c r="V27" s="345">
        <v>11</v>
      </c>
      <c r="W27" s="345">
        <v>169.45</v>
      </c>
      <c r="X27" s="345">
        <v>4</v>
      </c>
      <c r="Y27" s="345">
        <v>0</v>
      </c>
      <c r="Z27" s="345">
        <v>1</v>
      </c>
      <c r="AA27" s="345">
        <v>9</v>
      </c>
      <c r="AB27" s="345">
        <v>1</v>
      </c>
      <c r="AC27" s="345">
        <v>2</v>
      </c>
      <c r="AD27" s="349">
        <v>835</v>
      </c>
      <c r="AE27" s="349">
        <v>3</v>
      </c>
      <c r="AF27" s="349">
        <v>1</v>
      </c>
      <c r="AG27" s="349">
        <v>4</v>
      </c>
    </row>
    <row r="28" spans="1:33" x14ac:dyDescent="0.2">
      <c r="A28" s="344" t="s">
        <v>114</v>
      </c>
      <c r="B28" s="350" t="s">
        <v>115</v>
      </c>
      <c r="C28" s="346">
        <v>8699</v>
      </c>
      <c r="D28" s="346">
        <v>0</v>
      </c>
      <c r="E28" s="346">
        <v>346</v>
      </c>
      <c r="F28" s="346">
        <v>2182</v>
      </c>
      <c r="G28" s="346">
        <v>404</v>
      </c>
      <c r="H28" s="346">
        <v>11631</v>
      </c>
      <c r="I28" s="345">
        <v>11227</v>
      </c>
      <c r="J28" s="345">
        <v>29</v>
      </c>
      <c r="K28" s="347">
        <v>105.73</v>
      </c>
      <c r="L28" s="347">
        <v>101.39</v>
      </c>
      <c r="M28" s="347">
        <v>4.83</v>
      </c>
      <c r="N28" s="347">
        <v>108.5</v>
      </c>
      <c r="O28" s="348">
        <v>8071</v>
      </c>
      <c r="P28" s="345">
        <v>93.55</v>
      </c>
      <c r="Q28" s="345">
        <v>91.3</v>
      </c>
      <c r="R28" s="345">
        <v>13.84</v>
      </c>
      <c r="S28" s="345">
        <v>105.79</v>
      </c>
      <c r="T28" s="345">
        <v>2280</v>
      </c>
      <c r="U28" s="345">
        <v>132.30000000000001</v>
      </c>
      <c r="V28" s="345">
        <v>482</v>
      </c>
      <c r="W28" s="345">
        <v>118.5</v>
      </c>
      <c r="X28" s="345">
        <v>77</v>
      </c>
      <c r="Y28" s="345">
        <v>0</v>
      </c>
      <c r="Z28" s="345">
        <v>32</v>
      </c>
      <c r="AA28" s="345">
        <v>12</v>
      </c>
      <c r="AB28" s="345">
        <v>31</v>
      </c>
      <c r="AC28" s="345">
        <v>12</v>
      </c>
      <c r="AD28" s="349">
        <v>8594</v>
      </c>
      <c r="AE28" s="349">
        <v>43</v>
      </c>
      <c r="AF28" s="349">
        <v>29</v>
      </c>
      <c r="AG28" s="349">
        <v>72</v>
      </c>
    </row>
    <row r="29" spans="1:33" x14ac:dyDescent="0.2">
      <c r="A29" s="344" t="s">
        <v>116</v>
      </c>
      <c r="B29" s="350" t="s">
        <v>117</v>
      </c>
      <c r="C29" s="346">
        <v>10340</v>
      </c>
      <c r="D29" s="346">
        <v>0</v>
      </c>
      <c r="E29" s="346">
        <v>363</v>
      </c>
      <c r="F29" s="346">
        <v>1188</v>
      </c>
      <c r="G29" s="346">
        <v>992</v>
      </c>
      <c r="H29" s="346">
        <v>12883</v>
      </c>
      <c r="I29" s="345">
        <v>11891</v>
      </c>
      <c r="J29" s="345">
        <v>5</v>
      </c>
      <c r="K29" s="347">
        <v>98.56</v>
      </c>
      <c r="L29" s="347">
        <v>98.09</v>
      </c>
      <c r="M29" s="347">
        <v>7.12</v>
      </c>
      <c r="N29" s="347">
        <v>103.73</v>
      </c>
      <c r="O29" s="348">
        <v>9339</v>
      </c>
      <c r="P29" s="345">
        <v>93.52</v>
      </c>
      <c r="Q29" s="345">
        <v>90.17</v>
      </c>
      <c r="R29" s="345">
        <v>36.47</v>
      </c>
      <c r="S29" s="345">
        <v>129.37</v>
      </c>
      <c r="T29" s="345">
        <v>1373</v>
      </c>
      <c r="U29" s="345">
        <v>122.56</v>
      </c>
      <c r="V29" s="345">
        <v>624</v>
      </c>
      <c r="W29" s="345">
        <v>102.65</v>
      </c>
      <c r="X29" s="345">
        <v>5</v>
      </c>
      <c r="Y29" s="345">
        <v>0</v>
      </c>
      <c r="Z29" s="345">
        <v>12</v>
      </c>
      <c r="AA29" s="345">
        <v>12</v>
      </c>
      <c r="AB29" s="345">
        <v>59</v>
      </c>
      <c r="AC29" s="345">
        <v>32</v>
      </c>
      <c r="AD29" s="349">
        <v>10265</v>
      </c>
      <c r="AE29" s="349">
        <v>64</v>
      </c>
      <c r="AF29" s="349">
        <v>27</v>
      </c>
      <c r="AG29" s="349">
        <v>91</v>
      </c>
    </row>
    <row r="30" spans="1:33" x14ac:dyDescent="0.2">
      <c r="A30" s="344" t="s">
        <v>118</v>
      </c>
      <c r="B30" s="350" t="s">
        <v>119</v>
      </c>
      <c r="C30" s="346">
        <v>12174</v>
      </c>
      <c r="D30" s="346">
        <v>2</v>
      </c>
      <c r="E30" s="346">
        <v>129</v>
      </c>
      <c r="F30" s="346">
        <v>1283</v>
      </c>
      <c r="G30" s="346">
        <v>894</v>
      </c>
      <c r="H30" s="346">
        <v>14482</v>
      </c>
      <c r="I30" s="345">
        <v>13588</v>
      </c>
      <c r="J30" s="345">
        <v>1625</v>
      </c>
      <c r="K30" s="347">
        <v>111.21</v>
      </c>
      <c r="L30" s="347">
        <v>108.46</v>
      </c>
      <c r="M30" s="347">
        <v>9.7100000000000009</v>
      </c>
      <c r="N30" s="347">
        <v>120.08</v>
      </c>
      <c r="O30" s="348">
        <v>10475</v>
      </c>
      <c r="P30" s="345">
        <v>92.67</v>
      </c>
      <c r="Q30" s="345">
        <v>94.01</v>
      </c>
      <c r="R30" s="345">
        <v>26.41</v>
      </c>
      <c r="S30" s="345">
        <v>119.06</v>
      </c>
      <c r="T30" s="345">
        <v>1260</v>
      </c>
      <c r="U30" s="345">
        <v>146.1</v>
      </c>
      <c r="V30" s="345">
        <v>968</v>
      </c>
      <c r="W30" s="345">
        <v>0</v>
      </c>
      <c r="X30" s="345">
        <v>0</v>
      </c>
      <c r="Y30" s="345">
        <v>0</v>
      </c>
      <c r="Z30" s="345">
        <v>44</v>
      </c>
      <c r="AA30" s="345">
        <v>1</v>
      </c>
      <c r="AB30" s="345">
        <v>60</v>
      </c>
      <c r="AC30" s="345">
        <v>8</v>
      </c>
      <c r="AD30" s="349">
        <v>11503</v>
      </c>
      <c r="AE30" s="349">
        <v>86</v>
      </c>
      <c r="AF30" s="349">
        <v>232</v>
      </c>
      <c r="AG30" s="349">
        <v>318</v>
      </c>
    </row>
    <row r="31" spans="1:33" x14ac:dyDescent="0.2">
      <c r="A31" s="344" t="s">
        <v>120</v>
      </c>
      <c r="B31" s="350" t="s">
        <v>121</v>
      </c>
      <c r="C31" s="346">
        <v>32785</v>
      </c>
      <c r="D31" s="346">
        <v>233</v>
      </c>
      <c r="E31" s="346">
        <v>4284</v>
      </c>
      <c r="F31" s="346">
        <v>5009</v>
      </c>
      <c r="G31" s="346">
        <v>3499</v>
      </c>
      <c r="H31" s="346">
        <v>45810</v>
      </c>
      <c r="I31" s="345">
        <v>42311</v>
      </c>
      <c r="J31" s="345">
        <v>119</v>
      </c>
      <c r="K31" s="347">
        <v>92.48</v>
      </c>
      <c r="L31" s="347">
        <v>94.05</v>
      </c>
      <c r="M31" s="347">
        <v>6.6</v>
      </c>
      <c r="N31" s="347">
        <v>97.67</v>
      </c>
      <c r="O31" s="348">
        <v>29142</v>
      </c>
      <c r="P31" s="345">
        <v>86.63</v>
      </c>
      <c r="Q31" s="345">
        <v>82.15</v>
      </c>
      <c r="R31" s="345">
        <v>43.05</v>
      </c>
      <c r="S31" s="345">
        <v>127.64</v>
      </c>
      <c r="T31" s="345">
        <v>6081</v>
      </c>
      <c r="U31" s="345">
        <v>112.78</v>
      </c>
      <c r="V31" s="345">
        <v>793</v>
      </c>
      <c r="W31" s="345">
        <v>141.94</v>
      </c>
      <c r="X31" s="345">
        <v>117</v>
      </c>
      <c r="Y31" s="345">
        <v>85</v>
      </c>
      <c r="Z31" s="345">
        <v>21</v>
      </c>
      <c r="AA31" s="345">
        <v>25</v>
      </c>
      <c r="AB31" s="345">
        <v>67</v>
      </c>
      <c r="AC31" s="345">
        <v>108</v>
      </c>
      <c r="AD31" s="349">
        <v>30371</v>
      </c>
      <c r="AE31" s="349">
        <v>197</v>
      </c>
      <c r="AF31" s="349">
        <v>116</v>
      </c>
      <c r="AG31" s="349">
        <v>313</v>
      </c>
    </row>
    <row r="32" spans="1:33" x14ac:dyDescent="0.2">
      <c r="A32" s="344" t="s">
        <v>122</v>
      </c>
      <c r="B32" s="350" t="s">
        <v>123</v>
      </c>
      <c r="C32" s="346">
        <v>1804</v>
      </c>
      <c r="D32" s="346">
        <v>0</v>
      </c>
      <c r="E32" s="346">
        <v>56</v>
      </c>
      <c r="F32" s="346">
        <v>1345</v>
      </c>
      <c r="G32" s="346">
        <v>276</v>
      </c>
      <c r="H32" s="346">
        <v>3481</v>
      </c>
      <c r="I32" s="345">
        <v>3205</v>
      </c>
      <c r="J32" s="345">
        <v>0</v>
      </c>
      <c r="K32" s="347">
        <v>86.22</v>
      </c>
      <c r="L32" s="347">
        <v>86.52</v>
      </c>
      <c r="M32" s="347">
        <v>3.63</v>
      </c>
      <c r="N32" s="347">
        <v>88.12</v>
      </c>
      <c r="O32" s="348">
        <v>1623</v>
      </c>
      <c r="P32" s="345">
        <v>75.540000000000006</v>
      </c>
      <c r="Q32" s="345">
        <v>74.739999999999995</v>
      </c>
      <c r="R32" s="345">
        <v>11.59</v>
      </c>
      <c r="S32" s="345">
        <v>87.03</v>
      </c>
      <c r="T32" s="345">
        <v>1395</v>
      </c>
      <c r="U32" s="345">
        <v>103.7</v>
      </c>
      <c r="V32" s="345">
        <v>121</v>
      </c>
      <c r="W32" s="345">
        <v>0</v>
      </c>
      <c r="X32" s="345">
        <v>0</v>
      </c>
      <c r="Y32" s="345">
        <v>0</v>
      </c>
      <c r="Z32" s="345">
        <v>12</v>
      </c>
      <c r="AA32" s="345">
        <v>0</v>
      </c>
      <c r="AB32" s="345">
        <v>24</v>
      </c>
      <c r="AC32" s="345">
        <v>6</v>
      </c>
      <c r="AD32" s="349">
        <v>1804</v>
      </c>
      <c r="AE32" s="349">
        <v>21</v>
      </c>
      <c r="AF32" s="349">
        <v>18</v>
      </c>
      <c r="AG32" s="349">
        <v>39</v>
      </c>
    </row>
    <row r="33" spans="1:33" x14ac:dyDescent="0.2">
      <c r="A33" s="344" t="s">
        <v>124</v>
      </c>
      <c r="B33" s="350" t="s">
        <v>125</v>
      </c>
      <c r="C33" s="346">
        <v>9586</v>
      </c>
      <c r="D33" s="346">
        <v>0</v>
      </c>
      <c r="E33" s="346">
        <v>409</v>
      </c>
      <c r="F33" s="346">
        <v>1500</v>
      </c>
      <c r="G33" s="346">
        <v>298</v>
      </c>
      <c r="H33" s="346">
        <v>11793</v>
      </c>
      <c r="I33" s="345">
        <v>11495</v>
      </c>
      <c r="J33" s="345">
        <v>4</v>
      </c>
      <c r="K33" s="347">
        <v>79.64</v>
      </c>
      <c r="L33" s="347">
        <v>79.28</v>
      </c>
      <c r="M33" s="347">
        <v>1.93</v>
      </c>
      <c r="N33" s="347">
        <v>81.33</v>
      </c>
      <c r="O33" s="348">
        <v>8906</v>
      </c>
      <c r="P33" s="345">
        <v>77.290000000000006</v>
      </c>
      <c r="Q33" s="345">
        <v>70.61</v>
      </c>
      <c r="R33" s="345">
        <v>27.91</v>
      </c>
      <c r="S33" s="345">
        <v>105.12</v>
      </c>
      <c r="T33" s="345">
        <v>1804</v>
      </c>
      <c r="U33" s="345">
        <v>95.53</v>
      </c>
      <c r="V33" s="345">
        <v>664</v>
      </c>
      <c r="W33" s="345">
        <v>134.93</v>
      </c>
      <c r="X33" s="345">
        <v>23</v>
      </c>
      <c r="Y33" s="345">
        <v>0</v>
      </c>
      <c r="Z33" s="345">
        <v>34</v>
      </c>
      <c r="AA33" s="345">
        <v>9</v>
      </c>
      <c r="AB33" s="345">
        <v>25</v>
      </c>
      <c r="AC33" s="345">
        <v>5</v>
      </c>
      <c r="AD33" s="349">
        <v>9570</v>
      </c>
      <c r="AE33" s="349">
        <v>97</v>
      </c>
      <c r="AF33" s="349">
        <v>55</v>
      </c>
      <c r="AG33" s="349">
        <v>152</v>
      </c>
    </row>
    <row r="34" spans="1:33" x14ac:dyDescent="0.2">
      <c r="A34" s="344" t="s">
        <v>126</v>
      </c>
      <c r="B34" s="350" t="s">
        <v>127</v>
      </c>
      <c r="C34" s="346">
        <v>1653</v>
      </c>
      <c r="D34" s="346">
        <v>0</v>
      </c>
      <c r="E34" s="346">
        <v>328</v>
      </c>
      <c r="F34" s="346">
        <v>207</v>
      </c>
      <c r="G34" s="346">
        <v>146</v>
      </c>
      <c r="H34" s="346">
        <v>2334</v>
      </c>
      <c r="I34" s="345">
        <v>2188</v>
      </c>
      <c r="J34" s="345">
        <v>0</v>
      </c>
      <c r="K34" s="347">
        <v>86.48</v>
      </c>
      <c r="L34" s="347">
        <v>85.68</v>
      </c>
      <c r="M34" s="347">
        <v>5.22</v>
      </c>
      <c r="N34" s="347">
        <v>90.45</v>
      </c>
      <c r="O34" s="348">
        <v>1269</v>
      </c>
      <c r="P34" s="345">
        <v>96.63</v>
      </c>
      <c r="Q34" s="345">
        <v>84.47</v>
      </c>
      <c r="R34" s="345">
        <v>45.76</v>
      </c>
      <c r="S34" s="345">
        <v>141.22999999999999</v>
      </c>
      <c r="T34" s="345">
        <v>514</v>
      </c>
      <c r="U34" s="345">
        <v>104.49</v>
      </c>
      <c r="V34" s="345">
        <v>244</v>
      </c>
      <c r="W34" s="345">
        <v>93.09</v>
      </c>
      <c r="X34" s="345">
        <v>2</v>
      </c>
      <c r="Y34" s="345">
        <v>1</v>
      </c>
      <c r="Z34" s="345">
        <v>1</v>
      </c>
      <c r="AA34" s="345">
        <v>5</v>
      </c>
      <c r="AB34" s="345">
        <v>0</v>
      </c>
      <c r="AC34" s="345">
        <v>2</v>
      </c>
      <c r="AD34" s="349">
        <v>1595</v>
      </c>
      <c r="AE34" s="349">
        <v>12</v>
      </c>
      <c r="AF34" s="349">
        <v>4</v>
      </c>
      <c r="AG34" s="349">
        <v>16</v>
      </c>
    </row>
    <row r="35" spans="1:33" x14ac:dyDescent="0.2">
      <c r="A35" s="344" t="s">
        <v>128</v>
      </c>
      <c r="B35" s="350" t="s">
        <v>129</v>
      </c>
      <c r="C35" s="346">
        <v>765</v>
      </c>
      <c r="D35" s="346">
        <v>0</v>
      </c>
      <c r="E35" s="346">
        <v>52</v>
      </c>
      <c r="F35" s="346">
        <v>263</v>
      </c>
      <c r="G35" s="346">
        <v>15</v>
      </c>
      <c r="H35" s="346">
        <v>1095</v>
      </c>
      <c r="I35" s="345">
        <v>1080</v>
      </c>
      <c r="J35" s="345">
        <v>0</v>
      </c>
      <c r="K35" s="347">
        <v>89.17</v>
      </c>
      <c r="L35" s="347">
        <v>87.09</v>
      </c>
      <c r="M35" s="347">
        <v>3.77</v>
      </c>
      <c r="N35" s="347">
        <v>91.3</v>
      </c>
      <c r="O35" s="348">
        <v>682</v>
      </c>
      <c r="P35" s="345">
        <v>88.19</v>
      </c>
      <c r="Q35" s="345">
        <v>84.74</v>
      </c>
      <c r="R35" s="345">
        <v>17.84</v>
      </c>
      <c r="S35" s="345">
        <v>104.15</v>
      </c>
      <c r="T35" s="345">
        <v>312</v>
      </c>
      <c r="U35" s="345">
        <v>91.39</v>
      </c>
      <c r="V35" s="345">
        <v>43</v>
      </c>
      <c r="W35" s="345">
        <v>0</v>
      </c>
      <c r="X35" s="345">
        <v>0</v>
      </c>
      <c r="Y35" s="345">
        <v>0</v>
      </c>
      <c r="Z35" s="345">
        <v>1</v>
      </c>
      <c r="AA35" s="345">
        <v>7</v>
      </c>
      <c r="AB35" s="345">
        <v>1</v>
      </c>
      <c r="AC35" s="345">
        <v>2</v>
      </c>
      <c r="AD35" s="349">
        <v>761</v>
      </c>
      <c r="AE35" s="349">
        <v>4</v>
      </c>
      <c r="AF35" s="349">
        <v>3</v>
      </c>
      <c r="AG35" s="349">
        <v>7</v>
      </c>
    </row>
    <row r="36" spans="1:33" x14ac:dyDescent="0.2">
      <c r="A36" s="344" t="s">
        <v>130</v>
      </c>
      <c r="B36" s="350" t="s">
        <v>131</v>
      </c>
      <c r="C36" s="346">
        <v>20893</v>
      </c>
      <c r="D36" s="346">
        <v>1</v>
      </c>
      <c r="E36" s="346">
        <v>618</v>
      </c>
      <c r="F36" s="346">
        <v>4155</v>
      </c>
      <c r="G36" s="346">
        <v>471</v>
      </c>
      <c r="H36" s="346">
        <v>26138</v>
      </c>
      <c r="I36" s="345">
        <v>25667</v>
      </c>
      <c r="J36" s="345">
        <v>0</v>
      </c>
      <c r="K36" s="347">
        <v>78.790000000000006</v>
      </c>
      <c r="L36" s="347">
        <v>81.27</v>
      </c>
      <c r="M36" s="347">
        <v>8.0500000000000007</v>
      </c>
      <c r="N36" s="347">
        <v>81.239999999999995</v>
      </c>
      <c r="O36" s="348">
        <v>18507</v>
      </c>
      <c r="P36" s="345">
        <v>73.13</v>
      </c>
      <c r="Q36" s="345">
        <v>71.39</v>
      </c>
      <c r="R36" s="345">
        <v>25.44</v>
      </c>
      <c r="S36" s="345">
        <v>97.6</v>
      </c>
      <c r="T36" s="345">
        <v>4765</v>
      </c>
      <c r="U36" s="345">
        <v>99.14</v>
      </c>
      <c r="V36" s="345">
        <v>2286</v>
      </c>
      <c r="W36" s="345">
        <v>0</v>
      </c>
      <c r="X36" s="345">
        <v>0</v>
      </c>
      <c r="Y36" s="345">
        <v>1</v>
      </c>
      <c r="Z36" s="345">
        <v>118</v>
      </c>
      <c r="AA36" s="345">
        <v>1</v>
      </c>
      <c r="AB36" s="345">
        <v>0</v>
      </c>
      <c r="AC36" s="345">
        <v>10</v>
      </c>
      <c r="AD36" s="349">
        <v>20858</v>
      </c>
      <c r="AE36" s="349">
        <v>154</v>
      </c>
      <c r="AF36" s="349">
        <v>174</v>
      </c>
      <c r="AG36" s="349">
        <v>328</v>
      </c>
    </row>
    <row r="37" spans="1:33" x14ac:dyDescent="0.2">
      <c r="A37" s="344" t="s">
        <v>132</v>
      </c>
      <c r="B37" s="350" t="s">
        <v>133</v>
      </c>
      <c r="C37" s="346">
        <v>4201</v>
      </c>
      <c r="D37" s="346">
        <v>0</v>
      </c>
      <c r="E37" s="346">
        <v>152</v>
      </c>
      <c r="F37" s="346">
        <v>962</v>
      </c>
      <c r="G37" s="346">
        <v>192</v>
      </c>
      <c r="H37" s="346">
        <v>5507</v>
      </c>
      <c r="I37" s="345">
        <v>5315</v>
      </c>
      <c r="J37" s="345">
        <v>1</v>
      </c>
      <c r="K37" s="347">
        <v>80.37</v>
      </c>
      <c r="L37" s="347">
        <v>81.08</v>
      </c>
      <c r="M37" s="347">
        <v>1.68</v>
      </c>
      <c r="N37" s="347">
        <v>81.86</v>
      </c>
      <c r="O37" s="348">
        <v>4088</v>
      </c>
      <c r="P37" s="345">
        <v>73.510000000000005</v>
      </c>
      <c r="Q37" s="345">
        <v>71.040000000000006</v>
      </c>
      <c r="R37" s="345">
        <v>14.2</v>
      </c>
      <c r="S37" s="345">
        <v>87.52</v>
      </c>
      <c r="T37" s="345">
        <v>1053</v>
      </c>
      <c r="U37" s="345">
        <v>95.2</v>
      </c>
      <c r="V37" s="345">
        <v>77</v>
      </c>
      <c r="W37" s="345">
        <v>0</v>
      </c>
      <c r="X37" s="345">
        <v>0</v>
      </c>
      <c r="Y37" s="345">
        <v>13</v>
      </c>
      <c r="Z37" s="345">
        <v>10</v>
      </c>
      <c r="AA37" s="345">
        <v>4</v>
      </c>
      <c r="AB37" s="345">
        <v>2</v>
      </c>
      <c r="AC37" s="345">
        <v>3</v>
      </c>
      <c r="AD37" s="349">
        <v>4165</v>
      </c>
      <c r="AE37" s="349">
        <v>10</v>
      </c>
      <c r="AF37" s="349">
        <v>5</v>
      </c>
      <c r="AG37" s="349">
        <v>15</v>
      </c>
    </row>
    <row r="38" spans="1:33" x14ac:dyDescent="0.2">
      <c r="A38" s="344" t="s">
        <v>134</v>
      </c>
      <c r="B38" s="350" t="s">
        <v>135</v>
      </c>
      <c r="C38" s="345">
        <v>6235</v>
      </c>
      <c r="D38" s="345">
        <v>12</v>
      </c>
      <c r="E38" s="345">
        <v>1009</v>
      </c>
      <c r="F38" s="345">
        <v>1618</v>
      </c>
      <c r="G38" s="345">
        <v>895</v>
      </c>
      <c r="H38" s="345">
        <v>9769</v>
      </c>
      <c r="I38" s="345">
        <v>8874</v>
      </c>
      <c r="J38" s="345">
        <v>1</v>
      </c>
      <c r="K38" s="345">
        <v>104.3</v>
      </c>
      <c r="L38" s="345">
        <v>103.83</v>
      </c>
      <c r="M38" s="345">
        <v>5.33</v>
      </c>
      <c r="N38" s="345">
        <v>108.03</v>
      </c>
      <c r="O38" s="348">
        <v>5591</v>
      </c>
      <c r="P38" s="345">
        <v>88.8</v>
      </c>
      <c r="Q38" s="345">
        <v>86.57</v>
      </c>
      <c r="R38" s="345">
        <v>38.29</v>
      </c>
      <c r="S38" s="345">
        <v>123.59</v>
      </c>
      <c r="T38" s="345">
        <v>1961</v>
      </c>
      <c r="U38" s="345">
        <v>140.16999999999999</v>
      </c>
      <c r="V38" s="345">
        <v>257</v>
      </c>
      <c r="W38" s="345">
        <v>0</v>
      </c>
      <c r="X38" s="345">
        <v>0</v>
      </c>
      <c r="Y38" s="345">
        <v>14</v>
      </c>
      <c r="Z38" s="345">
        <v>13</v>
      </c>
      <c r="AA38" s="345">
        <v>31</v>
      </c>
      <c r="AB38" s="345">
        <v>15</v>
      </c>
      <c r="AC38" s="345">
        <v>14</v>
      </c>
      <c r="AD38" s="345">
        <v>5879</v>
      </c>
      <c r="AE38" s="345">
        <v>13</v>
      </c>
      <c r="AF38" s="345">
        <v>7</v>
      </c>
      <c r="AG38" s="345">
        <v>20</v>
      </c>
    </row>
    <row r="39" spans="1:33" x14ac:dyDescent="0.2">
      <c r="A39" s="344" t="s">
        <v>136</v>
      </c>
      <c r="B39" s="350" t="s">
        <v>137</v>
      </c>
      <c r="C39" s="346">
        <v>7142</v>
      </c>
      <c r="D39" s="346">
        <v>5</v>
      </c>
      <c r="E39" s="346">
        <v>202</v>
      </c>
      <c r="F39" s="346">
        <v>637</v>
      </c>
      <c r="G39" s="346">
        <v>570</v>
      </c>
      <c r="H39" s="346">
        <v>8556</v>
      </c>
      <c r="I39" s="345">
        <v>7986</v>
      </c>
      <c r="J39" s="345">
        <v>18</v>
      </c>
      <c r="K39" s="347">
        <v>109.81</v>
      </c>
      <c r="L39" s="347">
        <v>109.78</v>
      </c>
      <c r="M39" s="347">
        <v>7.08</v>
      </c>
      <c r="N39" s="347">
        <v>111.75</v>
      </c>
      <c r="O39" s="348">
        <v>6711</v>
      </c>
      <c r="P39" s="345">
        <v>92.18</v>
      </c>
      <c r="Q39" s="345">
        <v>95.12</v>
      </c>
      <c r="R39" s="345">
        <v>28.21</v>
      </c>
      <c r="S39" s="345">
        <v>119.37</v>
      </c>
      <c r="T39" s="345">
        <v>829</v>
      </c>
      <c r="U39" s="345">
        <v>152.61000000000001</v>
      </c>
      <c r="V39" s="345">
        <v>350</v>
      </c>
      <c r="W39" s="345">
        <v>0</v>
      </c>
      <c r="X39" s="345">
        <v>0</v>
      </c>
      <c r="Y39" s="345">
        <v>63</v>
      </c>
      <c r="Z39" s="345">
        <v>21</v>
      </c>
      <c r="AA39" s="345">
        <v>1</v>
      </c>
      <c r="AB39" s="345">
        <v>15</v>
      </c>
      <c r="AC39" s="345">
        <v>13</v>
      </c>
      <c r="AD39" s="349">
        <v>7120</v>
      </c>
      <c r="AE39" s="349">
        <v>31</v>
      </c>
      <c r="AF39" s="349">
        <v>8</v>
      </c>
      <c r="AG39" s="349">
        <v>39</v>
      </c>
    </row>
    <row r="40" spans="1:33" x14ac:dyDescent="0.2">
      <c r="A40" s="344" t="s">
        <v>138</v>
      </c>
      <c r="B40" s="350" t="s">
        <v>139</v>
      </c>
      <c r="C40" s="346">
        <v>27151</v>
      </c>
      <c r="D40" s="346">
        <v>172</v>
      </c>
      <c r="E40" s="346">
        <v>905</v>
      </c>
      <c r="F40" s="346">
        <v>3559</v>
      </c>
      <c r="G40" s="346">
        <v>775</v>
      </c>
      <c r="H40" s="346">
        <v>32562</v>
      </c>
      <c r="I40" s="345">
        <v>31787</v>
      </c>
      <c r="J40" s="345">
        <v>51</v>
      </c>
      <c r="K40" s="347">
        <v>79.41</v>
      </c>
      <c r="L40" s="347">
        <v>84.17</v>
      </c>
      <c r="M40" s="347">
        <v>5.87</v>
      </c>
      <c r="N40" s="347">
        <v>84.98</v>
      </c>
      <c r="O40" s="348">
        <v>25689</v>
      </c>
      <c r="P40" s="345">
        <v>78.56</v>
      </c>
      <c r="Q40" s="345">
        <v>77.62</v>
      </c>
      <c r="R40" s="345">
        <v>27.56</v>
      </c>
      <c r="S40" s="345">
        <v>105.06</v>
      </c>
      <c r="T40" s="345">
        <v>4031</v>
      </c>
      <c r="U40" s="345">
        <v>100.72</v>
      </c>
      <c r="V40" s="345">
        <v>1498</v>
      </c>
      <c r="W40" s="345">
        <v>147.85</v>
      </c>
      <c r="X40" s="345">
        <v>145</v>
      </c>
      <c r="Y40" s="345">
        <v>1</v>
      </c>
      <c r="Z40" s="345">
        <v>86</v>
      </c>
      <c r="AA40" s="345">
        <v>38</v>
      </c>
      <c r="AB40" s="345">
        <v>0</v>
      </c>
      <c r="AC40" s="345">
        <v>13</v>
      </c>
      <c r="AD40" s="349">
        <v>27125</v>
      </c>
      <c r="AE40" s="349">
        <v>763</v>
      </c>
      <c r="AF40" s="349">
        <v>217</v>
      </c>
      <c r="AG40" s="349">
        <v>980</v>
      </c>
    </row>
    <row r="41" spans="1:33" x14ac:dyDescent="0.2">
      <c r="A41" s="344" t="s">
        <v>140</v>
      </c>
      <c r="B41" s="350" t="s">
        <v>141</v>
      </c>
      <c r="C41" s="346">
        <v>9428</v>
      </c>
      <c r="D41" s="346">
        <v>19</v>
      </c>
      <c r="E41" s="346">
        <v>281</v>
      </c>
      <c r="F41" s="346">
        <v>697</v>
      </c>
      <c r="G41" s="346">
        <v>250</v>
      </c>
      <c r="H41" s="346">
        <v>10675</v>
      </c>
      <c r="I41" s="345">
        <v>10425</v>
      </c>
      <c r="J41" s="345">
        <v>2</v>
      </c>
      <c r="K41" s="347">
        <v>102.91</v>
      </c>
      <c r="L41" s="347">
        <v>96.77</v>
      </c>
      <c r="M41" s="347">
        <v>2.72</v>
      </c>
      <c r="N41" s="347">
        <v>103.73</v>
      </c>
      <c r="O41" s="348">
        <v>9092</v>
      </c>
      <c r="P41" s="345">
        <v>85.51</v>
      </c>
      <c r="Q41" s="345">
        <v>83.76</v>
      </c>
      <c r="R41" s="345">
        <v>33.53</v>
      </c>
      <c r="S41" s="345">
        <v>118.37</v>
      </c>
      <c r="T41" s="345">
        <v>808</v>
      </c>
      <c r="U41" s="345">
        <v>127.22</v>
      </c>
      <c r="V41" s="345">
        <v>297</v>
      </c>
      <c r="W41" s="345">
        <v>0</v>
      </c>
      <c r="X41" s="345">
        <v>0</v>
      </c>
      <c r="Y41" s="345">
        <v>0</v>
      </c>
      <c r="Z41" s="345">
        <v>56</v>
      </c>
      <c r="AA41" s="345">
        <v>6</v>
      </c>
      <c r="AB41" s="345">
        <v>3</v>
      </c>
      <c r="AC41" s="345">
        <v>5</v>
      </c>
      <c r="AD41" s="349">
        <v>9416</v>
      </c>
      <c r="AE41" s="349">
        <v>16</v>
      </c>
      <c r="AF41" s="349">
        <v>68</v>
      </c>
      <c r="AG41" s="349">
        <v>84</v>
      </c>
    </row>
    <row r="42" spans="1:33" x14ac:dyDescent="0.2">
      <c r="A42" s="344" t="s">
        <v>142</v>
      </c>
      <c r="B42" s="350" t="s">
        <v>143</v>
      </c>
      <c r="C42" s="346">
        <v>7037</v>
      </c>
      <c r="D42" s="346">
        <v>0</v>
      </c>
      <c r="E42" s="346">
        <v>200</v>
      </c>
      <c r="F42" s="346">
        <v>1031</v>
      </c>
      <c r="G42" s="346">
        <v>225</v>
      </c>
      <c r="H42" s="346">
        <v>8493</v>
      </c>
      <c r="I42" s="345">
        <v>8268</v>
      </c>
      <c r="J42" s="345">
        <v>24</v>
      </c>
      <c r="K42" s="347">
        <v>89.1</v>
      </c>
      <c r="L42" s="347">
        <v>88.95</v>
      </c>
      <c r="M42" s="347">
        <v>3.3</v>
      </c>
      <c r="N42" s="347">
        <v>89.74</v>
      </c>
      <c r="O42" s="348">
        <v>6775</v>
      </c>
      <c r="P42" s="345">
        <v>80.069999999999993</v>
      </c>
      <c r="Q42" s="345">
        <v>77.37</v>
      </c>
      <c r="R42" s="345">
        <v>23.39</v>
      </c>
      <c r="S42" s="345">
        <v>103.19</v>
      </c>
      <c r="T42" s="345">
        <v>1192</v>
      </c>
      <c r="U42" s="345">
        <v>112.74</v>
      </c>
      <c r="V42" s="345">
        <v>195</v>
      </c>
      <c r="W42" s="345">
        <v>0</v>
      </c>
      <c r="X42" s="345">
        <v>0</v>
      </c>
      <c r="Y42" s="345">
        <v>0</v>
      </c>
      <c r="Z42" s="345">
        <v>11</v>
      </c>
      <c r="AA42" s="345">
        <v>6</v>
      </c>
      <c r="AB42" s="345">
        <v>3</v>
      </c>
      <c r="AC42" s="345">
        <v>9</v>
      </c>
      <c r="AD42" s="349">
        <v>7033</v>
      </c>
      <c r="AE42" s="349">
        <v>32</v>
      </c>
      <c r="AF42" s="349">
        <v>18</v>
      </c>
      <c r="AG42" s="349">
        <v>50</v>
      </c>
    </row>
    <row r="43" spans="1:33" x14ac:dyDescent="0.2">
      <c r="A43" s="344" t="s">
        <v>144</v>
      </c>
      <c r="B43" s="350" t="s">
        <v>145</v>
      </c>
      <c r="C43" s="346">
        <v>14839</v>
      </c>
      <c r="D43" s="346">
        <v>173</v>
      </c>
      <c r="E43" s="346">
        <v>1042</v>
      </c>
      <c r="F43" s="346">
        <v>969</v>
      </c>
      <c r="G43" s="346">
        <v>2317</v>
      </c>
      <c r="H43" s="346">
        <v>19340</v>
      </c>
      <c r="I43" s="345">
        <v>17023</v>
      </c>
      <c r="J43" s="345">
        <v>71</v>
      </c>
      <c r="K43" s="347">
        <v>123.14</v>
      </c>
      <c r="L43" s="347">
        <v>130.59</v>
      </c>
      <c r="M43" s="347">
        <v>11.01</v>
      </c>
      <c r="N43" s="347">
        <v>130.06</v>
      </c>
      <c r="O43" s="348">
        <v>11891</v>
      </c>
      <c r="P43" s="345">
        <v>106.71</v>
      </c>
      <c r="Q43" s="345">
        <v>104.62</v>
      </c>
      <c r="R43" s="345">
        <v>54.03</v>
      </c>
      <c r="S43" s="345">
        <v>155.76</v>
      </c>
      <c r="T43" s="345">
        <v>955</v>
      </c>
      <c r="U43" s="345">
        <v>201.96</v>
      </c>
      <c r="V43" s="345">
        <v>590</v>
      </c>
      <c r="W43" s="345">
        <v>225.86</v>
      </c>
      <c r="X43" s="345">
        <v>40</v>
      </c>
      <c r="Y43" s="345">
        <v>16</v>
      </c>
      <c r="Z43" s="345">
        <v>22</v>
      </c>
      <c r="AA43" s="345">
        <v>0</v>
      </c>
      <c r="AB43" s="345">
        <v>304</v>
      </c>
      <c r="AC43" s="345">
        <v>95</v>
      </c>
      <c r="AD43" s="349">
        <v>13329</v>
      </c>
      <c r="AE43" s="349">
        <v>76</v>
      </c>
      <c r="AF43" s="349">
        <v>59</v>
      </c>
      <c r="AG43" s="349">
        <v>135</v>
      </c>
    </row>
    <row r="44" spans="1:33" x14ac:dyDescent="0.2">
      <c r="A44" s="344" t="s">
        <v>146</v>
      </c>
      <c r="B44" s="350" t="s">
        <v>147</v>
      </c>
      <c r="C44" s="346">
        <v>737</v>
      </c>
      <c r="D44" s="346">
        <v>7</v>
      </c>
      <c r="E44" s="346">
        <v>119</v>
      </c>
      <c r="F44" s="346">
        <v>162</v>
      </c>
      <c r="G44" s="346">
        <v>175</v>
      </c>
      <c r="H44" s="346">
        <v>1200</v>
      </c>
      <c r="I44" s="345">
        <v>1025</v>
      </c>
      <c r="J44" s="345">
        <v>2</v>
      </c>
      <c r="K44" s="347">
        <v>117.67</v>
      </c>
      <c r="L44" s="347">
        <v>116.21</v>
      </c>
      <c r="M44" s="347">
        <v>7.34</v>
      </c>
      <c r="N44" s="347">
        <v>124.34</v>
      </c>
      <c r="O44" s="348">
        <v>537</v>
      </c>
      <c r="P44" s="345">
        <v>93.25</v>
      </c>
      <c r="Q44" s="345">
        <v>84.09</v>
      </c>
      <c r="R44" s="345">
        <v>41.77</v>
      </c>
      <c r="S44" s="345">
        <v>127.59</v>
      </c>
      <c r="T44" s="345">
        <v>281</v>
      </c>
      <c r="U44" s="345">
        <v>141.26</v>
      </c>
      <c r="V44" s="345">
        <v>45</v>
      </c>
      <c r="W44" s="345">
        <v>0</v>
      </c>
      <c r="X44" s="345">
        <v>0</v>
      </c>
      <c r="Y44" s="345">
        <v>3</v>
      </c>
      <c r="Z44" s="345">
        <v>0</v>
      </c>
      <c r="AA44" s="345">
        <v>0</v>
      </c>
      <c r="AB44" s="345">
        <v>13</v>
      </c>
      <c r="AC44" s="345">
        <v>2</v>
      </c>
      <c r="AD44" s="349">
        <v>585</v>
      </c>
      <c r="AE44" s="349">
        <v>2</v>
      </c>
      <c r="AF44" s="349">
        <v>2</v>
      </c>
      <c r="AG44" s="349">
        <v>4</v>
      </c>
    </row>
    <row r="45" spans="1:33" x14ac:dyDescent="0.2">
      <c r="A45" s="344" t="s">
        <v>148</v>
      </c>
      <c r="B45" s="350" t="s">
        <v>149</v>
      </c>
      <c r="C45" s="346">
        <v>4676</v>
      </c>
      <c r="D45" s="346">
        <v>66</v>
      </c>
      <c r="E45" s="346">
        <v>1012</v>
      </c>
      <c r="F45" s="346">
        <v>925</v>
      </c>
      <c r="G45" s="346">
        <v>822</v>
      </c>
      <c r="H45" s="346">
        <v>7501</v>
      </c>
      <c r="I45" s="345">
        <v>6679</v>
      </c>
      <c r="J45" s="345">
        <v>5</v>
      </c>
      <c r="K45" s="347">
        <v>96.32</v>
      </c>
      <c r="L45" s="347">
        <v>95.51</v>
      </c>
      <c r="M45" s="347">
        <v>9.41</v>
      </c>
      <c r="N45" s="347">
        <v>104</v>
      </c>
      <c r="O45" s="348">
        <v>3935</v>
      </c>
      <c r="P45" s="345">
        <v>85.41</v>
      </c>
      <c r="Q45" s="345">
        <v>81.98</v>
      </c>
      <c r="R45" s="345">
        <v>42.23</v>
      </c>
      <c r="S45" s="345">
        <v>126.31</v>
      </c>
      <c r="T45" s="345">
        <v>1232</v>
      </c>
      <c r="U45" s="345">
        <v>159.05000000000001</v>
      </c>
      <c r="V45" s="345">
        <v>295</v>
      </c>
      <c r="W45" s="345">
        <v>0</v>
      </c>
      <c r="X45" s="345">
        <v>0</v>
      </c>
      <c r="Y45" s="345">
        <v>18</v>
      </c>
      <c r="Z45" s="345">
        <v>0</v>
      </c>
      <c r="AA45" s="345">
        <v>4</v>
      </c>
      <c r="AB45" s="345">
        <v>93</v>
      </c>
      <c r="AC45" s="345">
        <v>26</v>
      </c>
      <c r="AD45" s="349">
        <v>4290</v>
      </c>
      <c r="AE45" s="349">
        <v>27</v>
      </c>
      <c r="AF45" s="349">
        <v>15</v>
      </c>
      <c r="AG45" s="349">
        <v>42</v>
      </c>
    </row>
    <row r="46" spans="1:33" x14ac:dyDescent="0.2">
      <c r="A46" s="344" t="s">
        <v>150</v>
      </c>
      <c r="B46" s="350" t="s">
        <v>151</v>
      </c>
      <c r="C46" s="346">
        <v>8119</v>
      </c>
      <c r="D46" s="346">
        <v>9</v>
      </c>
      <c r="E46" s="346">
        <v>1448</v>
      </c>
      <c r="F46" s="346">
        <v>2228</v>
      </c>
      <c r="G46" s="346">
        <v>1034</v>
      </c>
      <c r="H46" s="346">
        <v>12838</v>
      </c>
      <c r="I46" s="345">
        <v>11804</v>
      </c>
      <c r="J46" s="345">
        <v>5</v>
      </c>
      <c r="K46" s="347">
        <v>95.88</v>
      </c>
      <c r="L46" s="347">
        <v>94.71</v>
      </c>
      <c r="M46" s="347">
        <v>7.15</v>
      </c>
      <c r="N46" s="347">
        <v>101.28</v>
      </c>
      <c r="O46" s="348">
        <v>5673</v>
      </c>
      <c r="P46" s="345">
        <v>87.1</v>
      </c>
      <c r="Q46" s="345">
        <v>86.14</v>
      </c>
      <c r="R46" s="345">
        <v>32.74</v>
      </c>
      <c r="S46" s="345">
        <v>119.22</v>
      </c>
      <c r="T46" s="345">
        <v>2969</v>
      </c>
      <c r="U46" s="345">
        <v>128.82</v>
      </c>
      <c r="V46" s="345">
        <v>569</v>
      </c>
      <c r="W46" s="345">
        <v>152.38999999999999</v>
      </c>
      <c r="X46" s="345">
        <v>1</v>
      </c>
      <c r="Y46" s="345">
        <v>1</v>
      </c>
      <c r="Z46" s="345">
        <v>9</v>
      </c>
      <c r="AA46" s="345">
        <v>6</v>
      </c>
      <c r="AB46" s="345">
        <v>9</v>
      </c>
      <c r="AC46" s="345">
        <v>35</v>
      </c>
      <c r="AD46" s="349">
        <v>6424</v>
      </c>
      <c r="AE46" s="349">
        <v>68</v>
      </c>
      <c r="AF46" s="349">
        <v>48</v>
      </c>
      <c r="AG46" s="349">
        <v>116</v>
      </c>
    </row>
    <row r="47" spans="1:33" x14ac:dyDescent="0.2">
      <c r="A47" s="344" t="s">
        <v>152</v>
      </c>
      <c r="B47" s="350" t="s">
        <v>153</v>
      </c>
      <c r="C47" s="346">
        <v>4320</v>
      </c>
      <c r="D47" s="346">
        <v>0</v>
      </c>
      <c r="E47" s="346">
        <v>194</v>
      </c>
      <c r="F47" s="346">
        <v>540</v>
      </c>
      <c r="G47" s="346">
        <v>281</v>
      </c>
      <c r="H47" s="346">
        <v>5335</v>
      </c>
      <c r="I47" s="345">
        <v>5054</v>
      </c>
      <c r="J47" s="345">
        <v>8</v>
      </c>
      <c r="K47" s="347">
        <v>92.83</v>
      </c>
      <c r="L47" s="347">
        <v>89.33</v>
      </c>
      <c r="M47" s="347">
        <v>0.79</v>
      </c>
      <c r="N47" s="347">
        <v>93.55</v>
      </c>
      <c r="O47" s="348">
        <v>3770</v>
      </c>
      <c r="P47" s="345">
        <v>87.77</v>
      </c>
      <c r="Q47" s="345">
        <v>76.2</v>
      </c>
      <c r="R47" s="345">
        <v>22.83</v>
      </c>
      <c r="S47" s="345">
        <v>107.35</v>
      </c>
      <c r="T47" s="345">
        <v>723</v>
      </c>
      <c r="U47" s="345">
        <v>104.4</v>
      </c>
      <c r="V47" s="345">
        <v>487</v>
      </c>
      <c r="W47" s="345">
        <v>0</v>
      </c>
      <c r="X47" s="345">
        <v>0</v>
      </c>
      <c r="Y47" s="345">
        <v>0</v>
      </c>
      <c r="Z47" s="345">
        <v>7</v>
      </c>
      <c r="AA47" s="345">
        <v>2</v>
      </c>
      <c r="AB47" s="345">
        <v>2</v>
      </c>
      <c r="AC47" s="345">
        <v>3</v>
      </c>
      <c r="AD47" s="349">
        <v>4320</v>
      </c>
      <c r="AE47" s="349">
        <v>28</v>
      </c>
      <c r="AF47" s="349">
        <v>8</v>
      </c>
      <c r="AG47" s="349">
        <v>36</v>
      </c>
    </row>
    <row r="48" spans="1:33" x14ac:dyDescent="0.2">
      <c r="A48" s="344" t="s">
        <v>154</v>
      </c>
      <c r="B48" s="350" t="s">
        <v>155</v>
      </c>
      <c r="C48" s="346">
        <v>16009</v>
      </c>
      <c r="D48" s="346">
        <v>62</v>
      </c>
      <c r="E48" s="346">
        <v>561</v>
      </c>
      <c r="F48" s="346">
        <v>2238</v>
      </c>
      <c r="G48" s="346">
        <v>861</v>
      </c>
      <c r="H48" s="346">
        <v>19731</v>
      </c>
      <c r="I48" s="345">
        <v>18870</v>
      </c>
      <c r="J48" s="345">
        <v>37</v>
      </c>
      <c r="K48" s="347">
        <v>115.93</v>
      </c>
      <c r="L48" s="347">
        <v>115.9</v>
      </c>
      <c r="M48" s="347">
        <v>11.74</v>
      </c>
      <c r="N48" s="347">
        <v>122.62</v>
      </c>
      <c r="O48" s="348">
        <v>13512</v>
      </c>
      <c r="P48" s="345">
        <v>104.3</v>
      </c>
      <c r="Q48" s="345">
        <v>104.02</v>
      </c>
      <c r="R48" s="345">
        <v>38.18</v>
      </c>
      <c r="S48" s="345">
        <v>141.97</v>
      </c>
      <c r="T48" s="345">
        <v>2319</v>
      </c>
      <c r="U48" s="345">
        <v>165.86</v>
      </c>
      <c r="V48" s="345">
        <v>1348</v>
      </c>
      <c r="W48" s="345">
        <v>0</v>
      </c>
      <c r="X48" s="345">
        <v>0</v>
      </c>
      <c r="Y48" s="345">
        <v>45</v>
      </c>
      <c r="Z48" s="345">
        <v>20</v>
      </c>
      <c r="AA48" s="345">
        <v>23</v>
      </c>
      <c r="AB48" s="345">
        <v>42</v>
      </c>
      <c r="AC48" s="345">
        <v>25</v>
      </c>
      <c r="AD48" s="349">
        <v>15211</v>
      </c>
      <c r="AE48" s="349">
        <v>135</v>
      </c>
      <c r="AF48" s="349">
        <v>84</v>
      </c>
      <c r="AG48" s="349">
        <v>219</v>
      </c>
    </row>
    <row r="49" spans="1:33" x14ac:dyDescent="0.2">
      <c r="A49" s="344" t="s">
        <v>156</v>
      </c>
      <c r="B49" s="350" t="s">
        <v>157</v>
      </c>
      <c r="C49" s="346">
        <v>3084</v>
      </c>
      <c r="D49" s="346">
        <v>0</v>
      </c>
      <c r="E49" s="346">
        <v>69</v>
      </c>
      <c r="F49" s="346">
        <v>990</v>
      </c>
      <c r="G49" s="346">
        <v>290</v>
      </c>
      <c r="H49" s="346">
        <v>4433</v>
      </c>
      <c r="I49" s="345">
        <v>4143</v>
      </c>
      <c r="J49" s="345">
        <v>0</v>
      </c>
      <c r="K49" s="347">
        <v>90.78</v>
      </c>
      <c r="L49" s="347">
        <v>90.7</v>
      </c>
      <c r="M49" s="347">
        <v>3.86</v>
      </c>
      <c r="N49" s="347">
        <v>92.79</v>
      </c>
      <c r="O49" s="348">
        <v>2829</v>
      </c>
      <c r="P49" s="345">
        <v>81</v>
      </c>
      <c r="Q49" s="345">
        <v>83.58</v>
      </c>
      <c r="R49" s="345">
        <v>18.05</v>
      </c>
      <c r="S49" s="345">
        <v>99.03</v>
      </c>
      <c r="T49" s="345">
        <v>999</v>
      </c>
      <c r="U49" s="345">
        <v>114.17</v>
      </c>
      <c r="V49" s="345">
        <v>208</v>
      </c>
      <c r="W49" s="345">
        <v>0</v>
      </c>
      <c r="X49" s="345">
        <v>0</v>
      </c>
      <c r="Y49" s="345">
        <v>0</v>
      </c>
      <c r="Z49" s="345">
        <v>12</v>
      </c>
      <c r="AA49" s="345">
        <v>3</v>
      </c>
      <c r="AB49" s="345">
        <v>10</v>
      </c>
      <c r="AC49" s="345">
        <v>7</v>
      </c>
      <c r="AD49" s="349">
        <v>3084</v>
      </c>
      <c r="AE49" s="349">
        <v>14</v>
      </c>
      <c r="AF49" s="349">
        <v>0</v>
      </c>
      <c r="AG49" s="349">
        <v>14</v>
      </c>
    </row>
    <row r="50" spans="1:33" x14ac:dyDescent="0.2">
      <c r="A50" s="344" t="s">
        <v>158</v>
      </c>
      <c r="B50" s="350" t="s">
        <v>159</v>
      </c>
      <c r="C50" s="346">
        <v>4286</v>
      </c>
      <c r="D50" s="346">
        <v>0</v>
      </c>
      <c r="E50" s="346">
        <v>116</v>
      </c>
      <c r="F50" s="346">
        <v>799</v>
      </c>
      <c r="G50" s="346">
        <v>368</v>
      </c>
      <c r="H50" s="346">
        <v>5569</v>
      </c>
      <c r="I50" s="345">
        <v>5201</v>
      </c>
      <c r="J50" s="345">
        <v>0</v>
      </c>
      <c r="K50" s="347">
        <v>119.01</v>
      </c>
      <c r="L50" s="347">
        <v>115.22</v>
      </c>
      <c r="M50" s="347">
        <v>6.48</v>
      </c>
      <c r="N50" s="347">
        <v>122.93</v>
      </c>
      <c r="O50" s="348">
        <v>4068</v>
      </c>
      <c r="P50" s="345">
        <v>103.28</v>
      </c>
      <c r="Q50" s="345">
        <v>100.8</v>
      </c>
      <c r="R50" s="345">
        <v>16.37</v>
      </c>
      <c r="S50" s="345">
        <v>117.18</v>
      </c>
      <c r="T50" s="345">
        <v>912</v>
      </c>
      <c r="U50" s="345">
        <v>163</v>
      </c>
      <c r="V50" s="345">
        <v>185</v>
      </c>
      <c r="W50" s="345">
        <v>190.45</v>
      </c>
      <c r="X50" s="345">
        <v>2</v>
      </c>
      <c r="Y50" s="345">
        <v>0</v>
      </c>
      <c r="Z50" s="345">
        <v>18</v>
      </c>
      <c r="AA50" s="345">
        <v>1</v>
      </c>
      <c r="AB50" s="345">
        <v>11</v>
      </c>
      <c r="AC50" s="345">
        <v>9</v>
      </c>
      <c r="AD50" s="349">
        <v>4286</v>
      </c>
      <c r="AE50" s="349">
        <v>6</v>
      </c>
      <c r="AF50" s="349">
        <v>20</v>
      </c>
      <c r="AG50" s="349">
        <v>26</v>
      </c>
    </row>
    <row r="51" spans="1:33" x14ac:dyDescent="0.2">
      <c r="A51" s="344" t="s">
        <v>160</v>
      </c>
      <c r="B51" s="350" t="s">
        <v>161</v>
      </c>
      <c r="C51" s="346">
        <v>1013</v>
      </c>
      <c r="D51" s="346">
        <v>0</v>
      </c>
      <c r="E51" s="346">
        <v>74</v>
      </c>
      <c r="F51" s="346">
        <v>120</v>
      </c>
      <c r="G51" s="346">
        <v>78</v>
      </c>
      <c r="H51" s="346">
        <v>1285</v>
      </c>
      <c r="I51" s="345">
        <v>1207</v>
      </c>
      <c r="J51" s="345">
        <v>44</v>
      </c>
      <c r="K51" s="347">
        <v>80.63</v>
      </c>
      <c r="L51" s="347">
        <v>78.83</v>
      </c>
      <c r="M51" s="347">
        <v>6.88</v>
      </c>
      <c r="N51" s="347">
        <v>86.29</v>
      </c>
      <c r="O51" s="348">
        <v>931</v>
      </c>
      <c r="P51" s="345">
        <v>82.5</v>
      </c>
      <c r="Q51" s="345">
        <v>66.03</v>
      </c>
      <c r="R51" s="345">
        <v>40.94</v>
      </c>
      <c r="S51" s="345">
        <v>120.59</v>
      </c>
      <c r="T51" s="345">
        <v>158</v>
      </c>
      <c r="U51" s="345">
        <v>94.9</v>
      </c>
      <c r="V51" s="345">
        <v>65</v>
      </c>
      <c r="W51" s="345">
        <v>101.19</v>
      </c>
      <c r="X51" s="345">
        <v>4</v>
      </c>
      <c r="Y51" s="345">
        <v>0</v>
      </c>
      <c r="Z51" s="345">
        <v>1</v>
      </c>
      <c r="AA51" s="345">
        <v>2</v>
      </c>
      <c r="AB51" s="345">
        <v>0</v>
      </c>
      <c r="AC51" s="345">
        <v>4</v>
      </c>
      <c r="AD51" s="349">
        <v>1013</v>
      </c>
      <c r="AE51" s="349">
        <v>4</v>
      </c>
      <c r="AF51" s="349">
        <v>6</v>
      </c>
      <c r="AG51" s="349">
        <v>10</v>
      </c>
    </row>
    <row r="52" spans="1:33" ht="15" x14ac:dyDescent="0.25">
      <c r="A52" s="351" t="s">
        <v>775</v>
      </c>
      <c r="B52" s="351" t="s">
        <v>770</v>
      </c>
      <c r="C52" s="345">
        <v>23288</v>
      </c>
      <c r="D52" s="345">
        <v>119</v>
      </c>
      <c r="E52" s="345">
        <v>1042</v>
      </c>
      <c r="F52" s="345">
        <v>3823</v>
      </c>
      <c r="G52" s="345">
        <v>1978</v>
      </c>
      <c r="H52" s="345">
        <v>30250</v>
      </c>
      <c r="I52" s="345">
        <v>28272</v>
      </c>
      <c r="J52" s="345">
        <v>449</v>
      </c>
      <c r="K52" s="352">
        <v>110.98</v>
      </c>
      <c r="L52" s="352">
        <v>112.2</v>
      </c>
      <c r="M52" s="352">
        <v>3.64</v>
      </c>
      <c r="N52" s="352">
        <v>113.12</v>
      </c>
      <c r="O52" s="345">
        <v>21305</v>
      </c>
      <c r="P52" s="352">
        <v>97.82</v>
      </c>
      <c r="Q52" s="352">
        <v>96.85</v>
      </c>
      <c r="R52" s="352">
        <v>25.1</v>
      </c>
      <c r="S52" s="352">
        <v>120.52</v>
      </c>
      <c r="T52" s="345">
        <v>4507</v>
      </c>
      <c r="U52" s="352">
        <v>150.06</v>
      </c>
      <c r="V52" s="345">
        <v>1668</v>
      </c>
      <c r="W52" s="352">
        <v>131.62</v>
      </c>
      <c r="X52" s="345">
        <v>8</v>
      </c>
      <c r="Y52" s="345">
        <v>333</v>
      </c>
      <c r="Z52" s="345">
        <v>100</v>
      </c>
      <c r="AA52" s="345">
        <v>44</v>
      </c>
      <c r="AB52" s="345">
        <v>136</v>
      </c>
      <c r="AC52" s="345">
        <v>67</v>
      </c>
      <c r="AD52" s="345">
        <v>22964</v>
      </c>
      <c r="AE52" s="345">
        <v>77</v>
      </c>
      <c r="AF52" s="345">
        <v>161</v>
      </c>
      <c r="AG52" s="345">
        <v>238</v>
      </c>
    </row>
    <row r="53" spans="1:33" x14ac:dyDescent="0.2">
      <c r="A53" s="344" t="s">
        <v>162</v>
      </c>
      <c r="B53" s="350" t="s">
        <v>163</v>
      </c>
      <c r="C53" s="346">
        <v>4139</v>
      </c>
      <c r="D53" s="346">
        <v>0</v>
      </c>
      <c r="E53" s="346">
        <v>166</v>
      </c>
      <c r="F53" s="346">
        <v>1564</v>
      </c>
      <c r="G53" s="346">
        <v>13</v>
      </c>
      <c r="H53" s="346">
        <v>5882</v>
      </c>
      <c r="I53" s="345">
        <v>5869</v>
      </c>
      <c r="J53" s="345">
        <v>25</v>
      </c>
      <c r="K53" s="347">
        <v>81.11</v>
      </c>
      <c r="L53" s="347">
        <v>78.48</v>
      </c>
      <c r="M53" s="347">
        <v>2.23</v>
      </c>
      <c r="N53" s="347">
        <v>83.13</v>
      </c>
      <c r="O53" s="348">
        <v>3946</v>
      </c>
      <c r="P53" s="345">
        <v>74.34</v>
      </c>
      <c r="Q53" s="345">
        <v>68.23</v>
      </c>
      <c r="R53" s="345">
        <v>16.46</v>
      </c>
      <c r="S53" s="345">
        <v>90.45</v>
      </c>
      <c r="T53" s="345">
        <v>1651</v>
      </c>
      <c r="U53" s="345">
        <v>93.75</v>
      </c>
      <c r="V53" s="345">
        <v>187</v>
      </c>
      <c r="W53" s="345">
        <v>91.37</v>
      </c>
      <c r="X53" s="345">
        <v>1</v>
      </c>
      <c r="Y53" s="345">
        <v>0</v>
      </c>
      <c r="Z53" s="345">
        <v>11</v>
      </c>
      <c r="AA53" s="345">
        <v>1</v>
      </c>
      <c r="AB53" s="345">
        <v>0</v>
      </c>
      <c r="AC53" s="345">
        <v>0</v>
      </c>
      <c r="AD53" s="349">
        <v>4139</v>
      </c>
      <c r="AE53" s="349">
        <v>87</v>
      </c>
      <c r="AF53" s="349">
        <v>14</v>
      </c>
      <c r="AG53" s="349">
        <v>101</v>
      </c>
    </row>
    <row r="54" spans="1:33" x14ac:dyDescent="0.2">
      <c r="A54" s="344" t="s">
        <v>164</v>
      </c>
      <c r="B54" s="350" t="s">
        <v>165</v>
      </c>
      <c r="C54" s="346">
        <v>3702</v>
      </c>
      <c r="D54" s="346">
        <v>0</v>
      </c>
      <c r="E54" s="346">
        <v>375</v>
      </c>
      <c r="F54" s="346">
        <v>594</v>
      </c>
      <c r="G54" s="346">
        <v>133</v>
      </c>
      <c r="H54" s="346">
        <v>4804</v>
      </c>
      <c r="I54" s="345">
        <v>4671</v>
      </c>
      <c r="J54" s="345">
        <v>0</v>
      </c>
      <c r="K54" s="347">
        <v>82.09</v>
      </c>
      <c r="L54" s="347">
        <v>81.72</v>
      </c>
      <c r="M54" s="347">
        <v>5.86</v>
      </c>
      <c r="N54" s="347">
        <v>85.24</v>
      </c>
      <c r="O54" s="348">
        <v>3128</v>
      </c>
      <c r="P54" s="345">
        <v>85.95</v>
      </c>
      <c r="Q54" s="345">
        <v>77.900000000000006</v>
      </c>
      <c r="R54" s="345">
        <v>31.88</v>
      </c>
      <c r="S54" s="345">
        <v>115.92</v>
      </c>
      <c r="T54" s="345">
        <v>802</v>
      </c>
      <c r="U54" s="345">
        <v>102.2</v>
      </c>
      <c r="V54" s="345">
        <v>298</v>
      </c>
      <c r="W54" s="345">
        <v>0</v>
      </c>
      <c r="X54" s="345">
        <v>0</v>
      </c>
      <c r="Y54" s="345">
        <v>0</v>
      </c>
      <c r="Z54" s="345">
        <v>4</v>
      </c>
      <c r="AA54" s="345">
        <v>9</v>
      </c>
      <c r="AB54" s="345">
        <v>0</v>
      </c>
      <c r="AC54" s="345">
        <v>3</v>
      </c>
      <c r="AD54" s="349">
        <v>3400</v>
      </c>
      <c r="AE54" s="349">
        <v>18</v>
      </c>
      <c r="AF54" s="349">
        <v>20</v>
      </c>
      <c r="AG54" s="349">
        <v>38</v>
      </c>
    </row>
    <row r="55" spans="1:33" x14ac:dyDescent="0.2">
      <c r="A55" s="344" t="s">
        <v>166</v>
      </c>
      <c r="B55" s="350" t="s">
        <v>167</v>
      </c>
      <c r="C55" s="346">
        <v>13004</v>
      </c>
      <c r="D55" s="346">
        <v>0</v>
      </c>
      <c r="E55" s="346">
        <v>171</v>
      </c>
      <c r="F55" s="346">
        <v>1157</v>
      </c>
      <c r="G55" s="346">
        <v>292</v>
      </c>
      <c r="H55" s="346">
        <v>14624</v>
      </c>
      <c r="I55" s="345">
        <v>14332</v>
      </c>
      <c r="J55" s="345">
        <v>7</v>
      </c>
      <c r="K55" s="347">
        <v>77.319999999999993</v>
      </c>
      <c r="L55" s="347">
        <v>83.16</v>
      </c>
      <c r="M55" s="347">
        <v>6.15</v>
      </c>
      <c r="N55" s="347">
        <v>83.14</v>
      </c>
      <c r="O55" s="348">
        <v>12576</v>
      </c>
      <c r="P55" s="345">
        <v>79.97</v>
      </c>
      <c r="Q55" s="345">
        <v>75.12</v>
      </c>
      <c r="R55" s="345">
        <v>27.1</v>
      </c>
      <c r="S55" s="345">
        <v>106.76</v>
      </c>
      <c r="T55" s="345">
        <v>1281</v>
      </c>
      <c r="U55" s="345">
        <v>96.13</v>
      </c>
      <c r="V55" s="345">
        <v>360</v>
      </c>
      <c r="W55" s="345">
        <v>0</v>
      </c>
      <c r="X55" s="345">
        <v>0</v>
      </c>
      <c r="Y55" s="345">
        <v>38</v>
      </c>
      <c r="Z55" s="345">
        <v>35</v>
      </c>
      <c r="AA55" s="345">
        <v>16</v>
      </c>
      <c r="AB55" s="345">
        <v>2</v>
      </c>
      <c r="AC55" s="345">
        <v>6</v>
      </c>
      <c r="AD55" s="349">
        <v>12978</v>
      </c>
      <c r="AE55" s="349">
        <v>399</v>
      </c>
      <c r="AF55" s="349">
        <v>320</v>
      </c>
      <c r="AG55" s="349">
        <v>719</v>
      </c>
    </row>
    <row r="56" spans="1:33" x14ac:dyDescent="0.2">
      <c r="A56" s="344" t="s">
        <v>168</v>
      </c>
      <c r="B56" s="350" t="s">
        <v>169</v>
      </c>
      <c r="C56" s="346">
        <v>3650</v>
      </c>
      <c r="D56" s="346">
        <v>112</v>
      </c>
      <c r="E56" s="346">
        <v>537</v>
      </c>
      <c r="F56" s="346">
        <v>443</v>
      </c>
      <c r="G56" s="346">
        <v>561</v>
      </c>
      <c r="H56" s="346">
        <v>5303</v>
      </c>
      <c r="I56" s="345">
        <v>4742</v>
      </c>
      <c r="J56" s="345">
        <v>6</v>
      </c>
      <c r="K56" s="347">
        <v>108.97</v>
      </c>
      <c r="L56" s="347">
        <v>110.9</v>
      </c>
      <c r="M56" s="347">
        <v>6.56</v>
      </c>
      <c r="N56" s="347">
        <v>113.25</v>
      </c>
      <c r="O56" s="348">
        <v>2487</v>
      </c>
      <c r="P56" s="345">
        <v>89.64</v>
      </c>
      <c r="Q56" s="345">
        <v>88.49</v>
      </c>
      <c r="R56" s="345">
        <v>50.89</v>
      </c>
      <c r="S56" s="345">
        <v>136.38999999999999</v>
      </c>
      <c r="T56" s="345">
        <v>810</v>
      </c>
      <c r="U56" s="345">
        <v>143.94999999999999</v>
      </c>
      <c r="V56" s="345">
        <v>300</v>
      </c>
      <c r="W56" s="345">
        <v>124.8</v>
      </c>
      <c r="X56" s="345">
        <v>2</v>
      </c>
      <c r="Y56" s="345">
        <v>44</v>
      </c>
      <c r="Z56" s="345">
        <v>2</v>
      </c>
      <c r="AA56" s="345">
        <v>0</v>
      </c>
      <c r="AB56" s="345">
        <v>98</v>
      </c>
      <c r="AC56" s="345">
        <v>65</v>
      </c>
      <c r="AD56" s="349">
        <v>3376</v>
      </c>
      <c r="AE56" s="349">
        <v>33</v>
      </c>
      <c r="AF56" s="349">
        <v>10</v>
      </c>
      <c r="AG56" s="349">
        <v>43</v>
      </c>
    </row>
    <row r="57" spans="1:33" x14ac:dyDescent="0.2">
      <c r="A57" s="344" t="s">
        <v>170</v>
      </c>
      <c r="B57" s="350" t="s">
        <v>171</v>
      </c>
      <c r="C57" s="346">
        <v>7928</v>
      </c>
      <c r="D57" s="346">
        <v>682</v>
      </c>
      <c r="E57" s="346">
        <v>1670</v>
      </c>
      <c r="F57" s="346">
        <v>1018</v>
      </c>
      <c r="G57" s="346">
        <v>609</v>
      </c>
      <c r="H57" s="346">
        <v>11907</v>
      </c>
      <c r="I57" s="345">
        <v>11298</v>
      </c>
      <c r="J57" s="345">
        <v>66</v>
      </c>
      <c r="K57" s="347">
        <v>132.35</v>
      </c>
      <c r="L57" s="347">
        <v>142.91</v>
      </c>
      <c r="M57" s="347">
        <v>10.49</v>
      </c>
      <c r="N57" s="347">
        <v>141.11000000000001</v>
      </c>
      <c r="O57" s="348">
        <v>6245</v>
      </c>
      <c r="P57" s="345">
        <v>111.92</v>
      </c>
      <c r="Q57" s="345">
        <v>112.81</v>
      </c>
      <c r="R57" s="345">
        <v>48.47</v>
      </c>
      <c r="S57" s="345">
        <v>153.09</v>
      </c>
      <c r="T57" s="345">
        <v>2496</v>
      </c>
      <c r="U57" s="345">
        <v>211.21</v>
      </c>
      <c r="V57" s="345">
        <v>172</v>
      </c>
      <c r="W57" s="345">
        <v>0</v>
      </c>
      <c r="X57" s="345">
        <v>0</v>
      </c>
      <c r="Y57" s="345">
        <v>0</v>
      </c>
      <c r="Z57" s="345">
        <v>3</v>
      </c>
      <c r="AA57" s="345">
        <v>13</v>
      </c>
      <c r="AB57" s="345">
        <v>13</v>
      </c>
      <c r="AC57" s="345">
        <v>26</v>
      </c>
      <c r="AD57" s="349">
        <v>6545</v>
      </c>
      <c r="AE57" s="349">
        <v>31</v>
      </c>
      <c r="AF57" s="349">
        <v>53</v>
      </c>
      <c r="AG57" s="349">
        <v>84</v>
      </c>
    </row>
    <row r="58" spans="1:33" x14ac:dyDescent="0.2">
      <c r="A58" s="344" t="s">
        <v>172</v>
      </c>
      <c r="B58" s="350" t="s">
        <v>173</v>
      </c>
      <c r="C58" s="346">
        <v>1333</v>
      </c>
      <c r="D58" s="346">
        <v>3</v>
      </c>
      <c r="E58" s="346">
        <v>140</v>
      </c>
      <c r="F58" s="346">
        <v>337</v>
      </c>
      <c r="G58" s="346">
        <v>256</v>
      </c>
      <c r="H58" s="346">
        <v>2069</v>
      </c>
      <c r="I58" s="345">
        <v>1813</v>
      </c>
      <c r="J58" s="345">
        <v>1</v>
      </c>
      <c r="K58" s="347">
        <v>90.25</v>
      </c>
      <c r="L58" s="347">
        <v>90.41</v>
      </c>
      <c r="M58" s="347">
        <v>4.83</v>
      </c>
      <c r="N58" s="347">
        <v>93.41</v>
      </c>
      <c r="O58" s="348">
        <v>1180</v>
      </c>
      <c r="P58" s="345">
        <v>85.07</v>
      </c>
      <c r="Q58" s="345">
        <v>84.22</v>
      </c>
      <c r="R58" s="345">
        <v>33.200000000000003</v>
      </c>
      <c r="S58" s="345">
        <v>117.4</v>
      </c>
      <c r="T58" s="345">
        <v>341</v>
      </c>
      <c r="U58" s="345">
        <v>108.35</v>
      </c>
      <c r="V58" s="345">
        <v>103</v>
      </c>
      <c r="W58" s="345">
        <v>166.22</v>
      </c>
      <c r="X58" s="345">
        <v>63</v>
      </c>
      <c r="Y58" s="345">
        <v>0</v>
      </c>
      <c r="Z58" s="345">
        <v>5</v>
      </c>
      <c r="AA58" s="345">
        <v>1</v>
      </c>
      <c r="AB58" s="345">
        <v>4</v>
      </c>
      <c r="AC58" s="345">
        <v>3</v>
      </c>
      <c r="AD58" s="349">
        <v>1314</v>
      </c>
      <c r="AE58" s="349">
        <v>8</v>
      </c>
      <c r="AF58" s="349">
        <v>3</v>
      </c>
      <c r="AG58" s="349">
        <v>11</v>
      </c>
    </row>
    <row r="59" spans="1:33" x14ac:dyDescent="0.2">
      <c r="A59" s="344" t="s">
        <v>174</v>
      </c>
      <c r="B59" s="350" t="s">
        <v>175</v>
      </c>
      <c r="C59" s="346">
        <v>1913</v>
      </c>
      <c r="D59" s="346">
        <v>0</v>
      </c>
      <c r="E59" s="346">
        <v>127</v>
      </c>
      <c r="F59" s="346">
        <v>378</v>
      </c>
      <c r="G59" s="346">
        <v>438</v>
      </c>
      <c r="H59" s="346">
        <v>2856</v>
      </c>
      <c r="I59" s="345">
        <v>2418</v>
      </c>
      <c r="J59" s="345">
        <v>0</v>
      </c>
      <c r="K59" s="347">
        <v>103.78</v>
      </c>
      <c r="L59" s="347">
        <v>104.3</v>
      </c>
      <c r="M59" s="347">
        <v>7.85</v>
      </c>
      <c r="N59" s="347">
        <v>110.06</v>
      </c>
      <c r="O59" s="348">
        <v>1391</v>
      </c>
      <c r="P59" s="345">
        <v>83.33</v>
      </c>
      <c r="Q59" s="345">
        <v>83.64</v>
      </c>
      <c r="R59" s="345">
        <v>44.32</v>
      </c>
      <c r="S59" s="345">
        <v>127.11</v>
      </c>
      <c r="T59" s="345">
        <v>496</v>
      </c>
      <c r="U59" s="345">
        <v>142.22</v>
      </c>
      <c r="V59" s="345">
        <v>216</v>
      </c>
      <c r="W59" s="345">
        <v>0</v>
      </c>
      <c r="X59" s="345">
        <v>0</v>
      </c>
      <c r="Y59" s="345">
        <v>0</v>
      </c>
      <c r="Z59" s="345">
        <v>0</v>
      </c>
      <c r="AA59" s="345">
        <v>0</v>
      </c>
      <c r="AB59" s="345">
        <v>2</v>
      </c>
      <c r="AC59" s="345">
        <v>12</v>
      </c>
      <c r="AD59" s="349">
        <v>1728</v>
      </c>
      <c r="AE59" s="349">
        <v>3</v>
      </c>
      <c r="AF59" s="349">
        <v>2</v>
      </c>
      <c r="AG59" s="349">
        <v>5</v>
      </c>
    </row>
    <row r="60" spans="1:33" x14ac:dyDescent="0.2">
      <c r="A60" s="344" t="s">
        <v>176</v>
      </c>
      <c r="B60" s="350" t="s">
        <v>177</v>
      </c>
      <c r="C60" s="346">
        <v>6921</v>
      </c>
      <c r="D60" s="346">
        <v>0</v>
      </c>
      <c r="E60" s="346">
        <v>278</v>
      </c>
      <c r="F60" s="346">
        <v>345</v>
      </c>
      <c r="G60" s="346">
        <v>356</v>
      </c>
      <c r="H60" s="346">
        <v>7900</v>
      </c>
      <c r="I60" s="345">
        <v>7544</v>
      </c>
      <c r="J60" s="345">
        <v>0</v>
      </c>
      <c r="K60" s="347">
        <v>82.3</v>
      </c>
      <c r="L60" s="347">
        <v>84.95</v>
      </c>
      <c r="M60" s="347">
        <v>2.73</v>
      </c>
      <c r="N60" s="347">
        <v>83.62</v>
      </c>
      <c r="O60" s="348">
        <v>6200</v>
      </c>
      <c r="P60" s="345">
        <v>77.95</v>
      </c>
      <c r="Q60" s="345">
        <v>75.680000000000007</v>
      </c>
      <c r="R60" s="345">
        <v>35.1</v>
      </c>
      <c r="S60" s="345">
        <v>109.07</v>
      </c>
      <c r="T60" s="345">
        <v>566</v>
      </c>
      <c r="U60" s="345">
        <v>91.21</v>
      </c>
      <c r="V60" s="345">
        <v>707</v>
      </c>
      <c r="W60" s="345">
        <v>0</v>
      </c>
      <c r="X60" s="345">
        <v>0</v>
      </c>
      <c r="Y60" s="345">
        <v>0</v>
      </c>
      <c r="Z60" s="345">
        <v>15</v>
      </c>
      <c r="AA60" s="345">
        <v>4</v>
      </c>
      <c r="AB60" s="345">
        <v>0</v>
      </c>
      <c r="AC60" s="345">
        <v>1</v>
      </c>
      <c r="AD60" s="349">
        <v>6911</v>
      </c>
      <c r="AE60" s="349">
        <v>83</v>
      </c>
      <c r="AF60" s="349">
        <v>35</v>
      </c>
      <c r="AG60" s="349">
        <v>118</v>
      </c>
    </row>
    <row r="61" spans="1:33" x14ac:dyDescent="0.2">
      <c r="A61" s="344" t="s">
        <v>178</v>
      </c>
      <c r="B61" s="350" t="s">
        <v>179</v>
      </c>
      <c r="C61" s="346">
        <v>428</v>
      </c>
      <c r="D61" s="346">
        <v>0</v>
      </c>
      <c r="E61" s="346">
        <v>63</v>
      </c>
      <c r="F61" s="346">
        <v>73</v>
      </c>
      <c r="G61" s="346">
        <v>85</v>
      </c>
      <c r="H61" s="346">
        <v>649</v>
      </c>
      <c r="I61" s="345">
        <v>564</v>
      </c>
      <c r="J61" s="345">
        <v>2</v>
      </c>
      <c r="K61" s="347">
        <v>106.9</v>
      </c>
      <c r="L61" s="347">
        <v>106.83</v>
      </c>
      <c r="M61" s="347">
        <v>5.69</v>
      </c>
      <c r="N61" s="347">
        <v>110.13</v>
      </c>
      <c r="O61" s="348">
        <v>386</v>
      </c>
      <c r="P61" s="345">
        <v>86.63</v>
      </c>
      <c r="Q61" s="345">
        <v>83.47</v>
      </c>
      <c r="R61" s="345">
        <v>52.09</v>
      </c>
      <c r="S61" s="345">
        <v>138.72</v>
      </c>
      <c r="T61" s="345">
        <v>109</v>
      </c>
      <c r="U61" s="345">
        <v>148.01</v>
      </c>
      <c r="V61" s="345">
        <v>29</v>
      </c>
      <c r="W61" s="345">
        <v>0</v>
      </c>
      <c r="X61" s="345">
        <v>0</v>
      </c>
      <c r="Y61" s="345">
        <v>3</v>
      </c>
      <c r="Z61" s="345">
        <v>1</v>
      </c>
      <c r="AA61" s="345">
        <v>0</v>
      </c>
      <c r="AB61" s="345">
        <v>12</v>
      </c>
      <c r="AC61" s="345">
        <v>1</v>
      </c>
      <c r="AD61" s="349">
        <v>428</v>
      </c>
      <c r="AE61" s="349">
        <v>1</v>
      </c>
      <c r="AF61" s="349">
        <v>0</v>
      </c>
      <c r="AG61" s="349">
        <v>1</v>
      </c>
    </row>
    <row r="62" spans="1:33" x14ac:dyDescent="0.2">
      <c r="A62" s="344" t="s">
        <v>180</v>
      </c>
      <c r="B62" s="350" t="s">
        <v>181</v>
      </c>
      <c r="C62" s="346">
        <v>7716</v>
      </c>
      <c r="D62" s="346">
        <v>0</v>
      </c>
      <c r="E62" s="346">
        <v>214</v>
      </c>
      <c r="F62" s="346">
        <v>1858</v>
      </c>
      <c r="G62" s="346">
        <v>1238</v>
      </c>
      <c r="H62" s="346">
        <v>11026</v>
      </c>
      <c r="I62" s="345">
        <v>9788</v>
      </c>
      <c r="J62" s="345">
        <v>16</v>
      </c>
      <c r="K62" s="347">
        <v>104.26</v>
      </c>
      <c r="L62" s="347">
        <v>105.43</v>
      </c>
      <c r="M62" s="347">
        <v>4.1900000000000004</v>
      </c>
      <c r="N62" s="347">
        <v>105.59</v>
      </c>
      <c r="O62" s="348">
        <v>7182</v>
      </c>
      <c r="P62" s="345">
        <v>86.82</v>
      </c>
      <c r="Q62" s="345">
        <v>86.84</v>
      </c>
      <c r="R62" s="345">
        <v>20.079999999999998</v>
      </c>
      <c r="S62" s="345">
        <v>93.94</v>
      </c>
      <c r="T62" s="345">
        <v>1940</v>
      </c>
      <c r="U62" s="345">
        <v>132.15</v>
      </c>
      <c r="V62" s="345">
        <v>366</v>
      </c>
      <c r="W62" s="345">
        <v>0</v>
      </c>
      <c r="X62" s="345">
        <v>0</v>
      </c>
      <c r="Y62" s="345">
        <v>0</v>
      </c>
      <c r="Z62" s="345">
        <v>10</v>
      </c>
      <c r="AA62" s="345">
        <v>4</v>
      </c>
      <c r="AB62" s="345">
        <v>107</v>
      </c>
      <c r="AC62" s="345">
        <v>40</v>
      </c>
      <c r="AD62" s="349">
        <v>7612</v>
      </c>
      <c r="AE62" s="349">
        <v>46</v>
      </c>
      <c r="AF62" s="349">
        <v>7</v>
      </c>
      <c r="AG62" s="349">
        <v>53</v>
      </c>
    </row>
    <row r="63" spans="1:33" x14ac:dyDescent="0.2">
      <c r="A63" s="344" t="s">
        <v>182</v>
      </c>
      <c r="B63" s="350" t="s">
        <v>183</v>
      </c>
      <c r="C63" s="346">
        <v>2519</v>
      </c>
      <c r="D63" s="346">
        <v>0</v>
      </c>
      <c r="E63" s="346">
        <v>194</v>
      </c>
      <c r="F63" s="346">
        <v>321</v>
      </c>
      <c r="G63" s="346">
        <v>498</v>
      </c>
      <c r="H63" s="346">
        <v>3532</v>
      </c>
      <c r="I63" s="345">
        <v>3034</v>
      </c>
      <c r="J63" s="345">
        <v>0</v>
      </c>
      <c r="K63" s="347">
        <v>92.04</v>
      </c>
      <c r="L63" s="347">
        <v>91.26</v>
      </c>
      <c r="M63" s="347">
        <v>5.58</v>
      </c>
      <c r="N63" s="347">
        <v>96.18</v>
      </c>
      <c r="O63" s="348">
        <v>2263</v>
      </c>
      <c r="P63" s="345">
        <v>85.02</v>
      </c>
      <c r="Q63" s="345">
        <v>79.78</v>
      </c>
      <c r="R63" s="345">
        <v>48.42</v>
      </c>
      <c r="S63" s="345">
        <v>132.13</v>
      </c>
      <c r="T63" s="345">
        <v>479</v>
      </c>
      <c r="U63" s="345">
        <v>107.12</v>
      </c>
      <c r="V63" s="345">
        <v>195</v>
      </c>
      <c r="W63" s="345">
        <v>0</v>
      </c>
      <c r="X63" s="345">
        <v>0</v>
      </c>
      <c r="Y63" s="345">
        <v>0</v>
      </c>
      <c r="Z63" s="345">
        <v>1</v>
      </c>
      <c r="AA63" s="345">
        <v>0</v>
      </c>
      <c r="AB63" s="345">
        <v>22</v>
      </c>
      <c r="AC63" s="345">
        <v>21</v>
      </c>
      <c r="AD63" s="349">
        <v>2519</v>
      </c>
      <c r="AE63" s="349">
        <v>14</v>
      </c>
      <c r="AF63" s="349">
        <v>18</v>
      </c>
      <c r="AG63" s="349">
        <v>32</v>
      </c>
    </row>
    <row r="64" spans="1:33" x14ac:dyDescent="0.2">
      <c r="A64" s="344" t="s">
        <v>184</v>
      </c>
      <c r="B64" s="350" t="s">
        <v>185</v>
      </c>
      <c r="C64" s="346">
        <v>7043</v>
      </c>
      <c r="D64" s="346">
        <v>250</v>
      </c>
      <c r="E64" s="346">
        <v>1235</v>
      </c>
      <c r="F64" s="346">
        <v>1519</v>
      </c>
      <c r="G64" s="346">
        <v>408</v>
      </c>
      <c r="H64" s="346">
        <v>10455</v>
      </c>
      <c r="I64" s="345">
        <v>10047</v>
      </c>
      <c r="J64" s="345">
        <v>2</v>
      </c>
      <c r="K64" s="347">
        <v>104.64</v>
      </c>
      <c r="L64" s="347">
        <v>103.94</v>
      </c>
      <c r="M64" s="347">
        <v>4.91</v>
      </c>
      <c r="N64" s="347">
        <v>106.82</v>
      </c>
      <c r="O64" s="348">
        <v>6659</v>
      </c>
      <c r="P64" s="345">
        <v>89.96</v>
      </c>
      <c r="Q64" s="345">
        <v>89.48</v>
      </c>
      <c r="R64" s="345">
        <v>20.18</v>
      </c>
      <c r="S64" s="345">
        <v>102.83</v>
      </c>
      <c r="T64" s="345">
        <v>2636</v>
      </c>
      <c r="U64" s="345">
        <v>133.51</v>
      </c>
      <c r="V64" s="345">
        <v>252</v>
      </c>
      <c r="W64" s="345">
        <v>0</v>
      </c>
      <c r="X64" s="345">
        <v>0</v>
      </c>
      <c r="Y64" s="345">
        <v>0</v>
      </c>
      <c r="Z64" s="345">
        <v>16</v>
      </c>
      <c r="AA64" s="345">
        <v>9</v>
      </c>
      <c r="AB64" s="345">
        <v>28</v>
      </c>
      <c r="AC64" s="345">
        <v>7</v>
      </c>
      <c r="AD64" s="349">
        <v>7035</v>
      </c>
      <c r="AE64" s="349">
        <v>15</v>
      </c>
      <c r="AF64" s="349">
        <v>17</v>
      </c>
      <c r="AG64" s="349">
        <v>32</v>
      </c>
    </row>
    <row r="65" spans="1:33" x14ac:dyDescent="0.2">
      <c r="A65" s="344" t="s">
        <v>186</v>
      </c>
      <c r="B65" s="350" t="s">
        <v>187</v>
      </c>
      <c r="C65" s="346">
        <v>1676</v>
      </c>
      <c r="D65" s="346">
        <v>3</v>
      </c>
      <c r="E65" s="346">
        <v>413</v>
      </c>
      <c r="F65" s="346">
        <v>267</v>
      </c>
      <c r="G65" s="346">
        <v>322</v>
      </c>
      <c r="H65" s="346">
        <v>2681</v>
      </c>
      <c r="I65" s="345">
        <v>2359</v>
      </c>
      <c r="J65" s="345">
        <v>0</v>
      </c>
      <c r="K65" s="347">
        <v>94.76</v>
      </c>
      <c r="L65" s="347">
        <v>91.47</v>
      </c>
      <c r="M65" s="347">
        <v>6.01</v>
      </c>
      <c r="N65" s="347">
        <v>100.06</v>
      </c>
      <c r="O65" s="348">
        <v>1448</v>
      </c>
      <c r="P65" s="345">
        <v>82.38</v>
      </c>
      <c r="Q65" s="345">
        <v>81.27</v>
      </c>
      <c r="R65" s="345">
        <v>43.53</v>
      </c>
      <c r="S65" s="345">
        <v>117.03</v>
      </c>
      <c r="T65" s="345">
        <v>549</v>
      </c>
      <c r="U65" s="345">
        <v>128.57</v>
      </c>
      <c r="V65" s="345">
        <v>137</v>
      </c>
      <c r="W65" s="345">
        <v>188.73</v>
      </c>
      <c r="X65" s="345">
        <v>37</v>
      </c>
      <c r="Y65" s="345">
        <v>37</v>
      </c>
      <c r="Z65" s="345">
        <v>0</v>
      </c>
      <c r="AA65" s="345">
        <v>34</v>
      </c>
      <c r="AB65" s="345">
        <v>4</v>
      </c>
      <c r="AC65" s="345">
        <v>13</v>
      </c>
      <c r="AD65" s="349">
        <v>1568</v>
      </c>
      <c r="AE65" s="349">
        <v>1</v>
      </c>
      <c r="AF65" s="349">
        <v>2</v>
      </c>
      <c r="AG65" s="349">
        <v>3</v>
      </c>
    </row>
    <row r="66" spans="1:33" x14ac:dyDescent="0.2">
      <c r="A66" s="344" t="s">
        <v>188</v>
      </c>
      <c r="B66" s="350" t="s">
        <v>189</v>
      </c>
      <c r="C66" s="346">
        <v>5750</v>
      </c>
      <c r="D66" s="346">
        <v>32</v>
      </c>
      <c r="E66" s="346">
        <v>205</v>
      </c>
      <c r="F66" s="346">
        <v>1435</v>
      </c>
      <c r="G66" s="346">
        <v>451</v>
      </c>
      <c r="H66" s="346">
        <v>7873</v>
      </c>
      <c r="I66" s="345">
        <v>7422</v>
      </c>
      <c r="J66" s="345">
        <v>1</v>
      </c>
      <c r="K66" s="347">
        <v>105.04</v>
      </c>
      <c r="L66" s="347">
        <v>110.8</v>
      </c>
      <c r="M66" s="347">
        <v>5.97</v>
      </c>
      <c r="N66" s="347">
        <v>106.93</v>
      </c>
      <c r="O66" s="348">
        <v>5148</v>
      </c>
      <c r="P66" s="345">
        <v>93.8</v>
      </c>
      <c r="Q66" s="345">
        <v>98.56</v>
      </c>
      <c r="R66" s="345">
        <v>19.93</v>
      </c>
      <c r="S66" s="345">
        <v>112.55</v>
      </c>
      <c r="T66" s="345">
        <v>1516</v>
      </c>
      <c r="U66" s="345">
        <v>146.66</v>
      </c>
      <c r="V66" s="345">
        <v>479</v>
      </c>
      <c r="W66" s="345">
        <v>198.63</v>
      </c>
      <c r="X66" s="345">
        <v>95</v>
      </c>
      <c r="Y66" s="345">
        <v>0</v>
      </c>
      <c r="Z66" s="345">
        <v>16</v>
      </c>
      <c r="AA66" s="345">
        <v>9</v>
      </c>
      <c r="AB66" s="345">
        <v>44</v>
      </c>
      <c r="AC66" s="345">
        <v>15</v>
      </c>
      <c r="AD66" s="349">
        <v>5685</v>
      </c>
      <c r="AE66" s="349">
        <v>18</v>
      </c>
      <c r="AF66" s="349">
        <v>33</v>
      </c>
      <c r="AG66" s="349">
        <v>51</v>
      </c>
    </row>
    <row r="67" spans="1:33" x14ac:dyDescent="0.2">
      <c r="A67" s="344" t="s">
        <v>190</v>
      </c>
      <c r="B67" s="350" t="s">
        <v>191</v>
      </c>
      <c r="C67" s="346">
        <v>14258</v>
      </c>
      <c r="D67" s="346">
        <v>0</v>
      </c>
      <c r="E67" s="346">
        <v>751</v>
      </c>
      <c r="F67" s="346">
        <v>4769</v>
      </c>
      <c r="G67" s="346">
        <v>735</v>
      </c>
      <c r="H67" s="346">
        <v>20513</v>
      </c>
      <c r="I67" s="345">
        <v>19778</v>
      </c>
      <c r="J67" s="345">
        <v>86</v>
      </c>
      <c r="K67" s="347">
        <v>91.2</v>
      </c>
      <c r="L67" s="347">
        <v>91.51</v>
      </c>
      <c r="M67" s="347">
        <v>6.11</v>
      </c>
      <c r="N67" s="347">
        <v>93.18</v>
      </c>
      <c r="O67" s="348">
        <v>11980</v>
      </c>
      <c r="P67" s="345">
        <v>85.92</v>
      </c>
      <c r="Q67" s="345">
        <v>85.37</v>
      </c>
      <c r="R67" s="345">
        <v>33.04</v>
      </c>
      <c r="S67" s="345">
        <v>99.71</v>
      </c>
      <c r="T67" s="345">
        <v>5204</v>
      </c>
      <c r="U67" s="345">
        <v>109.39</v>
      </c>
      <c r="V67" s="345">
        <v>2140</v>
      </c>
      <c r="W67" s="345">
        <v>94.15</v>
      </c>
      <c r="X67" s="345">
        <v>102</v>
      </c>
      <c r="Y67" s="345">
        <v>0</v>
      </c>
      <c r="Z67" s="345">
        <v>60</v>
      </c>
      <c r="AA67" s="345">
        <v>12</v>
      </c>
      <c r="AB67" s="345">
        <v>46</v>
      </c>
      <c r="AC67" s="345">
        <v>5</v>
      </c>
      <c r="AD67" s="349">
        <v>14215</v>
      </c>
      <c r="AE67" s="349">
        <v>269</v>
      </c>
      <c r="AF67" s="349">
        <v>54</v>
      </c>
      <c r="AG67" s="349">
        <v>323</v>
      </c>
    </row>
    <row r="68" spans="1:33" x14ac:dyDescent="0.2">
      <c r="A68" s="344" t="s">
        <v>192</v>
      </c>
      <c r="B68" s="350" t="s">
        <v>193</v>
      </c>
      <c r="C68" s="346">
        <v>11700</v>
      </c>
      <c r="D68" s="346">
        <v>11</v>
      </c>
      <c r="E68" s="346">
        <v>556</v>
      </c>
      <c r="F68" s="346">
        <v>4979</v>
      </c>
      <c r="G68" s="346">
        <v>1043</v>
      </c>
      <c r="H68" s="346">
        <v>18289</v>
      </c>
      <c r="I68" s="345">
        <v>17246</v>
      </c>
      <c r="J68" s="345">
        <v>9</v>
      </c>
      <c r="K68" s="347">
        <v>93.09</v>
      </c>
      <c r="L68" s="347">
        <v>96.89</v>
      </c>
      <c r="M68" s="347">
        <v>4.87</v>
      </c>
      <c r="N68" s="347">
        <v>94.65</v>
      </c>
      <c r="O68" s="348">
        <v>10493</v>
      </c>
      <c r="P68" s="345">
        <v>85.73</v>
      </c>
      <c r="Q68" s="345">
        <v>87.31</v>
      </c>
      <c r="R68" s="345">
        <v>16.149999999999999</v>
      </c>
      <c r="S68" s="345">
        <v>99.15</v>
      </c>
      <c r="T68" s="345">
        <v>5111</v>
      </c>
      <c r="U68" s="345">
        <v>112.63</v>
      </c>
      <c r="V68" s="345">
        <v>957</v>
      </c>
      <c r="W68" s="345">
        <v>130.33000000000001</v>
      </c>
      <c r="X68" s="345">
        <v>162</v>
      </c>
      <c r="Y68" s="345">
        <v>0</v>
      </c>
      <c r="Z68" s="345">
        <v>25</v>
      </c>
      <c r="AA68" s="345">
        <v>22</v>
      </c>
      <c r="AB68" s="345">
        <v>79</v>
      </c>
      <c r="AC68" s="345">
        <v>10</v>
      </c>
      <c r="AD68" s="349">
        <v>11560</v>
      </c>
      <c r="AE68" s="349">
        <v>85</v>
      </c>
      <c r="AF68" s="349">
        <v>38</v>
      </c>
      <c r="AG68" s="349">
        <v>123</v>
      </c>
    </row>
    <row r="69" spans="1:33" x14ac:dyDescent="0.2">
      <c r="A69" s="344" t="s">
        <v>194</v>
      </c>
      <c r="B69" s="350" t="s">
        <v>195</v>
      </c>
      <c r="C69" s="346">
        <v>796</v>
      </c>
      <c r="D69" s="346">
        <v>0</v>
      </c>
      <c r="E69" s="346">
        <v>153</v>
      </c>
      <c r="F69" s="346">
        <v>534</v>
      </c>
      <c r="G69" s="346">
        <v>48</v>
      </c>
      <c r="H69" s="346">
        <v>1531</v>
      </c>
      <c r="I69" s="345">
        <v>1483</v>
      </c>
      <c r="J69" s="345">
        <v>0</v>
      </c>
      <c r="K69" s="347">
        <v>86.8</v>
      </c>
      <c r="L69" s="347">
        <v>85.85</v>
      </c>
      <c r="M69" s="347">
        <v>6.72</v>
      </c>
      <c r="N69" s="347">
        <v>89.71</v>
      </c>
      <c r="O69" s="348">
        <v>655</v>
      </c>
      <c r="P69" s="345">
        <v>88.48</v>
      </c>
      <c r="Q69" s="345">
        <v>81.510000000000005</v>
      </c>
      <c r="R69" s="345">
        <v>27.15</v>
      </c>
      <c r="S69" s="345">
        <v>115.14</v>
      </c>
      <c r="T69" s="345">
        <v>618</v>
      </c>
      <c r="U69" s="345">
        <v>95.2</v>
      </c>
      <c r="V69" s="345">
        <v>48</v>
      </c>
      <c r="W69" s="345">
        <v>0</v>
      </c>
      <c r="X69" s="345">
        <v>0</v>
      </c>
      <c r="Y69" s="345">
        <v>0</v>
      </c>
      <c r="Z69" s="345">
        <v>0</v>
      </c>
      <c r="AA69" s="345">
        <v>7</v>
      </c>
      <c r="AB69" s="345">
        <v>4</v>
      </c>
      <c r="AC69" s="345">
        <v>2</v>
      </c>
      <c r="AD69" s="349">
        <v>702</v>
      </c>
      <c r="AE69" s="349">
        <v>5</v>
      </c>
      <c r="AF69" s="349">
        <v>3</v>
      </c>
      <c r="AG69" s="349">
        <v>8</v>
      </c>
    </row>
    <row r="70" spans="1:33" x14ac:dyDescent="0.2">
      <c r="A70" s="344" t="s">
        <v>196</v>
      </c>
      <c r="B70" s="350" t="s">
        <v>197</v>
      </c>
      <c r="C70" s="346">
        <v>6772</v>
      </c>
      <c r="D70" s="346">
        <v>22</v>
      </c>
      <c r="E70" s="346">
        <v>160</v>
      </c>
      <c r="F70" s="346">
        <v>740</v>
      </c>
      <c r="G70" s="346">
        <v>376</v>
      </c>
      <c r="H70" s="346">
        <v>8070</v>
      </c>
      <c r="I70" s="345">
        <v>7694</v>
      </c>
      <c r="J70" s="345">
        <v>2</v>
      </c>
      <c r="K70" s="347">
        <v>105.68</v>
      </c>
      <c r="L70" s="347">
        <v>113.68</v>
      </c>
      <c r="M70" s="347">
        <v>4.01</v>
      </c>
      <c r="N70" s="347">
        <v>107.61</v>
      </c>
      <c r="O70" s="348">
        <v>6345</v>
      </c>
      <c r="P70" s="345">
        <v>92.51</v>
      </c>
      <c r="Q70" s="345">
        <v>94.87</v>
      </c>
      <c r="R70" s="345">
        <v>29.25</v>
      </c>
      <c r="S70" s="345">
        <v>121.15</v>
      </c>
      <c r="T70" s="345">
        <v>719</v>
      </c>
      <c r="U70" s="345">
        <v>149.93</v>
      </c>
      <c r="V70" s="345">
        <v>373</v>
      </c>
      <c r="W70" s="345">
        <v>0</v>
      </c>
      <c r="X70" s="345">
        <v>0</v>
      </c>
      <c r="Y70" s="345">
        <v>0</v>
      </c>
      <c r="Z70" s="345">
        <v>10</v>
      </c>
      <c r="AA70" s="345">
        <v>1</v>
      </c>
      <c r="AB70" s="345">
        <v>37</v>
      </c>
      <c r="AC70" s="345">
        <v>21</v>
      </c>
      <c r="AD70" s="349">
        <v>6731</v>
      </c>
      <c r="AE70" s="349">
        <v>94</v>
      </c>
      <c r="AF70" s="349">
        <v>10</v>
      </c>
      <c r="AG70" s="349">
        <v>104</v>
      </c>
    </row>
    <row r="71" spans="1:33" x14ac:dyDescent="0.2">
      <c r="A71" s="344" t="s">
        <v>198</v>
      </c>
      <c r="B71" s="350" t="s">
        <v>199</v>
      </c>
      <c r="C71" s="346">
        <v>5583</v>
      </c>
      <c r="D71" s="346">
        <v>4</v>
      </c>
      <c r="E71" s="346">
        <v>297</v>
      </c>
      <c r="F71" s="346">
        <v>641</v>
      </c>
      <c r="G71" s="346">
        <v>264</v>
      </c>
      <c r="H71" s="346">
        <v>6789</v>
      </c>
      <c r="I71" s="345">
        <v>6525</v>
      </c>
      <c r="J71" s="345">
        <v>93</v>
      </c>
      <c r="K71" s="347">
        <v>80.67</v>
      </c>
      <c r="L71" s="347">
        <v>78.2</v>
      </c>
      <c r="M71" s="347">
        <v>5</v>
      </c>
      <c r="N71" s="347">
        <v>83.99</v>
      </c>
      <c r="O71" s="348">
        <v>5289</v>
      </c>
      <c r="P71" s="345">
        <v>84.54</v>
      </c>
      <c r="Q71" s="345">
        <v>68.13</v>
      </c>
      <c r="R71" s="345">
        <v>23.36</v>
      </c>
      <c r="S71" s="345">
        <v>107.69</v>
      </c>
      <c r="T71" s="345">
        <v>871</v>
      </c>
      <c r="U71" s="345">
        <v>104.21</v>
      </c>
      <c r="V71" s="345">
        <v>271</v>
      </c>
      <c r="W71" s="345">
        <v>0</v>
      </c>
      <c r="X71" s="345">
        <v>0</v>
      </c>
      <c r="Y71" s="345">
        <v>0</v>
      </c>
      <c r="Z71" s="345">
        <v>23</v>
      </c>
      <c r="AA71" s="345">
        <v>2</v>
      </c>
      <c r="AB71" s="345">
        <v>6</v>
      </c>
      <c r="AC71" s="345">
        <v>2</v>
      </c>
      <c r="AD71" s="349">
        <v>5576</v>
      </c>
      <c r="AE71" s="349">
        <v>50</v>
      </c>
      <c r="AF71" s="349">
        <v>10</v>
      </c>
      <c r="AG71" s="349">
        <v>60</v>
      </c>
    </row>
    <row r="72" spans="1:33" x14ac:dyDescent="0.2">
      <c r="A72" s="344" t="s">
        <v>200</v>
      </c>
      <c r="B72" s="350" t="s">
        <v>201</v>
      </c>
      <c r="C72" s="346">
        <v>194</v>
      </c>
      <c r="D72" s="346">
        <v>0</v>
      </c>
      <c r="E72" s="346">
        <v>20</v>
      </c>
      <c r="F72" s="346">
        <v>18</v>
      </c>
      <c r="G72" s="346">
        <v>0</v>
      </c>
      <c r="H72" s="346">
        <v>232</v>
      </c>
      <c r="I72" s="345">
        <v>232</v>
      </c>
      <c r="J72" s="345">
        <v>0</v>
      </c>
      <c r="K72" s="347">
        <v>124.46</v>
      </c>
      <c r="L72" s="347">
        <v>131.55000000000001</v>
      </c>
      <c r="M72" s="347">
        <v>12.76</v>
      </c>
      <c r="N72" s="347">
        <v>137.22</v>
      </c>
      <c r="O72" s="348">
        <v>177</v>
      </c>
      <c r="P72" s="345">
        <v>101.46</v>
      </c>
      <c r="Q72" s="345">
        <v>121.76</v>
      </c>
      <c r="R72" s="345">
        <v>47.78</v>
      </c>
      <c r="S72" s="345">
        <v>149.24</v>
      </c>
      <c r="T72" s="345">
        <v>18</v>
      </c>
      <c r="U72" s="345">
        <v>222.43</v>
      </c>
      <c r="V72" s="345">
        <v>17</v>
      </c>
      <c r="W72" s="345">
        <v>0</v>
      </c>
      <c r="X72" s="345">
        <v>0</v>
      </c>
      <c r="Y72" s="345">
        <v>0</v>
      </c>
      <c r="Z72" s="345">
        <v>0</v>
      </c>
      <c r="AA72" s="345">
        <v>0</v>
      </c>
      <c r="AB72" s="345">
        <v>0</v>
      </c>
      <c r="AC72" s="345">
        <v>0</v>
      </c>
      <c r="AD72" s="349">
        <v>194</v>
      </c>
      <c r="AE72" s="349">
        <v>1</v>
      </c>
      <c r="AF72" s="349">
        <v>0</v>
      </c>
      <c r="AG72" s="349">
        <v>1</v>
      </c>
    </row>
    <row r="73" spans="1:33" x14ac:dyDescent="0.2">
      <c r="A73" s="344" t="s">
        <v>202</v>
      </c>
      <c r="B73" s="350" t="s">
        <v>203</v>
      </c>
      <c r="C73" s="346">
        <v>3759</v>
      </c>
      <c r="D73" s="346">
        <v>184</v>
      </c>
      <c r="E73" s="346">
        <v>594</v>
      </c>
      <c r="F73" s="346">
        <v>348</v>
      </c>
      <c r="G73" s="346">
        <v>263</v>
      </c>
      <c r="H73" s="346">
        <v>5148</v>
      </c>
      <c r="I73" s="345">
        <v>4885</v>
      </c>
      <c r="J73" s="345">
        <v>16</v>
      </c>
      <c r="K73" s="347">
        <v>102.88</v>
      </c>
      <c r="L73" s="347">
        <v>103.02</v>
      </c>
      <c r="M73" s="347">
        <v>5.07</v>
      </c>
      <c r="N73" s="347">
        <v>106.94</v>
      </c>
      <c r="O73" s="348">
        <v>2966</v>
      </c>
      <c r="P73" s="345">
        <v>91.77</v>
      </c>
      <c r="Q73" s="345">
        <v>85.06</v>
      </c>
      <c r="R73" s="345">
        <v>35.19</v>
      </c>
      <c r="S73" s="345">
        <v>124.77</v>
      </c>
      <c r="T73" s="345">
        <v>610</v>
      </c>
      <c r="U73" s="345">
        <v>133.84</v>
      </c>
      <c r="V73" s="345">
        <v>525</v>
      </c>
      <c r="W73" s="345">
        <v>0</v>
      </c>
      <c r="X73" s="345">
        <v>0</v>
      </c>
      <c r="Y73" s="345">
        <v>0</v>
      </c>
      <c r="Z73" s="345">
        <v>4</v>
      </c>
      <c r="AA73" s="345">
        <v>3</v>
      </c>
      <c r="AB73" s="345">
        <v>5</v>
      </c>
      <c r="AC73" s="345">
        <v>1</v>
      </c>
      <c r="AD73" s="349">
        <v>3698</v>
      </c>
      <c r="AE73" s="349">
        <v>63</v>
      </c>
      <c r="AF73" s="349">
        <v>9</v>
      </c>
      <c r="AG73" s="349">
        <v>72</v>
      </c>
    </row>
    <row r="74" spans="1:33" x14ac:dyDescent="0.2">
      <c r="A74" s="344" t="s">
        <v>204</v>
      </c>
      <c r="B74" s="350" t="s">
        <v>205</v>
      </c>
      <c r="C74" s="346">
        <v>5684</v>
      </c>
      <c r="D74" s="346">
        <v>27</v>
      </c>
      <c r="E74" s="346">
        <v>96</v>
      </c>
      <c r="F74" s="346">
        <v>305</v>
      </c>
      <c r="G74" s="346">
        <v>43</v>
      </c>
      <c r="H74" s="346">
        <v>6155</v>
      </c>
      <c r="I74" s="345">
        <v>6112</v>
      </c>
      <c r="J74" s="345">
        <v>14</v>
      </c>
      <c r="K74" s="347">
        <v>84.86</v>
      </c>
      <c r="L74" s="347">
        <v>84.62</v>
      </c>
      <c r="M74" s="347">
        <v>2.14</v>
      </c>
      <c r="N74" s="347">
        <v>85.75</v>
      </c>
      <c r="O74" s="348">
        <v>5554</v>
      </c>
      <c r="P74" s="345">
        <v>79.61</v>
      </c>
      <c r="Q74" s="345">
        <v>75.67</v>
      </c>
      <c r="R74" s="345">
        <v>31.51</v>
      </c>
      <c r="S74" s="345">
        <v>110.87</v>
      </c>
      <c r="T74" s="345">
        <v>383</v>
      </c>
      <c r="U74" s="345">
        <v>92.46</v>
      </c>
      <c r="V74" s="345">
        <v>125</v>
      </c>
      <c r="W74" s="345">
        <v>0</v>
      </c>
      <c r="X74" s="345">
        <v>0</v>
      </c>
      <c r="Y74" s="345">
        <v>11</v>
      </c>
      <c r="Z74" s="345">
        <v>18</v>
      </c>
      <c r="AA74" s="345">
        <v>0</v>
      </c>
      <c r="AB74" s="345">
        <v>0</v>
      </c>
      <c r="AC74" s="345">
        <v>0</v>
      </c>
      <c r="AD74" s="349">
        <v>5652</v>
      </c>
      <c r="AE74" s="349">
        <v>201</v>
      </c>
      <c r="AF74" s="349">
        <v>39</v>
      </c>
      <c r="AG74" s="349">
        <v>240</v>
      </c>
    </row>
    <row r="75" spans="1:33" x14ac:dyDescent="0.2">
      <c r="A75" s="344" t="s">
        <v>206</v>
      </c>
      <c r="B75" s="350" t="s">
        <v>207</v>
      </c>
      <c r="C75" s="346">
        <v>16389</v>
      </c>
      <c r="D75" s="346">
        <v>14</v>
      </c>
      <c r="E75" s="346">
        <v>740</v>
      </c>
      <c r="F75" s="346">
        <v>3127</v>
      </c>
      <c r="G75" s="346">
        <v>1560</v>
      </c>
      <c r="H75" s="346">
        <v>21830</v>
      </c>
      <c r="I75" s="345">
        <v>20270</v>
      </c>
      <c r="J75" s="345">
        <v>133</v>
      </c>
      <c r="K75" s="347">
        <v>85.66</v>
      </c>
      <c r="L75" s="347">
        <v>80.959999999999994</v>
      </c>
      <c r="M75" s="347">
        <v>3.39</v>
      </c>
      <c r="N75" s="347">
        <v>88.1</v>
      </c>
      <c r="O75" s="348">
        <v>14274</v>
      </c>
      <c r="P75" s="345">
        <v>77.95</v>
      </c>
      <c r="Q75" s="345">
        <v>70.91</v>
      </c>
      <c r="R75" s="345">
        <v>31.32</v>
      </c>
      <c r="S75" s="345">
        <v>106</v>
      </c>
      <c r="T75" s="345">
        <v>3717</v>
      </c>
      <c r="U75" s="345">
        <v>119.12</v>
      </c>
      <c r="V75" s="345">
        <v>1580</v>
      </c>
      <c r="W75" s="345">
        <v>129.75</v>
      </c>
      <c r="X75" s="345">
        <v>29</v>
      </c>
      <c r="Y75" s="345">
        <v>16</v>
      </c>
      <c r="Z75" s="345">
        <v>21</v>
      </c>
      <c r="AA75" s="345">
        <v>25</v>
      </c>
      <c r="AB75" s="345">
        <v>119</v>
      </c>
      <c r="AC75" s="345">
        <v>21</v>
      </c>
      <c r="AD75" s="349">
        <v>16002</v>
      </c>
      <c r="AE75" s="349">
        <v>63</v>
      </c>
      <c r="AF75" s="349">
        <v>62</v>
      </c>
      <c r="AG75" s="349">
        <v>125</v>
      </c>
    </row>
    <row r="76" spans="1:33" x14ac:dyDescent="0.2">
      <c r="A76" s="344" t="s">
        <v>208</v>
      </c>
      <c r="B76" s="350" t="s">
        <v>209</v>
      </c>
      <c r="C76" s="346">
        <v>4990</v>
      </c>
      <c r="D76" s="346">
        <v>1</v>
      </c>
      <c r="E76" s="346">
        <v>58</v>
      </c>
      <c r="F76" s="346">
        <v>542</v>
      </c>
      <c r="G76" s="346">
        <v>588</v>
      </c>
      <c r="H76" s="346">
        <v>6179</v>
      </c>
      <c r="I76" s="345">
        <v>5591</v>
      </c>
      <c r="J76" s="345">
        <v>2</v>
      </c>
      <c r="K76" s="347">
        <v>103.95</v>
      </c>
      <c r="L76" s="347">
        <v>99.58</v>
      </c>
      <c r="M76" s="347">
        <v>4.01</v>
      </c>
      <c r="N76" s="347">
        <v>105.28</v>
      </c>
      <c r="O76" s="348">
        <v>4444</v>
      </c>
      <c r="P76" s="345">
        <v>94.94</v>
      </c>
      <c r="Q76" s="345">
        <v>89.05</v>
      </c>
      <c r="R76" s="345">
        <v>21.45</v>
      </c>
      <c r="S76" s="345">
        <v>115.7</v>
      </c>
      <c r="T76" s="345">
        <v>563</v>
      </c>
      <c r="U76" s="345">
        <v>134.9</v>
      </c>
      <c r="V76" s="345">
        <v>309</v>
      </c>
      <c r="W76" s="345">
        <v>149.79</v>
      </c>
      <c r="X76" s="345">
        <v>37</v>
      </c>
      <c r="Y76" s="345">
        <v>8</v>
      </c>
      <c r="Z76" s="345">
        <v>9</v>
      </c>
      <c r="AA76" s="345">
        <v>5</v>
      </c>
      <c r="AB76" s="345">
        <v>37</v>
      </c>
      <c r="AC76" s="345">
        <v>12</v>
      </c>
      <c r="AD76" s="349">
        <v>4757</v>
      </c>
      <c r="AE76" s="349">
        <v>5</v>
      </c>
      <c r="AF76" s="349">
        <v>5</v>
      </c>
      <c r="AG76" s="349">
        <v>10</v>
      </c>
    </row>
    <row r="77" spans="1:33" x14ac:dyDescent="0.2">
      <c r="A77" s="344" t="s">
        <v>210</v>
      </c>
      <c r="B77" s="350" t="s">
        <v>211</v>
      </c>
      <c r="C77" s="346">
        <v>23300</v>
      </c>
      <c r="D77" s="346">
        <v>71</v>
      </c>
      <c r="E77" s="346">
        <v>1151</v>
      </c>
      <c r="F77" s="346">
        <v>5299</v>
      </c>
      <c r="G77" s="346">
        <v>209</v>
      </c>
      <c r="H77" s="346">
        <v>30030</v>
      </c>
      <c r="I77" s="345">
        <v>29821</v>
      </c>
      <c r="J77" s="345">
        <v>66</v>
      </c>
      <c r="K77" s="347">
        <v>75.709999999999994</v>
      </c>
      <c r="L77" s="347">
        <v>75.58</v>
      </c>
      <c r="M77" s="347">
        <v>6.51</v>
      </c>
      <c r="N77" s="347">
        <v>77.22</v>
      </c>
      <c r="O77" s="348">
        <v>20633</v>
      </c>
      <c r="P77" s="345">
        <v>78.84</v>
      </c>
      <c r="Q77" s="345">
        <v>73.92</v>
      </c>
      <c r="R77" s="345">
        <v>36.78</v>
      </c>
      <c r="S77" s="345">
        <v>93.64</v>
      </c>
      <c r="T77" s="345">
        <v>5911</v>
      </c>
      <c r="U77" s="345">
        <v>88.31</v>
      </c>
      <c r="V77" s="345">
        <v>1968</v>
      </c>
      <c r="W77" s="345">
        <v>94.39</v>
      </c>
      <c r="X77" s="345">
        <v>340</v>
      </c>
      <c r="Y77" s="345">
        <v>0</v>
      </c>
      <c r="Z77" s="345">
        <v>73</v>
      </c>
      <c r="AA77" s="345">
        <v>7</v>
      </c>
      <c r="AB77" s="345">
        <v>4</v>
      </c>
      <c r="AC77" s="345">
        <v>5</v>
      </c>
      <c r="AD77" s="349">
        <v>22443</v>
      </c>
      <c r="AE77" s="349">
        <v>291</v>
      </c>
      <c r="AF77" s="349">
        <v>442</v>
      </c>
      <c r="AG77" s="349">
        <v>733</v>
      </c>
    </row>
    <row r="78" spans="1:33" x14ac:dyDescent="0.2">
      <c r="A78" s="344" t="s">
        <v>212</v>
      </c>
      <c r="B78" s="350" t="s">
        <v>213</v>
      </c>
      <c r="C78" s="346">
        <v>22073</v>
      </c>
      <c r="D78" s="346">
        <v>1</v>
      </c>
      <c r="E78" s="346">
        <v>636</v>
      </c>
      <c r="F78" s="346">
        <v>1887</v>
      </c>
      <c r="G78" s="346">
        <v>625</v>
      </c>
      <c r="H78" s="346">
        <v>25222</v>
      </c>
      <c r="I78" s="345">
        <v>24597</v>
      </c>
      <c r="J78" s="345">
        <v>1</v>
      </c>
      <c r="K78" s="347">
        <v>90.4</v>
      </c>
      <c r="L78" s="347">
        <v>90.56</v>
      </c>
      <c r="M78" s="347">
        <v>4.97</v>
      </c>
      <c r="N78" s="347">
        <v>95</v>
      </c>
      <c r="O78" s="348">
        <v>20224</v>
      </c>
      <c r="P78" s="345">
        <v>88.93</v>
      </c>
      <c r="Q78" s="345">
        <v>84.64</v>
      </c>
      <c r="R78" s="345">
        <v>43.88</v>
      </c>
      <c r="S78" s="345">
        <v>132.09</v>
      </c>
      <c r="T78" s="345">
        <v>2279</v>
      </c>
      <c r="U78" s="345">
        <v>111.93</v>
      </c>
      <c r="V78" s="345">
        <v>1329</v>
      </c>
      <c r="W78" s="345">
        <v>0</v>
      </c>
      <c r="X78" s="345">
        <v>0</v>
      </c>
      <c r="Y78" s="345">
        <v>1</v>
      </c>
      <c r="Z78" s="345">
        <v>79</v>
      </c>
      <c r="AA78" s="345">
        <v>18</v>
      </c>
      <c r="AB78" s="345">
        <v>24</v>
      </c>
      <c r="AC78" s="345">
        <v>18</v>
      </c>
      <c r="AD78" s="349">
        <v>21775</v>
      </c>
      <c r="AE78" s="349">
        <v>158</v>
      </c>
      <c r="AF78" s="349">
        <v>36</v>
      </c>
      <c r="AG78" s="349">
        <v>194</v>
      </c>
    </row>
    <row r="79" spans="1:33" x14ac:dyDescent="0.2">
      <c r="A79" s="344" t="s">
        <v>214</v>
      </c>
      <c r="B79" s="350" t="s">
        <v>215</v>
      </c>
      <c r="C79" s="346">
        <v>2120</v>
      </c>
      <c r="D79" s="346">
        <v>8</v>
      </c>
      <c r="E79" s="346">
        <v>43</v>
      </c>
      <c r="F79" s="346">
        <v>221</v>
      </c>
      <c r="G79" s="346">
        <v>57</v>
      </c>
      <c r="H79" s="346">
        <v>2449</v>
      </c>
      <c r="I79" s="345">
        <v>2392</v>
      </c>
      <c r="J79" s="345">
        <v>0</v>
      </c>
      <c r="K79" s="347">
        <v>85.28</v>
      </c>
      <c r="L79" s="347">
        <v>82.02</v>
      </c>
      <c r="M79" s="347">
        <v>6.46</v>
      </c>
      <c r="N79" s="347">
        <v>89.23</v>
      </c>
      <c r="O79" s="348">
        <v>1758</v>
      </c>
      <c r="P79" s="345">
        <v>78.56</v>
      </c>
      <c r="Q79" s="345">
        <v>69.27</v>
      </c>
      <c r="R79" s="345">
        <v>40.22</v>
      </c>
      <c r="S79" s="345">
        <v>118.59</v>
      </c>
      <c r="T79" s="345">
        <v>210</v>
      </c>
      <c r="U79" s="345">
        <v>95.18</v>
      </c>
      <c r="V79" s="345">
        <v>315</v>
      </c>
      <c r="W79" s="345">
        <v>143.11000000000001</v>
      </c>
      <c r="X79" s="345">
        <v>44</v>
      </c>
      <c r="Y79" s="345">
        <v>0</v>
      </c>
      <c r="Z79" s="345">
        <v>6</v>
      </c>
      <c r="AA79" s="345">
        <v>1</v>
      </c>
      <c r="AB79" s="345">
        <v>14</v>
      </c>
      <c r="AC79" s="345">
        <v>11</v>
      </c>
      <c r="AD79" s="349">
        <v>2104</v>
      </c>
      <c r="AE79" s="349">
        <v>15</v>
      </c>
      <c r="AF79" s="349">
        <v>14</v>
      </c>
      <c r="AG79" s="349">
        <v>29</v>
      </c>
    </row>
    <row r="80" spans="1:33" x14ac:dyDescent="0.2">
      <c r="A80" s="344" t="s">
        <v>216</v>
      </c>
      <c r="B80" s="350" t="s">
        <v>217</v>
      </c>
      <c r="C80" s="346">
        <v>1822</v>
      </c>
      <c r="D80" s="346">
        <v>0</v>
      </c>
      <c r="E80" s="346">
        <v>294</v>
      </c>
      <c r="F80" s="346">
        <v>285</v>
      </c>
      <c r="G80" s="346">
        <v>422</v>
      </c>
      <c r="H80" s="346">
        <v>2823</v>
      </c>
      <c r="I80" s="345">
        <v>2401</v>
      </c>
      <c r="J80" s="345">
        <v>0</v>
      </c>
      <c r="K80" s="347">
        <v>107.16</v>
      </c>
      <c r="L80" s="347">
        <v>106.25</v>
      </c>
      <c r="M80" s="347">
        <v>7.46</v>
      </c>
      <c r="N80" s="347">
        <v>113.98</v>
      </c>
      <c r="O80" s="348">
        <v>1520</v>
      </c>
      <c r="P80" s="345">
        <v>120.54</v>
      </c>
      <c r="Q80" s="345">
        <v>104.35</v>
      </c>
      <c r="R80" s="345">
        <v>33.78</v>
      </c>
      <c r="S80" s="345">
        <v>147.76</v>
      </c>
      <c r="T80" s="345">
        <v>314</v>
      </c>
      <c r="U80" s="345">
        <v>150.66999999999999</v>
      </c>
      <c r="V80" s="345">
        <v>184</v>
      </c>
      <c r="W80" s="345">
        <v>176.97</v>
      </c>
      <c r="X80" s="345">
        <v>65</v>
      </c>
      <c r="Y80" s="345">
        <v>0</v>
      </c>
      <c r="Z80" s="345">
        <v>0</v>
      </c>
      <c r="AA80" s="345">
        <v>0</v>
      </c>
      <c r="AB80" s="345">
        <v>3</v>
      </c>
      <c r="AC80" s="345">
        <v>10</v>
      </c>
      <c r="AD80" s="349">
        <v>1793</v>
      </c>
      <c r="AE80" s="349">
        <v>17</v>
      </c>
      <c r="AF80" s="349">
        <v>2</v>
      </c>
      <c r="AG80" s="349">
        <v>19</v>
      </c>
    </row>
    <row r="81" spans="1:33" x14ac:dyDescent="0.2">
      <c r="A81" s="344" t="s">
        <v>218</v>
      </c>
      <c r="B81" s="350" t="s">
        <v>219</v>
      </c>
      <c r="C81" s="346">
        <v>10528</v>
      </c>
      <c r="D81" s="346">
        <v>47</v>
      </c>
      <c r="E81" s="346">
        <v>1011</v>
      </c>
      <c r="F81" s="346">
        <v>813</v>
      </c>
      <c r="G81" s="346">
        <v>1763</v>
      </c>
      <c r="H81" s="346">
        <v>14162</v>
      </c>
      <c r="I81" s="345">
        <v>12399</v>
      </c>
      <c r="J81" s="345">
        <v>48</v>
      </c>
      <c r="K81" s="347">
        <v>123.11</v>
      </c>
      <c r="L81" s="347">
        <v>122.96</v>
      </c>
      <c r="M81" s="347">
        <v>7.6</v>
      </c>
      <c r="N81" s="347">
        <v>127.99</v>
      </c>
      <c r="O81" s="348">
        <v>9189</v>
      </c>
      <c r="P81" s="345">
        <v>98.33</v>
      </c>
      <c r="Q81" s="345">
        <v>95.72</v>
      </c>
      <c r="R81" s="345">
        <v>53.13</v>
      </c>
      <c r="S81" s="345">
        <v>150.31</v>
      </c>
      <c r="T81" s="345">
        <v>1156</v>
      </c>
      <c r="U81" s="345">
        <v>171.27</v>
      </c>
      <c r="V81" s="345">
        <v>877</v>
      </c>
      <c r="W81" s="345">
        <v>151.61000000000001</v>
      </c>
      <c r="X81" s="345">
        <v>27</v>
      </c>
      <c r="Y81" s="345">
        <v>40</v>
      </c>
      <c r="Z81" s="345">
        <v>5</v>
      </c>
      <c r="AA81" s="345">
        <v>14</v>
      </c>
      <c r="AB81" s="345">
        <v>84</v>
      </c>
      <c r="AC81" s="345">
        <v>56</v>
      </c>
      <c r="AD81" s="349">
        <v>10302</v>
      </c>
      <c r="AE81" s="349">
        <v>65</v>
      </c>
      <c r="AF81" s="349">
        <v>63</v>
      </c>
      <c r="AG81" s="349">
        <v>128</v>
      </c>
    </row>
    <row r="82" spans="1:33" x14ac:dyDescent="0.2">
      <c r="A82" s="344" t="s">
        <v>220</v>
      </c>
      <c r="B82" s="350" t="s">
        <v>221</v>
      </c>
      <c r="C82" s="346">
        <v>2374</v>
      </c>
      <c r="D82" s="346">
        <v>0</v>
      </c>
      <c r="E82" s="346">
        <v>267</v>
      </c>
      <c r="F82" s="346">
        <v>272</v>
      </c>
      <c r="G82" s="346">
        <v>368</v>
      </c>
      <c r="H82" s="346">
        <v>3281</v>
      </c>
      <c r="I82" s="345">
        <v>2913</v>
      </c>
      <c r="J82" s="345">
        <v>1</v>
      </c>
      <c r="K82" s="347">
        <v>116.99</v>
      </c>
      <c r="L82" s="347">
        <v>116.6</v>
      </c>
      <c r="M82" s="347">
        <v>6</v>
      </c>
      <c r="N82" s="347">
        <v>122.16</v>
      </c>
      <c r="O82" s="348">
        <v>2009</v>
      </c>
      <c r="P82" s="345">
        <v>105.52</v>
      </c>
      <c r="Q82" s="345">
        <v>97.77</v>
      </c>
      <c r="R82" s="345">
        <v>28.9</v>
      </c>
      <c r="S82" s="345">
        <v>134.02000000000001</v>
      </c>
      <c r="T82" s="345">
        <v>425</v>
      </c>
      <c r="U82" s="345">
        <v>146.72</v>
      </c>
      <c r="V82" s="345">
        <v>217</v>
      </c>
      <c r="W82" s="345">
        <v>0</v>
      </c>
      <c r="X82" s="345">
        <v>0</v>
      </c>
      <c r="Y82" s="345">
        <v>0</v>
      </c>
      <c r="Z82" s="345">
        <v>1</v>
      </c>
      <c r="AA82" s="345">
        <v>1</v>
      </c>
      <c r="AB82" s="345">
        <v>18</v>
      </c>
      <c r="AC82" s="345">
        <v>6</v>
      </c>
      <c r="AD82" s="349">
        <v>2341</v>
      </c>
      <c r="AE82" s="349">
        <v>24</v>
      </c>
      <c r="AF82" s="349">
        <v>12</v>
      </c>
      <c r="AG82" s="349">
        <v>36</v>
      </c>
    </row>
    <row r="83" spans="1:33" x14ac:dyDescent="0.2">
      <c r="A83" s="344" t="s">
        <v>222</v>
      </c>
      <c r="B83" s="350" t="s">
        <v>223</v>
      </c>
      <c r="C83" s="346">
        <v>1728</v>
      </c>
      <c r="D83" s="346">
        <v>45</v>
      </c>
      <c r="E83" s="346">
        <v>324</v>
      </c>
      <c r="F83" s="346">
        <v>480</v>
      </c>
      <c r="G83" s="346">
        <v>102</v>
      </c>
      <c r="H83" s="346">
        <v>2679</v>
      </c>
      <c r="I83" s="345">
        <v>2577</v>
      </c>
      <c r="J83" s="345">
        <v>0</v>
      </c>
      <c r="K83" s="347">
        <v>80.72</v>
      </c>
      <c r="L83" s="347">
        <v>78.61</v>
      </c>
      <c r="M83" s="347">
        <v>5.92</v>
      </c>
      <c r="N83" s="347">
        <v>84.47</v>
      </c>
      <c r="O83" s="348">
        <v>1122</v>
      </c>
      <c r="P83" s="345">
        <v>83.23</v>
      </c>
      <c r="Q83" s="345">
        <v>75.16</v>
      </c>
      <c r="R83" s="345">
        <v>36.6</v>
      </c>
      <c r="S83" s="345">
        <v>119.42</v>
      </c>
      <c r="T83" s="345">
        <v>627</v>
      </c>
      <c r="U83" s="345">
        <v>91.13</v>
      </c>
      <c r="V83" s="345">
        <v>243</v>
      </c>
      <c r="W83" s="345">
        <v>0</v>
      </c>
      <c r="X83" s="345">
        <v>0</v>
      </c>
      <c r="Y83" s="345">
        <v>0</v>
      </c>
      <c r="Z83" s="345">
        <v>7</v>
      </c>
      <c r="AA83" s="345">
        <v>4</v>
      </c>
      <c r="AB83" s="345">
        <v>0</v>
      </c>
      <c r="AC83" s="345">
        <v>7</v>
      </c>
      <c r="AD83" s="349">
        <v>1453</v>
      </c>
      <c r="AE83" s="349">
        <v>59</v>
      </c>
      <c r="AF83" s="349">
        <v>57</v>
      </c>
      <c r="AG83" s="349">
        <v>116</v>
      </c>
    </row>
    <row r="84" spans="1:33" x14ac:dyDescent="0.2">
      <c r="A84" s="344" t="s">
        <v>224</v>
      </c>
      <c r="B84" s="350" t="s">
        <v>225</v>
      </c>
      <c r="C84" s="346">
        <v>1461</v>
      </c>
      <c r="D84" s="346">
        <v>12</v>
      </c>
      <c r="E84" s="346">
        <v>158</v>
      </c>
      <c r="F84" s="346">
        <v>67</v>
      </c>
      <c r="G84" s="346">
        <v>561</v>
      </c>
      <c r="H84" s="346">
        <v>2259</v>
      </c>
      <c r="I84" s="345">
        <v>1698</v>
      </c>
      <c r="J84" s="345">
        <v>0</v>
      </c>
      <c r="K84" s="347">
        <v>107.85</v>
      </c>
      <c r="L84" s="347">
        <v>107.8</v>
      </c>
      <c r="M84" s="347">
        <v>5.63</v>
      </c>
      <c r="N84" s="347">
        <v>112.94</v>
      </c>
      <c r="O84" s="348">
        <v>849</v>
      </c>
      <c r="P84" s="345">
        <v>89.36</v>
      </c>
      <c r="Q84" s="345">
        <v>87.36</v>
      </c>
      <c r="R84" s="345">
        <v>30.39</v>
      </c>
      <c r="S84" s="345">
        <v>115.57</v>
      </c>
      <c r="T84" s="345">
        <v>109</v>
      </c>
      <c r="U84" s="345">
        <v>145.19999999999999</v>
      </c>
      <c r="V84" s="345">
        <v>145</v>
      </c>
      <c r="W84" s="345">
        <v>0</v>
      </c>
      <c r="X84" s="345">
        <v>0</v>
      </c>
      <c r="Y84" s="345">
        <v>9</v>
      </c>
      <c r="Z84" s="345">
        <v>0</v>
      </c>
      <c r="AA84" s="345">
        <v>8</v>
      </c>
      <c r="AB84" s="345">
        <v>13</v>
      </c>
      <c r="AC84" s="345">
        <v>32</v>
      </c>
      <c r="AD84" s="349">
        <v>1069</v>
      </c>
      <c r="AE84" s="349">
        <v>4</v>
      </c>
      <c r="AF84" s="349">
        <v>2</v>
      </c>
      <c r="AG84" s="349">
        <v>6</v>
      </c>
    </row>
    <row r="85" spans="1:33" x14ac:dyDescent="0.2">
      <c r="A85" s="344" t="s">
        <v>226</v>
      </c>
      <c r="B85" s="350" t="s">
        <v>227</v>
      </c>
      <c r="C85" s="346">
        <v>5767</v>
      </c>
      <c r="D85" s="346">
        <v>96</v>
      </c>
      <c r="E85" s="346">
        <v>481</v>
      </c>
      <c r="F85" s="346">
        <v>1347</v>
      </c>
      <c r="G85" s="346">
        <v>539</v>
      </c>
      <c r="H85" s="346">
        <v>8230</v>
      </c>
      <c r="I85" s="345">
        <v>7691</v>
      </c>
      <c r="J85" s="345">
        <v>11</v>
      </c>
      <c r="K85" s="347">
        <v>88.19</v>
      </c>
      <c r="L85" s="347">
        <v>90.2</v>
      </c>
      <c r="M85" s="347">
        <v>5.67</v>
      </c>
      <c r="N85" s="347">
        <v>92.21</v>
      </c>
      <c r="O85" s="348">
        <v>5466</v>
      </c>
      <c r="P85" s="345">
        <v>81.819999999999993</v>
      </c>
      <c r="Q85" s="345">
        <v>78.89</v>
      </c>
      <c r="R85" s="345">
        <v>44.61</v>
      </c>
      <c r="S85" s="345">
        <v>123.23</v>
      </c>
      <c r="T85" s="345">
        <v>1452</v>
      </c>
      <c r="U85" s="345">
        <v>100.24</v>
      </c>
      <c r="V85" s="345">
        <v>133</v>
      </c>
      <c r="W85" s="345">
        <v>154.56</v>
      </c>
      <c r="X85" s="345">
        <v>88</v>
      </c>
      <c r="Y85" s="345">
        <v>15</v>
      </c>
      <c r="Z85" s="345">
        <v>3</v>
      </c>
      <c r="AA85" s="345">
        <v>9</v>
      </c>
      <c r="AB85" s="345">
        <v>10</v>
      </c>
      <c r="AC85" s="345">
        <v>19</v>
      </c>
      <c r="AD85" s="349">
        <v>5640</v>
      </c>
      <c r="AE85" s="349">
        <v>53</v>
      </c>
      <c r="AF85" s="349">
        <v>25</v>
      </c>
      <c r="AG85" s="349">
        <v>78</v>
      </c>
    </row>
    <row r="86" spans="1:33" x14ac:dyDescent="0.2">
      <c r="A86" s="344" t="s">
        <v>228</v>
      </c>
      <c r="B86" s="350" t="s">
        <v>229</v>
      </c>
      <c r="C86" s="346">
        <v>3670</v>
      </c>
      <c r="D86" s="346">
        <v>0</v>
      </c>
      <c r="E86" s="346">
        <v>63</v>
      </c>
      <c r="F86" s="346">
        <v>315</v>
      </c>
      <c r="G86" s="346">
        <v>136</v>
      </c>
      <c r="H86" s="346">
        <v>4184</v>
      </c>
      <c r="I86" s="345">
        <v>4048</v>
      </c>
      <c r="J86" s="345">
        <v>0</v>
      </c>
      <c r="K86" s="347">
        <v>91.75</v>
      </c>
      <c r="L86" s="347">
        <v>93.8</v>
      </c>
      <c r="M86" s="347">
        <v>2.5099999999999998</v>
      </c>
      <c r="N86" s="347">
        <v>93.94</v>
      </c>
      <c r="O86" s="348">
        <v>3424</v>
      </c>
      <c r="P86" s="345">
        <v>82.28</v>
      </c>
      <c r="Q86" s="345">
        <v>80.8</v>
      </c>
      <c r="R86" s="345">
        <v>27.24</v>
      </c>
      <c r="S86" s="345">
        <v>106.49</v>
      </c>
      <c r="T86" s="345">
        <v>359</v>
      </c>
      <c r="U86" s="345">
        <v>114.37</v>
      </c>
      <c r="V86" s="345">
        <v>130</v>
      </c>
      <c r="W86" s="345">
        <v>0</v>
      </c>
      <c r="X86" s="345">
        <v>0</v>
      </c>
      <c r="Y86" s="345">
        <v>8</v>
      </c>
      <c r="Z86" s="345">
        <v>11</v>
      </c>
      <c r="AA86" s="345">
        <v>4</v>
      </c>
      <c r="AB86" s="345">
        <v>5</v>
      </c>
      <c r="AC86" s="345">
        <v>3</v>
      </c>
      <c r="AD86" s="349">
        <v>3567</v>
      </c>
      <c r="AE86" s="349">
        <v>28</v>
      </c>
      <c r="AF86" s="349">
        <v>66</v>
      </c>
      <c r="AG86" s="349">
        <v>94</v>
      </c>
    </row>
    <row r="87" spans="1:33" x14ac:dyDescent="0.2">
      <c r="A87" s="344" t="s">
        <v>230</v>
      </c>
      <c r="B87" s="350" t="s">
        <v>231</v>
      </c>
      <c r="C87" s="346">
        <v>2050</v>
      </c>
      <c r="D87" s="346">
        <v>0</v>
      </c>
      <c r="E87" s="346">
        <v>531</v>
      </c>
      <c r="F87" s="346">
        <v>974</v>
      </c>
      <c r="G87" s="346">
        <v>186</v>
      </c>
      <c r="H87" s="346">
        <v>3741</v>
      </c>
      <c r="I87" s="345">
        <v>3555</v>
      </c>
      <c r="J87" s="345">
        <v>0</v>
      </c>
      <c r="K87" s="347">
        <v>81.95</v>
      </c>
      <c r="L87" s="347">
        <v>80.430000000000007</v>
      </c>
      <c r="M87" s="347">
        <v>5.16</v>
      </c>
      <c r="N87" s="347">
        <v>84.97</v>
      </c>
      <c r="O87" s="348">
        <v>1744</v>
      </c>
      <c r="P87" s="345">
        <v>91.27</v>
      </c>
      <c r="Q87" s="345">
        <v>77.86</v>
      </c>
      <c r="R87" s="345">
        <v>21.8</v>
      </c>
      <c r="S87" s="345">
        <v>112.63</v>
      </c>
      <c r="T87" s="345">
        <v>1360</v>
      </c>
      <c r="U87" s="345">
        <v>91.22</v>
      </c>
      <c r="V87" s="345">
        <v>178</v>
      </c>
      <c r="W87" s="345">
        <v>127.5</v>
      </c>
      <c r="X87" s="345">
        <v>19</v>
      </c>
      <c r="Y87" s="345">
        <v>0</v>
      </c>
      <c r="Z87" s="345">
        <v>0</v>
      </c>
      <c r="AA87" s="345">
        <v>10</v>
      </c>
      <c r="AB87" s="345">
        <v>3</v>
      </c>
      <c r="AC87" s="345">
        <v>2</v>
      </c>
      <c r="AD87" s="349">
        <v>1991</v>
      </c>
      <c r="AE87" s="349">
        <v>20</v>
      </c>
      <c r="AF87" s="349">
        <v>5</v>
      </c>
      <c r="AG87" s="349">
        <v>25</v>
      </c>
    </row>
    <row r="88" spans="1:33" x14ac:dyDescent="0.2">
      <c r="A88" s="344" t="s">
        <v>232</v>
      </c>
      <c r="B88" s="350" t="s">
        <v>233</v>
      </c>
      <c r="C88" s="345">
        <v>15364</v>
      </c>
      <c r="D88" s="345">
        <v>62</v>
      </c>
      <c r="E88" s="345">
        <v>559</v>
      </c>
      <c r="F88" s="345">
        <v>4399</v>
      </c>
      <c r="G88" s="345">
        <v>831</v>
      </c>
      <c r="H88" s="345">
        <v>21215</v>
      </c>
      <c r="I88" s="345">
        <v>20384</v>
      </c>
      <c r="J88" s="345">
        <v>7</v>
      </c>
      <c r="K88" s="345">
        <v>98.4</v>
      </c>
      <c r="L88" s="347">
        <v>99.71</v>
      </c>
      <c r="M88" s="347">
        <v>3.42</v>
      </c>
      <c r="N88" s="347">
        <v>100.3</v>
      </c>
      <c r="O88" s="348">
        <v>14604</v>
      </c>
      <c r="P88" s="345">
        <v>86.22</v>
      </c>
      <c r="Q88" s="345">
        <v>86.6</v>
      </c>
      <c r="R88" s="345">
        <v>17.11</v>
      </c>
      <c r="S88" s="345">
        <v>102.37</v>
      </c>
      <c r="T88" s="345">
        <v>4531</v>
      </c>
      <c r="U88" s="345">
        <v>132.6</v>
      </c>
      <c r="V88" s="345">
        <v>721</v>
      </c>
      <c r="W88" s="345">
        <v>139.68</v>
      </c>
      <c r="X88" s="345">
        <v>29</v>
      </c>
      <c r="Y88" s="345">
        <v>11</v>
      </c>
      <c r="Z88" s="345">
        <v>23</v>
      </c>
      <c r="AA88" s="345">
        <v>17</v>
      </c>
      <c r="AB88" s="345">
        <v>47</v>
      </c>
      <c r="AC88" s="345">
        <v>13</v>
      </c>
      <c r="AD88" s="345">
        <v>15327</v>
      </c>
      <c r="AE88" s="345">
        <v>61</v>
      </c>
      <c r="AF88" s="345">
        <v>24</v>
      </c>
      <c r="AG88" s="345">
        <v>85</v>
      </c>
    </row>
    <row r="89" spans="1:33" x14ac:dyDescent="0.2">
      <c r="A89" s="344" t="s">
        <v>234</v>
      </c>
      <c r="B89" s="350" t="s">
        <v>235</v>
      </c>
      <c r="C89" s="346">
        <v>1967</v>
      </c>
      <c r="D89" s="346">
        <v>0</v>
      </c>
      <c r="E89" s="346">
        <v>107</v>
      </c>
      <c r="F89" s="346">
        <v>441</v>
      </c>
      <c r="G89" s="346">
        <v>164</v>
      </c>
      <c r="H89" s="346">
        <v>2679</v>
      </c>
      <c r="I89" s="345">
        <v>2515</v>
      </c>
      <c r="J89" s="345">
        <v>0</v>
      </c>
      <c r="K89" s="347">
        <v>90.91</v>
      </c>
      <c r="L89" s="347">
        <v>90.88</v>
      </c>
      <c r="M89" s="347">
        <v>5.74</v>
      </c>
      <c r="N89" s="347">
        <v>95.36</v>
      </c>
      <c r="O89" s="348">
        <v>1712</v>
      </c>
      <c r="P89" s="345">
        <v>86.29</v>
      </c>
      <c r="Q89" s="345">
        <v>87.2</v>
      </c>
      <c r="R89" s="345">
        <v>32.61</v>
      </c>
      <c r="S89" s="345">
        <v>117.88</v>
      </c>
      <c r="T89" s="345">
        <v>545</v>
      </c>
      <c r="U89" s="345">
        <v>118.7</v>
      </c>
      <c r="V89" s="345">
        <v>90</v>
      </c>
      <c r="W89" s="345">
        <v>0</v>
      </c>
      <c r="X89" s="345">
        <v>0</v>
      </c>
      <c r="Y89" s="345">
        <v>0</v>
      </c>
      <c r="Z89" s="345">
        <v>0</v>
      </c>
      <c r="AA89" s="345">
        <v>0</v>
      </c>
      <c r="AB89" s="345">
        <v>17</v>
      </c>
      <c r="AC89" s="345">
        <v>4</v>
      </c>
      <c r="AD89" s="349">
        <v>1915</v>
      </c>
      <c r="AE89" s="349">
        <v>13</v>
      </c>
      <c r="AF89" s="349">
        <v>11</v>
      </c>
      <c r="AG89" s="349">
        <v>24</v>
      </c>
    </row>
    <row r="90" spans="1:33" x14ac:dyDescent="0.2">
      <c r="A90" s="344" t="s">
        <v>236</v>
      </c>
      <c r="B90" s="350" t="s">
        <v>237</v>
      </c>
      <c r="C90" s="346">
        <v>3439</v>
      </c>
      <c r="D90" s="346">
        <v>0</v>
      </c>
      <c r="E90" s="346">
        <v>376</v>
      </c>
      <c r="F90" s="346">
        <v>907</v>
      </c>
      <c r="G90" s="346">
        <v>739</v>
      </c>
      <c r="H90" s="346">
        <v>5461</v>
      </c>
      <c r="I90" s="345">
        <v>4722</v>
      </c>
      <c r="J90" s="345">
        <v>0</v>
      </c>
      <c r="K90" s="347">
        <v>93.77</v>
      </c>
      <c r="L90" s="347">
        <v>93.6</v>
      </c>
      <c r="M90" s="347">
        <v>6.17</v>
      </c>
      <c r="N90" s="347">
        <v>98.82</v>
      </c>
      <c r="O90" s="348">
        <v>3163</v>
      </c>
      <c r="P90" s="345">
        <v>96.25</v>
      </c>
      <c r="Q90" s="345">
        <v>92.35</v>
      </c>
      <c r="R90" s="345">
        <v>36.08</v>
      </c>
      <c r="S90" s="345">
        <v>127.88</v>
      </c>
      <c r="T90" s="345">
        <v>997</v>
      </c>
      <c r="U90" s="345">
        <v>109.21</v>
      </c>
      <c r="V90" s="345">
        <v>154</v>
      </c>
      <c r="W90" s="345">
        <v>0</v>
      </c>
      <c r="X90" s="345">
        <v>0</v>
      </c>
      <c r="Y90" s="345">
        <v>0</v>
      </c>
      <c r="Z90" s="345">
        <v>10</v>
      </c>
      <c r="AA90" s="345">
        <v>3</v>
      </c>
      <c r="AB90" s="345">
        <v>13</v>
      </c>
      <c r="AC90" s="345">
        <v>12</v>
      </c>
      <c r="AD90" s="349">
        <v>3411</v>
      </c>
      <c r="AE90" s="349">
        <v>21</v>
      </c>
      <c r="AF90" s="349">
        <v>7</v>
      </c>
      <c r="AG90" s="349">
        <v>28</v>
      </c>
    </row>
    <row r="91" spans="1:33" x14ac:dyDescent="0.2">
      <c r="A91" s="344" t="s">
        <v>238</v>
      </c>
      <c r="B91" s="350" t="s">
        <v>239</v>
      </c>
      <c r="C91" s="346">
        <v>8901</v>
      </c>
      <c r="D91" s="346">
        <v>20</v>
      </c>
      <c r="E91" s="346">
        <v>908</v>
      </c>
      <c r="F91" s="346">
        <v>790</v>
      </c>
      <c r="G91" s="346">
        <v>2140</v>
      </c>
      <c r="H91" s="346">
        <v>12759</v>
      </c>
      <c r="I91" s="345">
        <v>10619</v>
      </c>
      <c r="J91" s="345">
        <v>150</v>
      </c>
      <c r="K91" s="347">
        <v>126.1</v>
      </c>
      <c r="L91" s="347">
        <v>128.11000000000001</v>
      </c>
      <c r="M91" s="347">
        <v>9.6999999999999993</v>
      </c>
      <c r="N91" s="347">
        <v>133.07</v>
      </c>
      <c r="O91" s="348">
        <v>7986</v>
      </c>
      <c r="P91" s="345">
        <v>114.23</v>
      </c>
      <c r="Q91" s="345">
        <v>113.62</v>
      </c>
      <c r="R91" s="345">
        <v>40.43</v>
      </c>
      <c r="S91" s="345">
        <v>151.94</v>
      </c>
      <c r="T91" s="345">
        <v>1143</v>
      </c>
      <c r="U91" s="345">
        <v>194.2</v>
      </c>
      <c r="V91" s="345">
        <v>399</v>
      </c>
      <c r="W91" s="345">
        <v>202.2</v>
      </c>
      <c r="X91" s="345">
        <v>17</v>
      </c>
      <c r="Y91" s="345">
        <v>0</v>
      </c>
      <c r="Z91" s="345">
        <v>5</v>
      </c>
      <c r="AA91" s="345">
        <v>29</v>
      </c>
      <c r="AB91" s="345">
        <v>125</v>
      </c>
      <c r="AC91" s="345">
        <v>70</v>
      </c>
      <c r="AD91" s="349">
        <v>8460</v>
      </c>
      <c r="AE91" s="349">
        <v>22</v>
      </c>
      <c r="AF91" s="349">
        <v>73</v>
      </c>
      <c r="AG91" s="349">
        <v>95</v>
      </c>
    </row>
    <row r="92" spans="1:33" x14ac:dyDescent="0.2">
      <c r="A92" s="344" t="s">
        <v>240</v>
      </c>
      <c r="B92" s="350" t="s">
        <v>241</v>
      </c>
      <c r="C92" s="346">
        <v>4002</v>
      </c>
      <c r="D92" s="346">
        <v>7</v>
      </c>
      <c r="E92" s="346">
        <v>114</v>
      </c>
      <c r="F92" s="346">
        <v>1058</v>
      </c>
      <c r="G92" s="346">
        <v>523</v>
      </c>
      <c r="H92" s="346">
        <v>5704</v>
      </c>
      <c r="I92" s="345">
        <v>5181</v>
      </c>
      <c r="J92" s="345">
        <v>0</v>
      </c>
      <c r="K92" s="347">
        <v>101.24</v>
      </c>
      <c r="L92" s="347">
        <v>110.74</v>
      </c>
      <c r="M92" s="347">
        <v>4.3499999999999996</v>
      </c>
      <c r="N92" s="347">
        <v>101.89</v>
      </c>
      <c r="O92" s="348">
        <v>3715</v>
      </c>
      <c r="P92" s="345">
        <v>91</v>
      </c>
      <c r="Q92" s="345">
        <v>98.73</v>
      </c>
      <c r="R92" s="345">
        <v>15.92</v>
      </c>
      <c r="S92" s="345">
        <v>106.31</v>
      </c>
      <c r="T92" s="345">
        <v>1135</v>
      </c>
      <c r="U92" s="345">
        <v>116.27</v>
      </c>
      <c r="V92" s="345">
        <v>245</v>
      </c>
      <c r="W92" s="345">
        <v>0</v>
      </c>
      <c r="X92" s="345">
        <v>0</v>
      </c>
      <c r="Y92" s="345">
        <v>0</v>
      </c>
      <c r="Z92" s="345">
        <v>8</v>
      </c>
      <c r="AA92" s="345">
        <v>0</v>
      </c>
      <c r="AB92" s="345">
        <v>13</v>
      </c>
      <c r="AC92" s="345">
        <v>11</v>
      </c>
      <c r="AD92" s="349">
        <v>3994</v>
      </c>
      <c r="AE92" s="349">
        <v>3</v>
      </c>
      <c r="AF92" s="349">
        <v>12</v>
      </c>
      <c r="AG92" s="349">
        <v>15</v>
      </c>
    </row>
    <row r="93" spans="1:33" x14ac:dyDescent="0.2">
      <c r="A93" s="344" t="s">
        <v>242</v>
      </c>
      <c r="B93" s="350" t="s">
        <v>243</v>
      </c>
      <c r="C93" s="346">
        <v>1738</v>
      </c>
      <c r="D93" s="346">
        <v>0</v>
      </c>
      <c r="E93" s="346">
        <v>157</v>
      </c>
      <c r="F93" s="346">
        <v>152</v>
      </c>
      <c r="G93" s="346">
        <v>359</v>
      </c>
      <c r="H93" s="346">
        <v>2406</v>
      </c>
      <c r="I93" s="345">
        <v>2047</v>
      </c>
      <c r="J93" s="345">
        <v>5</v>
      </c>
      <c r="K93" s="347">
        <v>93.74</v>
      </c>
      <c r="L93" s="347">
        <v>91.45</v>
      </c>
      <c r="M93" s="347">
        <v>3.98</v>
      </c>
      <c r="N93" s="347">
        <v>96.67</v>
      </c>
      <c r="O93" s="348">
        <v>1386</v>
      </c>
      <c r="P93" s="345">
        <v>93.71</v>
      </c>
      <c r="Q93" s="345">
        <v>80.209999999999994</v>
      </c>
      <c r="R93" s="345">
        <v>40.64</v>
      </c>
      <c r="S93" s="345">
        <v>129.22</v>
      </c>
      <c r="T93" s="345">
        <v>222</v>
      </c>
      <c r="U93" s="345">
        <v>126.04</v>
      </c>
      <c r="V93" s="345">
        <v>283</v>
      </c>
      <c r="W93" s="345">
        <v>0</v>
      </c>
      <c r="X93" s="345">
        <v>0</v>
      </c>
      <c r="Y93" s="345">
        <v>9</v>
      </c>
      <c r="Z93" s="345">
        <v>0</v>
      </c>
      <c r="AA93" s="345">
        <v>0</v>
      </c>
      <c r="AB93" s="345">
        <v>40</v>
      </c>
      <c r="AC93" s="345">
        <v>1</v>
      </c>
      <c r="AD93" s="349">
        <v>1691</v>
      </c>
      <c r="AE93" s="349">
        <v>18</v>
      </c>
      <c r="AF93" s="349">
        <v>2</v>
      </c>
      <c r="AG93" s="349">
        <v>20</v>
      </c>
    </row>
    <row r="94" spans="1:33" x14ac:dyDescent="0.2">
      <c r="A94" s="344" t="s">
        <v>244</v>
      </c>
      <c r="B94" s="350" t="s">
        <v>245</v>
      </c>
      <c r="C94" s="346">
        <v>5161</v>
      </c>
      <c r="D94" s="346">
        <v>0</v>
      </c>
      <c r="E94" s="346">
        <v>88</v>
      </c>
      <c r="F94" s="346">
        <v>806</v>
      </c>
      <c r="G94" s="346">
        <v>385</v>
      </c>
      <c r="H94" s="346">
        <v>6440</v>
      </c>
      <c r="I94" s="345">
        <v>6055</v>
      </c>
      <c r="J94" s="345">
        <v>0</v>
      </c>
      <c r="K94" s="347">
        <v>115.88</v>
      </c>
      <c r="L94" s="347">
        <v>117.1</v>
      </c>
      <c r="M94" s="347">
        <v>1.1100000000000001</v>
      </c>
      <c r="N94" s="347">
        <v>116.93</v>
      </c>
      <c r="O94" s="348">
        <v>4294</v>
      </c>
      <c r="P94" s="345">
        <v>92.56</v>
      </c>
      <c r="Q94" s="345">
        <v>93.67</v>
      </c>
      <c r="R94" s="345">
        <v>14.37</v>
      </c>
      <c r="S94" s="345">
        <v>106.61</v>
      </c>
      <c r="T94" s="345">
        <v>865</v>
      </c>
      <c r="U94" s="345">
        <v>142.24</v>
      </c>
      <c r="V94" s="345">
        <v>474</v>
      </c>
      <c r="W94" s="345">
        <v>0</v>
      </c>
      <c r="X94" s="345">
        <v>0</v>
      </c>
      <c r="Y94" s="345">
        <v>0</v>
      </c>
      <c r="Z94" s="345">
        <v>5</v>
      </c>
      <c r="AA94" s="345">
        <v>0</v>
      </c>
      <c r="AB94" s="345">
        <v>27</v>
      </c>
      <c r="AC94" s="345">
        <v>7</v>
      </c>
      <c r="AD94" s="349">
        <v>4896</v>
      </c>
      <c r="AE94" s="349">
        <v>26</v>
      </c>
      <c r="AF94" s="349">
        <v>9</v>
      </c>
      <c r="AG94" s="349">
        <v>35</v>
      </c>
    </row>
    <row r="95" spans="1:33" x14ac:dyDescent="0.2">
      <c r="A95" s="344" t="s">
        <v>246</v>
      </c>
      <c r="B95" s="350" t="s">
        <v>247</v>
      </c>
      <c r="C95" s="346">
        <v>6576</v>
      </c>
      <c r="D95" s="346">
        <v>0</v>
      </c>
      <c r="E95" s="346">
        <v>193</v>
      </c>
      <c r="F95" s="346">
        <v>1068</v>
      </c>
      <c r="G95" s="346">
        <v>598</v>
      </c>
      <c r="H95" s="346">
        <v>8435</v>
      </c>
      <c r="I95" s="345">
        <v>7837</v>
      </c>
      <c r="J95" s="345">
        <v>29</v>
      </c>
      <c r="K95" s="347">
        <v>115.59</v>
      </c>
      <c r="L95" s="347">
        <v>117.51</v>
      </c>
      <c r="M95" s="347">
        <v>2.91</v>
      </c>
      <c r="N95" s="347">
        <v>117.54</v>
      </c>
      <c r="O95" s="348">
        <v>5564</v>
      </c>
      <c r="P95" s="345">
        <v>100.45</v>
      </c>
      <c r="Q95" s="345">
        <v>96.28</v>
      </c>
      <c r="R95" s="345">
        <v>21.88</v>
      </c>
      <c r="S95" s="345">
        <v>121.56</v>
      </c>
      <c r="T95" s="345">
        <v>764</v>
      </c>
      <c r="U95" s="345">
        <v>150.13999999999999</v>
      </c>
      <c r="V95" s="345">
        <v>897</v>
      </c>
      <c r="W95" s="345">
        <v>0</v>
      </c>
      <c r="X95" s="345">
        <v>0</v>
      </c>
      <c r="Y95" s="345">
        <v>0</v>
      </c>
      <c r="Z95" s="345">
        <v>14</v>
      </c>
      <c r="AA95" s="345">
        <v>0</v>
      </c>
      <c r="AB95" s="345">
        <v>23</v>
      </c>
      <c r="AC95" s="345">
        <v>14</v>
      </c>
      <c r="AD95" s="349">
        <v>6576</v>
      </c>
      <c r="AE95" s="349">
        <v>51</v>
      </c>
      <c r="AF95" s="349">
        <v>4</v>
      </c>
      <c r="AG95" s="349">
        <v>55</v>
      </c>
    </row>
    <row r="96" spans="1:33" x14ac:dyDescent="0.2">
      <c r="A96" s="344" t="s">
        <v>248</v>
      </c>
      <c r="B96" s="350" t="s">
        <v>249</v>
      </c>
      <c r="C96" s="346">
        <v>6054</v>
      </c>
      <c r="D96" s="346">
        <v>0</v>
      </c>
      <c r="E96" s="346">
        <v>270</v>
      </c>
      <c r="F96" s="346">
        <v>853</v>
      </c>
      <c r="G96" s="346">
        <v>421</v>
      </c>
      <c r="H96" s="346">
        <v>7598</v>
      </c>
      <c r="I96" s="345">
        <v>7177</v>
      </c>
      <c r="J96" s="345">
        <v>2</v>
      </c>
      <c r="K96" s="347">
        <v>83.43</v>
      </c>
      <c r="L96" s="347">
        <v>83.51</v>
      </c>
      <c r="M96" s="347">
        <v>1.57</v>
      </c>
      <c r="N96" s="347">
        <v>84.69</v>
      </c>
      <c r="O96" s="348">
        <v>5306</v>
      </c>
      <c r="P96" s="345">
        <v>78.48</v>
      </c>
      <c r="Q96" s="345">
        <v>76.78</v>
      </c>
      <c r="R96" s="345">
        <v>24.69</v>
      </c>
      <c r="S96" s="345">
        <v>102.85</v>
      </c>
      <c r="T96" s="345">
        <v>1072</v>
      </c>
      <c r="U96" s="345">
        <v>91.61</v>
      </c>
      <c r="V96" s="345">
        <v>589</v>
      </c>
      <c r="W96" s="345">
        <v>139.62</v>
      </c>
      <c r="X96" s="345">
        <v>40</v>
      </c>
      <c r="Y96" s="345">
        <v>5</v>
      </c>
      <c r="Z96" s="345">
        <v>11</v>
      </c>
      <c r="AA96" s="345">
        <v>3</v>
      </c>
      <c r="AB96" s="345">
        <v>18</v>
      </c>
      <c r="AC96" s="345">
        <v>3</v>
      </c>
      <c r="AD96" s="349">
        <v>5924</v>
      </c>
      <c r="AE96" s="349">
        <v>40</v>
      </c>
      <c r="AF96" s="349">
        <v>23</v>
      </c>
      <c r="AG96" s="349">
        <v>63</v>
      </c>
    </row>
    <row r="97" spans="1:33" x14ac:dyDescent="0.2">
      <c r="A97" s="344" t="s">
        <v>250</v>
      </c>
      <c r="B97" s="350" t="s">
        <v>251</v>
      </c>
      <c r="C97" s="346">
        <v>1663</v>
      </c>
      <c r="D97" s="346">
        <v>0</v>
      </c>
      <c r="E97" s="346">
        <v>167</v>
      </c>
      <c r="F97" s="346">
        <v>683</v>
      </c>
      <c r="G97" s="346">
        <v>157</v>
      </c>
      <c r="H97" s="346">
        <v>2670</v>
      </c>
      <c r="I97" s="345">
        <v>2513</v>
      </c>
      <c r="J97" s="345">
        <v>7</v>
      </c>
      <c r="K97" s="347">
        <v>90.56</v>
      </c>
      <c r="L97" s="347">
        <v>89.86</v>
      </c>
      <c r="M97" s="347">
        <v>4.9000000000000004</v>
      </c>
      <c r="N97" s="347">
        <v>93.41</v>
      </c>
      <c r="O97" s="348">
        <v>1414</v>
      </c>
      <c r="P97" s="345">
        <v>82.54</v>
      </c>
      <c r="Q97" s="345">
        <v>78.84</v>
      </c>
      <c r="R97" s="345">
        <v>33.020000000000003</v>
      </c>
      <c r="S97" s="345">
        <v>114.89</v>
      </c>
      <c r="T97" s="345">
        <v>741</v>
      </c>
      <c r="U97" s="345">
        <v>101.02</v>
      </c>
      <c r="V97" s="345">
        <v>117</v>
      </c>
      <c r="W97" s="345">
        <v>97.07</v>
      </c>
      <c r="X97" s="345">
        <v>3</v>
      </c>
      <c r="Y97" s="345">
        <v>24</v>
      </c>
      <c r="Z97" s="345">
        <v>0</v>
      </c>
      <c r="AA97" s="345">
        <v>1</v>
      </c>
      <c r="AB97" s="345">
        <v>0</v>
      </c>
      <c r="AC97" s="345">
        <v>1</v>
      </c>
      <c r="AD97" s="349">
        <v>1532</v>
      </c>
      <c r="AE97" s="349">
        <v>4</v>
      </c>
      <c r="AF97" s="349">
        <v>3</v>
      </c>
      <c r="AG97" s="349">
        <v>7</v>
      </c>
    </row>
    <row r="98" spans="1:33" x14ac:dyDescent="0.2">
      <c r="A98" s="344" t="s">
        <v>252</v>
      </c>
      <c r="B98" s="350" t="s">
        <v>253</v>
      </c>
      <c r="C98" s="346">
        <v>5434</v>
      </c>
      <c r="D98" s="346">
        <v>0</v>
      </c>
      <c r="E98" s="346">
        <v>177</v>
      </c>
      <c r="F98" s="346">
        <v>1069</v>
      </c>
      <c r="G98" s="346">
        <v>175</v>
      </c>
      <c r="H98" s="346">
        <v>6855</v>
      </c>
      <c r="I98" s="345">
        <v>6680</v>
      </c>
      <c r="J98" s="345">
        <v>0</v>
      </c>
      <c r="K98" s="347">
        <v>82.06</v>
      </c>
      <c r="L98" s="347">
        <v>78.930000000000007</v>
      </c>
      <c r="M98" s="347">
        <v>7.47</v>
      </c>
      <c r="N98" s="347">
        <v>84.64</v>
      </c>
      <c r="O98" s="348">
        <v>4524</v>
      </c>
      <c r="P98" s="345">
        <v>78.97</v>
      </c>
      <c r="Q98" s="345">
        <v>77.239999999999995</v>
      </c>
      <c r="R98" s="345">
        <v>27.32</v>
      </c>
      <c r="S98" s="345">
        <v>101.01</v>
      </c>
      <c r="T98" s="345">
        <v>1190</v>
      </c>
      <c r="U98" s="345">
        <v>91.54</v>
      </c>
      <c r="V98" s="345">
        <v>813</v>
      </c>
      <c r="W98" s="345">
        <v>84.26</v>
      </c>
      <c r="X98" s="345">
        <v>39</v>
      </c>
      <c r="Y98" s="345">
        <v>0</v>
      </c>
      <c r="Z98" s="345">
        <v>16</v>
      </c>
      <c r="AA98" s="345">
        <v>2</v>
      </c>
      <c r="AB98" s="345">
        <v>1</v>
      </c>
      <c r="AC98" s="345">
        <v>1</v>
      </c>
      <c r="AD98" s="349">
        <v>5434</v>
      </c>
      <c r="AE98" s="349">
        <v>37</v>
      </c>
      <c r="AF98" s="349">
        <v>10</v>
      </c>
      <c r="AG98" s="349">
        <v>47</v>
      </c>
    </row>
    <row r="99" spans="1:33" x14ac:dyDescent="0.2">
      <c r="A99" s="344" t="s">
        <v>254</v>
      </c>
      <c r="B99" s="350" t="s">
        <v>255</v>
      </c>
      <c r="C99" s="345">
        <v>7526</v>
      </c>
      <c r="D99" s="345">
        <v>0</v>
      </c>
      <c r="E99" s="345">
        <v>408</v>
      </c>
      <c r="F99" s="345">
        <v>1468</v>
      </c>
      <c r="G99" s="345">
        <v>259</v>
      </c>
      <c r="H99" s="345">
        <v>9661</v>
      </c>
      <c r="I99" s="345">
        <v>9402</v>
      </c>
      <c r="J99" s="345">
        <v>25</v>
      </c>
      <c r="K99" s="345">
        <v>91.85</v>
      </c>
      <c r="L99" s="347">
        <v>91.86</v>
      </c>
      <c r="M99" s="347">
        <v>3.6</v>
      </c>
      <c r="N99" s="347">
        <v>93.14</v>
      </c>
      <c r="O99" s="348">
        <v>7075</v>
      </c>
      <c r="P99" s="345">
        <v>80.260000000000005</v>
      </c>
      <c r="Q99" s="345">
        <v>77.52</v>
      </c>
      <c r="R99" s="345">
        <v>31.82</v>
      </c>
      <c r="S99" s="345">
        <v>110.71</v>
      </c>
      <c r="T99" s="345">
        <v>1741</v>
      </c>
      <c r="U99" s="345">
        <v>101.6</v>
      </c>
      <c r="V99" s="345">
        <v>278</v>
      </c>
      <c r="W99" s="345">
        <v>179.73</v>
      </c>
      <c r="X99" s="345">
        <v>18</v>
      </c>
      <c r="Y99" s="345">
        <v>0</v>
      </c>
      <c r="Z99" s="345">
        <v>19</v>
      </c>
      <c r="AA99" s="345">
        <v>10</v>
      </c>
      <c r="AB99" s="345">
        <v>1</v>
      </c>
      <c r="AC99" s="345">
        <v>1</v>
      </c>
      <c r="AD99" s="345">
        <v>7512</v>
      </c>
      <c r="AE99" s="345">
        <v>57</v>
      </c>
      <c r="AF99" s="345">
        <v>20</v>
      </c>
      <c r="AG99" s="345">
        <v>77</v>
      </c>
    </row>
    <row r="100" spans="1:33" x14ac:dyDescent="0.2">
      <c r="A100" s="344" t="s">
        <v>256</v>
      </c>
      <c r="B100" s="350" t="s">
        <v>257</v>
      </c>
      <c r="C100" s="346">
        <v>1616</v>
      </c>
      <c r="D100" s="346">
        <v>12</v>
      </c>
      <c r="E100" s="346">
        <v>216</v>
      </c>
      <c r="F100" s="346">
        <v>648</v>
      </c>
      <c r="G100" s="346">
        <v>159</v>
      </c>
      <c r="H100" s="346">
        <v>2651</v>
      </c>
      <c r="I100" s="345">
        <v>2492</v>
      </c>
      <c r="J100" s="345">
        <v>1</v>
      </c>
      <c r="K100" s="347">
        <v>96.87</v>
      </c>
      <c r="L100" s="347">
        <v>92.87</v>
      </c>
      <c r="M100" s="347">
        <v>5.94</v>
      </c>
      <c r="N100" s="347">
        <v>101.82</v>
      </c>
      <c r="O100" s="348">
        <v>1451</v>
      </c>
      <c r="P100" s="345">
        <v>76.5</v>
      </c>
      <c r="Q100" s="345">
        <v>72.39</v>
      </c>
      <c r="R100" s="345">
        <v>34.659999999999997</v>
      </c>
      <c r="S100" s="345">
        <v>108.45</v>
      </c>
      <c r="T100" s="345">
        <v>728</v>
      </c>
      <c r="U100" s="345">
        <v>125.92</v>
      </c>
      <c r="V100" s="345">
        <v>158</v>
      </c>
      <c r="W100" s="345">
        <v>122.14</v>
      </c>
      <c r="X100" s="345">
        <v>18</v>
      </c>
      <c r="Y100" s="345">
        <v>0</v>
      </c>
      <c r="Z100" s="345">
        <v>0</v>
      </c>
      <c r="AA100" s="345">
        <v>5</v>
      </c>
      <c r="AB100" s="345">
        <v>0</v>
      </c>
      <c r="AC100" s="345">
        <v>2</v>
      </c>
      <c r="AD100" s="349">
        <v>1616</v>
      </c>
      <c r="AE100" s="349">
        <v>2</v>
      </c>
      <c r="AF100" s="349">
        <v>2</v>
      </c>
      <c r="AG100" s="349">
        <v>4</v>
      </c>
    </row>
    <row r="101" spans="1:33" x14ac:dyDescent="0.2">
      <c r="A101" s="344" t="s">
        <v>258</v>
      </c>
      <c r="B101" s="350" t="s">
        <v>259</v>
      </c>
      <c r="C101" s="346">
        <v>5193</v>
      </c>
      <c r="D101" s="346">
        <v>0</v>
      </c>
      <c r="E101" s="346">
        <v>181</v>
      </c>
      <c r="F101" s="346">
        <v>1197</v>
      </c>
      <c r="G101" s="346">
        <v>501</v>
      </c>
      <c r="H101" s="346">
        <v>7072</v>
      </c>
      <c r="I101" s="345">
        <v>6571</v>
      </c>
      <c r="J101" s="345">
        <v>0</v>
      </c>
      <c r="K101" s="347">
        <v>108.53</v>
      </c>
      <c r="L101" s="347">
        <v>108.85</v>
      </c>
      <c r="M101" s="347">
        <v>4.6100000000000003</v>
      </c>
      <c r="N101" s="347">
        <v>111.01</v>
      </c>
      <c r="O101" s="348">
        <v>4461</v>
      </c>
      <c r="P101" s="345">
        <v>94.74</v>
      </c>
      <c r="Q101" s="345">
        <v>94.12</v>
      </c>
      <c r="R101" s="345">
        <v>21.56</v>
      </c>
      <c r="S101" s="345">
        <v>113.49</v>
      </c>
      <c r="T101" s="345">
        <v>1160</v>
      </c>
      <c r="U101" s="345">
        <v>139.97</v>
      </c>
      <c r="V101" s="345">
        <v>586</v>
      </c>
      <c r="W101" s="345">
        <v>146.03</v>
      </c>
      <c r="X101" s="345">
        <v>163</v>
      </c>
      <c r="Y101" s="345">
        <v>40</v>
      </c>
      <c r="Z101" s="345">
        <v>9</v>
      </c>
      <c r="AA101" s="345">
        <v>6</v>
      </c>
      <c r="AB101" s="345">
        <v>25</v>
      </c>
      <c r="AC101" s="345">
        <v>9</v>
      </c>
      <c r="AD101" s="349">
        <v>5193</v>
      </c>
      <c r="AE101" s="349">
        <v>18</v>
      </c>
      <c r="AF101" s="349">
        <v>8</v>
      </c>
      <c r="AG101" s="349">
        <v>26</v>
      </c>
    </row>
    <row r="102" spans="1:33" x14ac:dyDescent="0.2">
      <c r="A102" s="344" t="s">
        <v>260</v>
      </c>
      <c r="B102" s="350" t="s">
        <v>261</v>
      </c>
      <c r="C102" s="346">
        <v>2114</v>
      </c>
      <c r="D102" s="346">
        <v>0</v>
      </c>
      <c r="E102" s="346">
        <v>167</v>
      </c>
      <c r="F102" s="346">
        <v>184</v>
      </c>
      <c r="G102" s="346">
        <v>176</v>
      </c>
      <c r="H102" s="346">
        <v>2641</v>
      </c>
      <c r="I102" s="345">
        <v>2465</v>
      </c>
      <c r="J102" s="345">
        <v>40</v>
      </c>
      <c r="K102" s="347">
        <v>95.9</v>
      </c>
      <c r="L102" s="347">
        <v>96.19</v>
      </c>
      <c r="M102" s="347">
        <v>4.4000000000000004</v>
      </c>
      <c r="N102" s="347">
        <v>97.5</v>
      </c>
      <c r="O102" s="348">
        <v>1954</v>
      </c>
      <c r="P102" s="345">
        <v>83.63</v>
      </c>
      <c r="Q102" s="345">
        <v>79.930000000000007</v>
      </c>
      <c r="R102" s="345">
        <v>34.270000000000003</v>
      </c>
      <c r="S102" s="345">
        <v>115.73</v>
      </c>
      <c r="T102" s="345">
        <v>348</v>
      </c>
      <c r="U102" s="345">
        <v>109.2</v>
      </c>
      <c r="V102" s="345">
        <v>123</v>
      </c>
      <c r="W102" s="345">
        <v>0</v>
      </c>
      <c r="X102" s="345">
        <v>0</v>
      </c>
      <c r="Y102" s="345">
        <v>0</v>
      </c>
      <c r="Z102" s="345">
        <v>1</v>
      </c>
      <c r="AA102" s="345">
        <v>1</v>
      </c>
      <c r="AB102" s="345">
        <v>4</v>
      </c>
      <c r="AC102" s="345">
        <v>0</v>
      </c>
      <c r="AD102" s="349">
        <v>2077</v>
      </c>
      <c r="AE102" s="349">
        <v>19</v>
      </c>
      <c r="AF102" s="349">
        <v>12</v>
      </c>
      <c r="AG102" s="349">
        <v>31</v>
      </c>
    </row>
    <row r="103" spans="1:33" x14ac:dyDescent="0.2">
      <c r="A103" s="344" t="s">
        <v>262</v>
      </c>
      <c r="B103" s="350" t="s">
        <v>263</v>
      </c>
      <c r="C103" s="346">
        <v>4410</v>
      </c>
      <c r="D103" s="346">
        <v>9</v>
      </c>
      <c r="E103" s="346">
        <v>72</v>
      </c>
      <c r="F103" s="346">
        <v>957</v>
      </c>
      <c r="G103" s="346">
        <v>381</v>
      </c>
      <c r="H103" s="346">
        <v>5829</v>
      </c>
      <c r="I103" s="345">
        <v>5448</v>
      </c>
      <c r="J103" s="345">
        <v>14</v>
      </c>
      <c r="K103" s="347">
        <v>126.07</v>
      </c>
      <c r="L103" s="347">
        <v>129.46</v>
      </c>
      <c r="M103" s="347">
        <v>8.73</v>
      </c>
      <c r="N103" s="347">
        <v>130.06</v>
      </c>
      <c r="O103" s="348">
        <v>3797</v>
      </c>
      <c r="P103" s="345">
        <v>106.77</v>
      </c>
      <c r="Q103" s="345">
        <v>105.5</v>
      </c>
      <c r="R103" s="345">
        <v>26.11</v>
      </c>
      <c r="S103" s="345">
        <v>132.82</v>
      </c>
      <c r="T103" s="345">
        <v>787</v>
      </c>
      <c r="U103" s="345">
        <v>190.72</v>
      </c>
      <c r="V103" s="345">
        <v>377</v>
      </c>
      <c r="W103" s="345">
        <v>146.4</v>
      </c>
      <c r="X103" s="345">
        <v>7</v>
      </c>
      <c r="Y103" s="345">
        <v>0</v>
      </c>
      <c r="Z103" s="345">
        <v>4</v>
      </c>
      <c r="AA103" s="345">
        <v>0</v>
      </c>
      <c r="AB103" s="345">
        <v>28</v>
      </c>
      <c r="AC103" s="345">
        <v>11</v>
      </c>
      <c r="AD103" s="349">
        <v>4285</v>
      </c>
      <c r="AE103" s="349">
        <v>27</v>
      </c>
      <c r="AF103" s="349">
        <v>16</v>
      </c>
      <c r="AG103" s="349">
        <v>43</v>
      </c>
    </row>
    <row r="104" spans="1:33" x14ac:dyDescent="0.2">
      <c r="A104" s="344" t="s">
        <v>264</v>
      </c>
      <c r="B104" s="350" t="s">
        <v>265</v>
      </c>
      <c r="C104" s="346">
        <v>6374</v>
      </c>
      <c r="D104" s="346">
        <v>6</v>
      </c>
      <c r="E104" s="346">
        <v>893</v>
      </c>
      <c r="F104" s="346">
        <v>652</v>
      </c>
      <c r="G104" s="346">
        <v>1191</v>
      </c>
      <c r="H104" s="346">
        <v>9116</v>
      </c>
      <c r="I104" s="345">
        <v>7925</v>
      </c>
      <c r="J104" s="345">
        <v>49</v>
      </c>
      <c r="K104" s="347">
        <v>125.52</v>
      </c>
      <c r="L104" s="347">
        <v>125.57</v>
      </c>
      <c r="M104" s="347">
        <v>9.4600000000000009</v>
      </c>
      <c r="N104" s="347">
        <v>130.66</v>
      </c>
      <c r="O104" s="348">
        <v>5551</v>
      </c>
      <c r="P104" s="345">
        <v>98.03</v>
      </c>
      <c r="Q104" s="345">
        <v>94.41</v>
      </c>
      <c r="R104" s="345">
        <v>48.34</v>
      </c>
      <c r="S104" s="345">
        <v>145.1</v>
      </c>
      <c r="T104" s="345">
        <v>1479</v>
      </c>
      <c r="U104" s="345">
        <v>177.57</v>
      </c>
      <c r="V104" s="345">
        <v>338</v>
      </c>
      <c r="W104" s="345">
        <v>0</v>
      </c>
      <c r="X104" s="345">
        <v>0</v>
      </c>
      <c r="Y104" s="345">
        <v>14</v>
      </c>
      <c r="Z104" s="345">
        <v>9</v>
      </c>
      <c r="AA104" s="345">
        <v>5</v>
      </c>
      <c r="AB104" s="345">
        <v>21</v>
      </c>
      <c r="AC104" s="345">
        <v>38</v>
      </c>
      <c r="AD104" s="349">
        <v>6134</v>
      </c>
      <c r="AE104" s="349">
        <v>31</v>
      </c>
      <c r="AF104" s="349">
        <v>62</v>
      </c>
      <c r="AG104" s="349">
        <v>93</v>
      </c>
    </row>
    <row r="105" spans="1:33" x14ac:dyDescent="0.2">
      <c r="A105" s="344" t="s">
        <v>266</v>
      </c>
      <c r="B105" s="350" t="s">
        <v>267</v>
      </c>
      <c r="C105" s="346">
        <v>1362</v>
      </c>
      <c r="D105" s="346">
        <v>0</v>
      </c>
      <c r="E105" s="346">
        <v>163</v>
      </c>
      <c r="F105" s="346">
        <v>231</v>
      </c>
      <c r="G105" s="346">
        <v>381</v>
      </c>
      <c r="H105" s="346">
        <v>2137</v>
      </c>
      <c r="I105" s="345">
        <v>1756</v>
      </c>
      <c r="J105" s="345">
        <v>4</v>
      </c>
      <c r="K105" s="347">
        <v>120.96</v>
      </c>
      <c r="L105" s="347">
        <v>119.41</v>
      </c>
      <c r="M105" s="347">
        <v>4.54</v>
      </c>
      <c r="N105" s="347">
        <v>124.94</v>
      </c>
      <c r="O105" s="348">
        <v>1254</v>
      </c>
      <c r="P105" s="345">
        <v>95.68</v>
      </c>
      <c r="Q105" s="345">
        <v>90.14</v>
      </c>
      <c r="R105" s="345">
        <v>59.96</v>
      </c>
      <c r="S105" s="345">
        <v>155.43</v>
      </c>
      <c r="T105" s="345">
        <v>284</v>
      </c>
      <c r="U105" s="345">
        <v>168.21</v>
      </c>
      <c r="V105" s="345">
        <v>86</v>
      </c>
      <c r="W105" s="345">
        <v>0</v>
      </c>
      <c r="X105" s="345">
        <v>0</v>
      </c>
      <c r="Y105" s="345">
        <v>0</v>
      </c>
      <c r="Z105" s="345">
        <v>0</v>
      </c>
      <c r="AA105" s="345">
        <v>1</v>
      </c>
      <c r="AB105" s="345">
        <v>25</v>
      </c>
      <c r="AC105" s="345">
        <v>6</v>
      </c>
      <c r="AD105" s="349">
        <v>1360</v>
      </c>
      <c r="AE105" s="349">
        <v>6</v>
      </c>
      <c r="AF105" s="349">
        <v>1</v>
      </c>
      <c r="AG105" s="349">
        <v>7</v>
      </c>
    </row>
    <row r="106" spans="1:33" x14ac:dyDescent="0.2">
      <c r="A106" s="344" t="s">
        <v>268</v>
      </c>
      <c r="B106" s="350" t="s">
        <v>269</v>
      </c>
      <c r="C106" s="346">
        <v>2056</v>
      </c>
      <c r="D106" s="346">
        <v>0</v>
      </c>
      <c r="E106" s="346">
        <v>153</v>
      </c>
      <c r="F106" s="346">
        <v>382</v>
      </c>
      <c r="G106" s="346">
        <v>337</v>
      </c>
      <c r="H106" s="346">
        <v>2928</v>
      </c>
      <c r="I106" s="345">
        <v>2591</v>
      </c>
      <c r="J106" s="345">
        <v>0</v>
      </c>
      <c r="K106" s="347">
        <v>118.14</v>
      </c>
      <c r="L106" s="347">
        <v>115</v>
      </c>
      <c r="M106" s="347">
        <v>7.98</v>
      </c>
      <c r="N106" s="347">
        <v>122.43</v>
      </c>
      <c r="O106" s="348">
        <v>1937</v>
      </c>
      <c r="P106" s="345">
        <v>104.47</v>
      </c>
      <c r="Q106" s="345">
        <v>99.02</v>
      </c>
      <c r="R106" s="345">
        <v>18.989999999999998</v>
      </c>
      <c r="S106" s="345">
        <v>122.32</v>
      </c>
      <c r="T106" s="345">
        <v>384</v>
      </c>
      <c r="U106" s="345">
        <v>181.42</v>
      </c>
      <c r="V106" s="345">
        <v>102</v>
      </c>
      <c r="W106" s="345">
        <v>123.33</v>
      </c>
      <c r="X106" s="345">
        <v>4</v>
      </c>
      <c r="Y106" s="345">
        <v>0</v>
      </c>
      <c r="Z106" s="345">
        <v>1</v>
      </c>
      <c r="AA106" s="345">
        <v>0</v>
      </c>
      <c r="AB106" s="345">
        <v>42</v>
      </c>
      <c r="AC106" s="345">
        <v>17</v>
      </c>
      <c r="AD106" s="349">
        <v>2056</v>
      </c>
      <c r="AE106" s="349">
        <v>2</v>
      </c>
      <c r="AF106" s="349">
        <v>2</v>
      </c>
      <c r="AG106" s="349">
        <v>4</v>
      </c>
    </row>
    <row r="107" spans="1:33" x14ac:dyDescent="0.2">
      <c r="A107" s="344" t="s">
        <v>270</v>
      </c>
      <c r="B107" s="350" t="s">
        <v>271</v>
      </c>
      <c r="C107" s="346">
        <v>4566</v>
      </c>
      <c r="D107" s="346">
        <v>0</v>
      </c>
      <c r="E107" s="346">
        <v>83</v>
      </c>
      <c r="F107" s="346">
        <v>1898</v>
      </c>
      <c r="G107" s="346">
        <v>160</v>
      </c>
      <c r="H107" s="346">
        <v>6707</v>
      </c>
      <c r="I107" s="345">
        <v>6547</v>
      </c>
      <c r="J107" s="345">
        <v>0</v>
      </c>
      <c r="K107" s="347">
        <v>88.35</v>
      </c>
      <c r="L107" s="347">
        <v>90.79</v>
      </c>
      <c r="M107" s="347">
        <v>2.62</v>
      </c>
      <c r="N107" s="347">
        <v>89.81</v>
      </c>
      <c r="O107" s="348">
        <v>4480</v>
      </c>
      <c r="P107" s="345">
        <v>79.209999999999994</v>
      </c>
      <c r="Q107" s="345">
        <v>80.52</v>
      </c>
      <c r="R107" s="345">
        <v>6.07</v>
      </c>
      <c r="S107" s="345">
        <v>84.65</v>
      </c>
      <c r="T107" s="345">
        <v>1966</v>
      </c>
      <c r="U107" s="345">
        <v>101.88</v>
      </c>
      <c r="V107" s="345">
        <v>32</v>
      </c>
      <c r="W107" s="345">
        <v>0</v>
      </c>
      <c r="X107" s="345">
        <v>0</v>
      </c>
      <c r="Y107" s="345">
        <v>0</v>
      </c>
      <c r="Z107" s="345">
        <v>18</v>
      </c>
      <c r="AA107" s="345">
        <v>5</v>
      </c>
      <c r="AB107" s="345">
        <v>0</v>
      </c>
      <c r="AC107" s="345">
        <v>9</v>
      </c>
      <c r="AD107" s="349">
        <v>4566</v>
      </c>
      <c r="AE107" s="349">
        <v>30</v>
      </c>
      <c r="AF107" s="349">
        <v>21</v>
      </c>
      <c r="AG107" s="349">
        <v>51</v>
      </c>
    </row>
    <row r="108" spans="1:33" x14ac:dyDescent="0.2">
      <c r="A108" s="344" t="s">
        <v>272</v>
      </c>
      <c r="B108" s="350" t="s">
        <v>273</v>
      </c>
      <c r="C108" s="346">
        <v>3416</v>
      </c>
      <c r="D108" s="346">
        <v>0</v>
      </c>
      <c r="E108" s="346">
        <v>573</v>
      </c>
      <c r="F108" s="346">
        <v>243</v>
      </c>
      <c r="G108" s="346">
        <v>389</v>
      </c>
      <c r="H108" s="346">
        <v>4621</v>
      </c>
      <c r="I108" s="345">
        <v>4232</v>
      </c>
      <c r="J108" s="345">
        <v>11</v>
      </c>
      <c r="K108" s="347">
        <v>86.53</v>
      </c>
      <c r="L108" s="347">
        <v>85.63</v>
      </c>
      <c r="M108" s="347">
        <v>6.64</v>
      </c>
      <c r="N108" s="347">
        <v>91.46</v>
      </c>
      <c r="O108" s="348">
        <v>3074</v>
      </c>
      <c r="P108" s="345">
        <v>74.459999999999994</v>
      </c>
      <c r="Q108" s="345">
        <v>67.47</v>
      </c>
      <c r="R108" s="345">
        <v>58.17</v>
      </c>
      <c r="S108" s="345">
        <v>127.24</v>
      </c>
      <c r="T108" s="345">
        <v>507</v>
      </c>
      <c r="U108" s="345">
        <v>118.49</v>
      </c>
      <c r="V108" s="345">
        <v>165</v>
      </c>
      <c r="W108" s="345">
        <v>0</v>
      </c>
      <c r="X108" s="345">
        <v>0</v>
      </c>
      <c r="Y108" s="345">
        <v>0</v>
      </c>
      <c r="Z108" s="345">
        <v>2</v>
      </c>
      <c r="AA108" s="345">
        <v>3</v>
      </c>
      <c r="AB108" s="345">
        <v>27</v>
      </c>
      <c r="AC108" s="345">
        <v>3</v>
      </c>
      <c r="AD108" s="349">
        <v>3242</v>
      </c>
      <c r="AE108" s="349">
        <v>12</v>
      </c>
      <c r="AF108" s="349">
        <v>42</v>
      </c>
      <c r="AG108" s="349">
        <v>54</v>
      </c>
    </row>
    <row r="109" spans="1:33" x14ac:dyDescent="0.2">
      <c r="A109" s="344" t="s">
        <v>274</v>
      </c>
      <c r="B109" s="350" t="s">
        <v>275</v>
      </c>
      <c r="C109" s="346">
        <v>1375</v>
      </c>
      <c r="D109" s="346">
        <v>0</v>
      </c>
      <c r="E109" s="346">
        <v>197</v>
      </c>
      <c r="F109" s="346">
        <v>182</v>
      </c>
      <c r="G109" s="346">
        <v>233</v>
      </c>
      <c r="H109" s="346">
        <v>1987</v>
      </c>
      <c r="I109" s="345">
        <v>1754</v>
      </c>
      <c r="J109" s="345">
        <v>1</v>
      </c>
      <c r="K109" s="347">
        <v>107.75</v>
      </c>
      <c r="L109" s="347">
        <v>109.28</v>
      </c>
      <c r="M109" s="347">
        <v>7.16</v>
      </c>
      <c r="N109" s="347">
        <v>113</v>
      </c>
      <c r="O109" s="348">
        <v>1089</v>
      </c>
      <c r="P109" s="345">
        <v>88.57</v>
      </c>
      <c r="Q109" s="345">
        <v>83.34</v>
      </c>
      <c r="R109" s="345">
        <v>35.909999999999997</v>
      </c>
      <c r="S109" s="345">
        <v>120.27</v>
      </c>
      <c r="T109" s="345">
        <v>256</v>
      </c>
      <c r="U109" s="345">
        <v>140.66</v>
      </c>
      <c r="V109" s="345">
        <v>147</v>
      </c>
      <c r="W109" s="345">
        <v>0</v>
      </c>
      <c r="X109" s="345">
        <v>0</v>
      </c>
      <c r="Y109" s="345">
        <v>15</v>
      </c>
      <c r="Z109" s="345">
        <v>1</v>
      </c>
      <c r="AA109" s="345">
        <v>1</v>
      </c>
      <c r="AB109" s="345">
        <v>4</v>
      </c>
      <c r="AC109" s="345">
        <v>4</v>
      </c>
      <c r="AD109" s="349">
        <v>1363</v>
      </c>
      <c r="AE109" s="349">
        <v>28</v>
      </c>
      <c r="AF109" s="349">
        <v>16</v>
      </c>
      <c r="AG109" s="349">
        <v>44</v>
      </c>
    </row>
    <row r="110" spans="1:33" x14ac:dyDescent="0.2">
      <c r="A110" s="344" t="s">
        <v>276</v>
      </c>
      <c r="B110" s="350" t="s">
        <v>277</v>
      </c>
      <c r="C110" s="346">
        <v>4604</v>
      </c>
      <c r="D110" s="346">
        <v>0</v>
      </c>
      <c r="E110" s="346">
        <v>216</v>
      </c>
      <c r="F110" s="346">
        <v>687</v>
      </c>
      <c r="G110" s="346">
        <v>164</v>
      </c>
      <c r="H110" s="346">
        <v>5671</v>
      </c>
      <c r="I110" s="345">
        <v>5507</v>
      </c>
      <c r="J110" s="345">
        <v>14</v>
      </c>
      <c r="K110" s="347">
        <v>95.54</v>
      </c>
      <c r="L110" s="347">
        <v>92.73</v>
      </c>
      <c r="M110" s="347">
        <v>3.15</v>
      </c>
      <c r="N110" s="347">
        <v>96.55</v>
      </c>
      <c r="O110" s="348">
        <v>4471</v>
      </c>
      <c r="P110" s="345">
        <v>87.28</v>
      </c>
      <c r="Q110" s="345">
        <v>84.02</v>
      </c>
      <c r="R110" s="345">
        <v>35.090000000000003</v>
      </c>
      <c r="S110" s="345">
        <v>122.24</v>
      </c>
      <c r="T110" s="345">
        <v>832</v>
      </c>
      <c r="U110" s="345">
        <v>118.69</v>
      </c>
      <c r="V110" s="345">
        <v>118</v>
      </c>
      <c r="W110" s="345">
        <v>0</v>
      </c>
      <c r="X110" s="345">
        <v>0</v>
      </c>
      <c r="Y110" s="345">
        <v>0</v>
      </c>
      <c r="Z110" s="345">
        <v>5</v>
      </c>
      <c r="AA110" s="345">
        <v>0</v>
      </c>
      <c r="AB110" s="345">
        <v>24</v>
      </c>
      <c r="AC110" s="345">
        <v>8</v>
      </c>
      <c r="AD110" s="349">
        <v>4595</v>
      </c>
      <c r="AE110" s="349">
        <v>20</v>
      </c>
      <c r="AF110" s="349">
        <v>12</v>
      </c>
      <c r="AG110" s="349">
        <v>32</v>
      </c>
    </row>
    <row r="111" spans="1:33" x14ac:dyDescent="0.2">
      <c r="A111" s="344" t="s">
        <v>278</v>
      </c>
      <c r="B111" s="350" t="s">
        <v>279</v>
      </c>
      <c r="C111" s="346">
        <v>1529</v>
      </c>
      <c r="D111" s="346">
        <v>1</v>
      </c>
      <c r="E111" s="346">
        <v>90</v>
      </c>
      <c r="F111" s="346">
        <v>312</v>
      </c>
      <c r="G111" s="346">
        <v>212</v>
      </c>
      <c r="H111" s="346">
        <v>2144</v>
      </c>
      <c r="I111" s="345">
        <v>1932</v>
      </c>
      <c r="J111" s="345">
        <v>0</v>
      </c>
      <c r="K111" s="347">
        <v>94.9</v>
      </c>
      <c r="L111" s="347">
        <v>93.78</v>
      </c>
      <c r="M111" s="347">
        <v>6.3</v>
      </c>
      <c r="N111" s="347">
        <v>99.51</v>
      </c>
      <c r="O111" s="348">
        <v>1233</v>
      </c>
      <c r="P111" s="345">
        <v>85.65</v>
      </c>
      <c r="Q111" s="345">
        <v>81.239999999999995</v>
      </c>
      <c r="R111" s="345">
        <v>33.61</v>
      </c>
      <c r="S111" s="345">
        <v>115.06</v>
      </c>
      <c r="T111" s="345">
        <v>368</v>
      </c>
      <c r="U111" s="345">
        <v>141.79</v>
      </c>
      <c r="V111" s="345">
        <v>111</v>
      </c>
      <c r="W111" s="345">
        <v>0</v>
      </c>
      <c r="X111" s="345">
        <v>0</v>
      </c>
      <c r="Y111" s="345">
        <v>0</v>
      </c>
      <c r="Z111" s="345">
        <v>1</v>
      </c>
      <c r="AA111" s="345">
        <v>3</v>
      </c>
      <c r="AB111" s="345">
        <v>10</v>
      </c>
      <c r="AC111" s="345">
        <v>2</v>
      </c>
      <c r="AD111" s="349">
        <v>1370</v>
      </c>
      <c r="AE111" s="349">
        <v>5</v>
      </c>
      <c r="AF111" s="349">
        <v>47</v>
      </c>
      <c r="AG111" s="349">
        <v>52</v>
      </c>
    </row>
    <row r="112" spans="1:33" x14ac:dyDescent="0.2">
      <c r="A112" s="344" t="s">
        <v>280</v>
      </c>
      <c r="B112" s="350" t="s">
        <v>281</v>
      </c>
      <c r="C112" s="346">
        <v>3735</v>
      </c>
      <c r="D112" s="346">
        <v>15</v>
      </c>
      <c r="E112" s="346">
        <v>53</v>
      </c>
      <c r="F112" s="346">
        <v>1062</v>
      </c>
      <c r="G112" s="346">
        <v>180</v>
      </c>
      <c r="H112" s="346">
        <v>5045</v>
      </c>
      <c r="I112" s="345">
        <v>4865</v>
      </c>
      <c r="J112" s="345">
        <v>11</v>
      </c>
      <c r="K112" s="347">
        <v>94.84</v>
      </c>
      <c r="L112" s="347">
        <v>91.5</v>
      </c>
      <c r="M112" s="347">
        <v>1.33</v>
      </c>
      <c r="N112" s="347">
        <v>95.92</v>
      </c>
      <c r="O112" s="348">
        <v>3085</v>
      </c>
      <c r="P112" s="345">
        <v>87.98</v>
      </c>
      <c r="Q112" s="345">
        <v>81.459999999999994</v>
      </c>
      <c r="R112" s="345">
        <v>15.84</v>
      </c>
      <c r="S112" s="345">
        <v>103.36</v>
      </c>
      <c r="T112" s="345">
        <v>1093</v>
      </c>
      <c r="U112" s="345">
        <v>110.5</v>
      </c>
      <c r="V112" s="345">
        <v>253</v>
      </c>
      <c r="W112" s="345">
        <v>0</v>
      </c>
      <c r="X112" s="345">
        <v>0</v>
      </c>
      <c r="Y112" s="345">
        <v>0</v>
      </c>
      <c r="Z112" s="345">
        <v>20</v>
      </c>
      <c r="AA112" s="345">
        <v>15</v>
      </c>
      <c r="AB112" s="345">
        <v>19</v>
      </c>
      <c r="AC112" s="345">
        <v>4</v>
      </c>
      <c r="AD112" s="349">
        <v>3333</v>
      </c>
      <c r="AE112" s="349">
        <v>1</v>
      </c>
      <c r="AF112" s="349">
        <v>20</v>
      </c>
      <c r="AG112" s="349">
        <v>21</v>
      </c>
    </row>
    <row r="113" spans="1:33" x14ac:dyDescent="0.2">
      <c r="A113" s="344" t="s">
        <v>282</v>
      </c>
      <c r="B113" s="350" t="s">
        <v>283</v>
      </c>
      <c r="C113" s="346">
        <v>1943</v>
      </c>
      <c r="D113" s="346">
        <v>0</v>
      </c>
      <c r="E113" s="346">
        <v>129</v>
      </c>
      <c r="F113" s="346">
        <v>546</v>
      </c>
      <c r="G113" s="346">
        <v>74</v>
      </c>
      <c r="H113" s="346">
        <v>2692</v>
      </c>
      <c r="I113" s="345">
        <v>2618</v>
      </c>
      <c r="J113" s="345">
        <v>11</v>
      </c>
      <c r="K113" s="347">
        <v>87.43</v>
      </c>
      <c r="L113" s="347">
        <v>87.73</v>
      </c>
      <c r="M113" s="347">
        <v>3.46</v>
      </c>
      <c r="N113" s="347">
        <v>90.45</v>
      </c>
      <c r="O113" s="348">
        <v>1765</v>
      </c>
      <c r="P113" s="345">
        <v>90.13</v>
      </c>
      <c r="Q113" s="345">
        <v>77.16</v>
      </c>
      <c r="R113" s="345">
        <v>20.83</v>
      </c>
      <c r="S113" s="345">
        <v>110.36</v>
      </c>
      <c r="T113" s="345">
        <v>531</v>
      </c>
      <c r="U113" s="345">
        <v>107.02</v>
      </c>
      <c r="V113" s="345">
        <v>157</v>
      </c>
      <c r="W113" s="345">
        <v>0</v>
      </c>
      <c r="X113" s="345">
        <v>0</v>
      </c>
      <c r="Y113" s="345">
        <v>1</v>
      </c>
      <c r="Z113" s="345">
        <v>8</v>
      </c>
      <c r="AA113" s="345">
        <v>0</v>
      </c>
      <c r="AB113" s="345">
        <v>3</v>
      </c>
      <c r="AC113" s="345">
        <v>1</v>
      </c>
      <c r="AD113" s="349">
        <v>1941</v>
      </c>
      <c r="AE113" s="349">
        <v>6</v>
      </c>
      <c r="AF113" s="349">
        <v>2</v>
      </c>
      <c r="AG113" s="349">
        <v>8</v>
      </c>
    </row>
    <row r="114" spans="1:33" x14ac:dyDescent="0.2">
      <c r="A114" s="344" t="s">
        <v>284</v>
      </c>
      <c r="B114" s="350" t="s">
        <v>285</v>
      </c>
      <c r="C114" s="346">
        <v>3696</v>
      </c>
      <c r="D114" s="346">
        <v>46</v>
      </c>
      <c r="E114" s="346">
        <v>276</v>
      </c>
      <c r="F114" s="346">
        <v>1045</v>
      </c>
      <c r="G114" s="346">
        <v>208</v>
      </c>
      <c r="H114" s="346">
        <v>5271</v>
      </c>
      <c r="I114" s="345">
        <v>5063</v>
      </c>
      <c r="J114" s="345">
        <v>5</v>
      </c>
      <c r="K114" s="347">
        <v>80.22</v>
      </c>
      <c r="L114" s="347">
        <v>77.44</v>
      </c>
      <c r="M114" s="347">
        <v>6.4</v>
      </c>
      <c r="N114" s="347">
        <v>83.46</v>
      </c>
      <c r="O114" s="348">
        <v>3146</v>
      </c>
      <c r="P114" s="345">
        <v>86.88</v>
      </c>
      <c r="Q114" s="345">
        <v>76.53</v>
      </c>
      <c r="R114" s="345">
        <v>38.89</v>
      </c>
      <c r="S114" s="345">
        <v>124.16</v>
      </c>
      <c r="T114" s="345">
        <v>1159</v>
      </c>
      <c r="U114" s="345">
        <v>91.47</v>
      </c>
      <c r="V114" s="345">
        <v>579</v>
      </c>
      <c r="W114" s="345">
        <v>146.55000000000001</v>
      </c>
      <c r="X114" s="345">
        <v>148</v>
      </c>
      <c r="Y114" s="345">
        <v>0</v>
      </c>
      <c r="Z114" s="345">
        <v>2</v>
      </c>
      <c r="AA114" s="345">
        <v>4</v>
      </c>
      <c r="AB114" s="345">
        <v>4</v>
      </c>
      <c r="AC114" s="345">
        <v>3</v>
      </c>
      <c r="AD114" s="349">
        <v>3592</v>
      </c>
      <c r="AE114" s="349">
        <v>45</v>
      </c>
      <c r="AF114" s="349">
        <v>11</v>
      </c>
      <c r="AG114" s="349">
        <v>56</v>
      </c>
    </row>
    <row r="115" spans="1:33" x14ac:dyDescent="0.2">
      <c r="A115" s="344" t="s">
        <v>286</v>
      </c>
      <c r="B115" s="350" t="s">
        <v>287</v>
      </c>
      <c r="C115" s="346">
        <v>3752</v>
      </c>
      <c r="D115" s="346">
        <v>0</v>
      </c>
      <c r="E115" s="346">
        <v>133</v>
      </c>
      <c r="F115" s="346">
        <v>1243</v>
      </c>
      <c r="G115" s="346">
        <v>218</v>
      </c>
      <c r="H115" s="346">
        <v>5346</v>
      </c>
      <c r="I115" s="345">
        <v>5128</v>
      </c>
      <c r="J115" s="345">
        <v>102</v>
      </c>
      <c r="K115" s="347">
        <v>82.99</v>
      </c>
      <c r="L115" s="347">
        <v>82.94</v>
      </c>
      <c r="M115" s="347">
        <v>4.71</v>
      </c>
      <c r="N115" s="347">
        <v>84.73</v>
      </c>
      <c r="O115" s="348">
        <v>3689</v>
      </c>
      <c r="P115" s="345">
        <v>77.930000000000007</v>
      </c>
      <c r="Q115" s="345">
        <v>73.099999999999994</v>
      </c>
      <c r="R115" s="345">
        <v>17.899999999999999</v>
      </c>
      <c r="S115" s="345">
        <v>95.25</v>
      </c>
      <c r="T115" s="345">
        <v>1321</v>
      </c>
      <c r="U115" s="345">
        <v>114.32</v>
      </c>
      <c r="V115" s="345">
        <v>46</v>
      </c>
      <c r="W115" s="345">
        <v>0</v>
      </c>
      <c r="X115" s="345">
        <v>0</v>
      </c>
      <c r="Y115" s="345">
        <v>0</v>
      </c>
      <c r="Z115" s="345">
        <v>21</v>
      </c>
      <c r="AA115" s="345">
        <v>4</v>
      </c>
      <c r="AB115" s="345">
        <v>15</v>
      </c>
      <c r="AC115" s="345">
        <v>6</v>
      </c>
      <c r="AD115" s="349">
        <v>3752</v>
      </c>
      <c r="AE115" s="349">
        <v>28</v>
      </c>
      <c r="AF115" s="349">
        <v>6</v>
      </c>
      <c r="AG115" s="349">
        <v>34</v>
      </c>
    </row>
    <row r="116" spans="1:33" x14ac:dyDescent="0.2">
      <c r="A116" s="344" t="s">
        <v>288</v>
      </c>
      <c r="B116" s="350" t="s">
        <v>289</v>
      </c>
      <c r="C116" s="346">
        <v>6518</v>
      </c>
      <c r="D116" s="346">
        <v>14</v>
      </c>
      <c r="E116" s="346">
        <v>331</v>
      </c>
      <c r="F116" s="346">
        <v>943</v>
      </c>
      <c r="G116" s="346">
        <v>459</v>
      </c>
      <c r="H116" s="346">
        <v>8265</v>
      </c>
      <c r="I116" s="345">
        <v>7806</v>
      </c>
      <c r="J116" s="345">
        <v>441</v>
      </c>
      <c r="K116" s="347">
        <v>84.56</v>
      </c>
      <c r="L116" s="347">
        <v>83.28</v>
      </c>
      <c r="M116" s="347">
        <v>6.06</v>
      </c>
      <c r="N116" s="347">
        <v>87.28</v>
      </c>
      <c r="O116" s="348">
        <v>5862</v>
      </c>
      <c r="P116" s="345">
        <v>85.38</v>
      </c>
      <c r="Q116" s="345">
        <v>77.39</v>
      </c>
      <c r="R116" s="345">
        <v>39.270000000000003</v>
      </c>
      <c r="S116" s="345">
        <v>123.62</v>
      </c>
      <c r="T116" s="345">
        <v>1108</v>
      </c>
      <c r="U116" s="345">
        <v>116.9</v>
      </c>
      <c r="V116" s="345">
        <v>126</v>
      </c>
      <c r="W116" s="345">
        <v>119.23</v>
      </c>
      <c r="X116" s="345">
        <v>3</v>
      </c>
      <c r="Y116" s="345">
        <v>0</v>
      </c>
      <c r="Z116" s="345">
        <v>31</v>
      </c>
      <c r="AA116" s="345">
        <v>14</v>
      </c>
      <c r="AB116" s="345">
        <v>14</v>
      </c>
      <c r="AC116" s="345">
        <v>16</v>
      </c>
      <c r="AD116" s="349">
        <v>6018</v>
      </c>
      <c r="AE116" s="349">
        <v>25</v>
      </c>
      <c r="AF116" s="349">
        <v>8</v>
      </c>
      <c r="AG116" s="349">
        <v>33</v>
      </c>
    </row>
    <row r="117" spans="1:33" x14ac:dyDescent="0.2">
      <c r="A117" s="344" t="s">
        <v>290</v>
      </c>
      <c r="B117" s="350" t="s">
        <v>291</v>
      </c>
      <c r="C117" s="346">
        <v>2237</v>
      </c>
      <c r="D117" s="346">
        <v>1</v>
      </c>
      <c r="E117" s="346">
        <v>103</v>
      </c>
      <c r="F117" s="346">
        <v>569</v>
      </c>
      <c r="G117" s="346">
        <v>337</v>
      </c>
      <c r="H117" s="346">
        <v>3247</v>
      </c>
      <c r="I117" s="345">
        <v>2910</v>
      </c>
      <c r="J117" s="345">
        <v>0</v>
      </c>
      <c r="K117" s="347">
        <v>99.96</v>
      </c>
      <c r="L117" s="347">
        <v>99.5</v>
      </c>
      <c r="M117" s="347">
        <v>7.17</v>
      </c>
      <c r="N117" s="347">
        <v>106.04</v>
      </c>
      <c r="O117" s="348">
        <v>1915</v>
      </c>
      <c r="P117" s="345">
        <v>89.35</v>
      </c>
      <c r="Q117" s="345">
        <v>85.22</v>
      </c>
      <c r="R117" s="345">
        <v>26.14</v>
      </c>
      <c r="S117" s="345">
        <v>114.44</v>
      </c>
      <c r="T117" s="345">
        <v>398</v>
      </c>
      <c r="U117" s="345">
        <v>124.33</v>
      </c>
      <c r="V117" s="345">
        <v>151</v>
      </c>
      <c r="W117" s="345">
        <v>89.72</v>
      </c>
      <c r="X117" s="345">
        <v>12</v>
      </c>
      <c r="Y117" s="345">
        <v>0</v>
      </c>
      <c r="Z117" s="345">
        <v>1</v>
      </c>
      <c r="AA117" s="345">
        <v>0</v>
      </c>
      <c r="AB117" s="345">
        <v>6</v>
      </c>
      <c r="AC117" s="345">
        <v>5</v>
      </c>
      <c r="AD117" s="349">
        <v>2204</v>
      </c>
      <c r="AE117" s="349">
        <v>30</v>
      </c>
      <c r="AF117" s="349">
        <v>12</v>
      </c>
      <c r="AG117" s="349">
        <v>42</v>
      </c>
    </row>
    <row r="118" spans="1:33" x14ac:dyDescent="0.2">
      <c r="A118" s="344" t="s">
        <v>292</v>
      </c>
      <c r="B118" s="350" t="s">
        <v>293</v>
      </c>
      <c r="C118" s="346">
        <v>1367</v>
      </c>
      <c r="D118" s="346">
        <v>0</v>
      </c>
      <c r="E118" s="346">
        <v>71</v>
      </c>
      <c r="F118" s="346">
        <v>170</v>
      </c>
      <c r="G118" s="346">
        <v>249</v>
      </c>
      <c r="H118" s="346">
        <v>1857</v>
      </c>
      <c r="I118" s="345">
        <v>1608</v>
      </c>
      <c r="J118" s="345">
        <v>0</v>
      </c>
      <c r="K118" s="347">
        <v>106.05</v>
      </c>
      <c r="L118" s="347">
        <v>106.1</v>
      </c>
      <c r="M118" s="347">
        <v>5.33</v>
      </c>
      <c r="N118" s="347">
        <v>110.15</v>
      </c>
      <c r="O118" s="348">
        <v>737</v>
      </c>
      <c r="P118" s="345">
        <v>93.34</v>
      </c>
      <c r="Q118" s="345">
        <v>94.37</v>
      </c>
      <c r="R118" s="345">
        <v>47.94</v>
      </c>
      <c r="S118" s="345">
        <v>138.83000000000001</v>
      </c>
      <c r="T118" s="345">
        <v>78</v>
      </c>
      <c r="U118" s="345">
        <v>137.80000000000001</v>
      </c>
      <c r="V118" s="345">
        <v>199</v>
      </c>
      <c r="W118" s="345">
        <v>0</v>
      </c>
      <c r="X118" s="345">
        <v>0</v>
      </c>
      <c r="Y118" s="345">
        <v>0</v>
      </c>
      <c r="Z118" s="345">
        <v>0</v>
      </c>
      <c r="AA118" s="345">
        <v>12</v>
      </c>
      <c r="AB118" s="345">
        <v>17</v>
      </c>
      <c r="AC118" s="345">
        <v>14</v>
      </c>
      <c r="AD118" s="349">
        <v>962</v>
      </c>
      <c r="AE118" s="349">
        <v>15</v>
      </c>
      <c r="AF118" s="349">
        <v>5</v>
      </c>
      <c r="AG118" s="349">
        <v>20</v>
      </c>
    </row>
    <row r="119" spans="1:33" x14ac:dyDescent="0.2">
      <c r="A119" s="344" t="s">
        <v>294</v>
      </c>
      <c r="B119" s="350" t="s">
        <v>295</v>
      </c>
      <c r="C119" s="346">
        <v>1404</v>
      </c>
      <c r="D119" s="346">
        <v>0</v>
      </c>
      <c r="E119" s="346">
        <v>258</v>
      </c>
      <c r="F119" s="346">
        <v>139</v>
      </c>
      <c r="G119" s="346">
        <v>111</v>
      </c>
      <c r="H119" s="346">
        <v>1912</v>
      </c>
      <c r="I119" s="345">
        <v>1801</v>
      </c>
      <c r="J119" s="345">
        <v>11</v>
      </c>
      <c r="K119" s="347">
        <v>87.95</v>
      </c>
      <c r="L119" s="347">
        <v>86.45</v>
      </c>
      <c r="M119" s="347">
        <v>5.0999999999999996</v>
      </c>
      <c r="N119" s="347">
        <v>91.06</v>
      </c>
      <c r="O119" s="348">
        <v>1277</v>
      </c>
      <c r="P119" s="345">
        <v>93.78</v>
      </c>
      <c r="Q119" s="345">
        <v>83.12</v>
      </c>
      <c r="R119" s="345">
        <v>52.1</v>
      </c>
      <c r="S119" s="345">
        <v>145.69999999999999</v>
      </c>
      <c r="T119" s="345">
        <v>284</v>
      </c>
      <c r="U119" s="345">
        <v>99.34</v>
      </c>
      <c r="V119" s="345">
        <v>106</v>
      </c>
      <c r="W119" s="345">
        <v>0</v>
      </c>
      <c r="X119" s="345">
        <v>0</v>
      </c>
      <c r="Y119" s="345">
        <v>0</v>
      </c>
      <c r="Z119" s="345">
        <v>1</v>
      </c>
      <c r="AA119" s="345">
        <v>24</v>
      </c>
      <c r="AB119" s="345">
        <v>7</v>
      </c>
      <c r="AC119" s="345">
        <v>4</v>
      </c>
      <c r="AD119" s="349">
        <v>1404</v>
      </c>
      <c r="AE119" s="349">
        <v>8</v>
      </c>
      <c r="AF119" s="349">
        <v>22</v>
      </c>
      <c r="AG119" s="349">
        <v>30</v>
      </c>
    </row>
    <row r="120" spans="1:33" x14ac:dyDescent="0.2">
      <c r="A120" s="344" t="s">
        <v>296</v>
      </c>
      <c r="B120" s="350" t="s">
        <v>297</v>
      </c>
      <c r="C120" s="346">
        <v>11555</v>
      </c>
      <c r="D120" s="346">
        <v>68</v>
      </c>
      <c r="E120" s="346">
        <v>490</v>
      </c>
      <c r="F120" s="346">
        <v>785</v>
      </c>
      <c r="G120" s="346">
        <v>1815</v>
      </c>
      <c r="H120" s="346">
        <v>14713</v>
      </c>
      <c r="I120" s="345">
        <v>12898</v>
      </c>
      <c r="J120" s="345">
        <v>568</v>
      </c>
      <c r="K120" s="347">
        <v>116.02</v>
      </c>
      <c r="L120" s="347">
        <v>117.19</v>
      </c>
      <c r="M120" s="347">
        <v>10.56</v>
      </c>
      <c r="N120" s="347">
        <v>123.07</v>
      </c>
      <c r="O120" s="348">
        <v>10120</v>
      </c>
      <c r="P120" s="345">
        <v>106.66</v>
      </c>
      <c r="Q120" s="345">
        <v>102.93</v>
      </c>
      <c r="R120" s="345">
        <v>47.29</v>
      </c>
      <c r="S120" s="345">
        <v>151.85</v>
      </c>
      <c r="T120" s="345">
        <v>946</v>
      </c>
      <c r="U120" s="345">
        <v>163.08000000000001</v>
      </c>
      <c r="V120" s="345">
        <v>732</v>
      </c>
      <c r="W120" s="345">
        <v>0</v>
      </c>
      <c r="X120" s="345">
        <v>0</v>
      </c>
      <c r="Y120" s="345">
        <v>65</v>
      </c>
      <c r="Z120" s="345">
        <v>6</v>
      </c>
      <c r="AA120" s="345">
        <v>1</v>
      </c>
      <c r="AB120" s="345">
        <v>253</v>
      </c>
      <c r="AC120" s="345">
        <v>72</v>
      </c>
      <c r="AD120" s="349">
        <v>11280</v>
      </c>
      <c r="AE120" s="349">
        <v>71</v>
      </c>
      <c r="AF120" s="349">
        <v>37</v>
      </c>
      <c r="AG120" s="349">
        <v>108</v>
      </c>
    </row>
    <row r="121" spans="1:33" x14ac:dyDescent="0.2">
      <c r="A121" s="344" t="s">
        <v>298</v>
      </c>
      <c r="B121" s="350" t="s">
        <v>299</v>
      </c>
      <c r="C121" s="346">
        <v>1947</v>
      </c>
      <c r="D121" s="346">
        <v>10</v>
      </c>
      <c r="E121" s="346">
        <v>354</v>
      </c>
      <c r="F121" s="346">
        <v>223</v>
      </c>
      <c r="G121" s="346">
        <v>372</v>
      </c>
      <c r="H121" s="346">
        <v>2906</v>
      </c>
      <c r="I121" s="345">
        <v>2534</v>
      </c>
      <c r="J121" s="345">
        <v>51</v>
      </c>
      <c r="K121" s="347">
        <v>125.92</v>
      </c>
      <c r="L121" s="347">
        <v>124.72</v>
      </c>
      <c r="M121" s="347">
        <v>7.37</v>
      </c>
      <c r="N121" s="347">
        <v>132.18</v>
      </c>
      <c r="O121" s="348">
        <v>1384</v>
      </c>
      <c r="P121" s="345">
        <v>94.68</v>
      </c>
      <c r="Q121" s="345">
        <v>92.86</v>
      </c>
      <c r="R121" s="345">
        <v>67.92</v>
      </c>
      <c r="S121" s="345">
        <v>161.99</v>
      </c>
      <c r="T121" s="345">
        <v>223</v>
      </c>
      <c r="U121" s="345">
        <v>157.69999999999999</v>
      </c>
      <c r="V121" s="345">
        <v>119</v>
      </c>
      <c r="W121" s="345">
        <v>131.65</v>
      </c>
      <c r="X121" s="345">
        <v>6</v>
      </c>
      <c r="Y121" s="345">
        <v>6</v>
      </c>
      <c r="Z121" s="345">
        <v>0</v>
      </c>
      <c r="AA121" s="345">
        <v>0</v>
      </c>
      <c r="AB121" s="345">
        <v>9</v>
      </c>
      <c r="AC121" s="345">
        <v>18</v>
      </c>
      <c r="AD121" s="349">
        <v>1767</v>
      </c>
      <c r="AE121" s="349">
        <v>7</v>
      </c>
      <c r="AF121" s="349">
        <v>1</v>
      </c>
      <c r="AG121" s="349">
        <v>8</v>
      </c>
    </row>
    <row r="122" spans="1:33" x14ac:dyDescent="0.2">
      <c r="A122" s="344" t="s">
        <v>300</v>
      </c>
      <c r="B122" s="350" t="s">
        <v>301</v>
      </c>
      <c r="C122" s="346">
        <v>19891</v>
      </c>
      <c r="D122" s="346">
        <v>507</v>
      </c>
      <c r="E122" s="346">
        <v>1657</v>
      </c>
      <c r="F122" s="346">
        <v>1681</v>
      </c>
      <c r="G122" s="346">
        <v>2839</v>
      </c>
      <c r="H122" s="346">
        <v>26575</v>
      </c>
      <c r="I122" s="345">
        <v>23736</v>
      </c>
      <c r="J122" s="345">
        <v>350</v>
      </c>
      <c r="K122" s="347">
        <v>120.22</v>
      </c>
      <c r="L122" s="347">
        <v>125.87</v>
      </c>
      <c r="M122" s="347">
        <v>11.73</v>
      </c>
      <c r="N122" s="347">
        <v>128.53</v>
      </c>
      <c r="O122" s="348">
        <v>17226</v>
      </c>
      <c r="P122" s="345">
        <v>108.68</v>
      </c>
      <c r="Q122" s="345">
        <v>107.21</v>
      </c>
      <c r="R122" s="345">
        <v>38.71</v>
      </c>
      <c r="S122" s="345">
        <v>146.13</v>
      </c>
      <c r="T122" s="345">
        <v>2836</v>
      </c>
      <c r="U122" s="345">
        <v>195.08</v>
      </c>
      <c r="V122" s="345">
        <v>643</v>
      </c>
      <c r="W122" s="345">
        <v>198.08</v>
      </c>
      <c r="X122" s="345">
        <v>5</v>
      </c>
      <c r="Y122" s="345">
        <v>0</v>
      </c>
      <c r="Z122" s="345">
        <v>35</v>
      </c>
      <c r="AA122" s="345">
        <v>1</v>
      </c>
      <c r="AB122" s="345">
        <v>151</v>
      </c>
      <c r="AC122" s="345">
        <v>141</v>
      </c>
      <c r="AD122" s="349">
        <v>18415</v>
      </c>
      <c r="AE122" s="349">
        <v>161</v>
      </c>
      <c r="AF122" s="349">
        <v>80</v>
      </c>
      <c r="AG122" s="349">
        <v>241</v>
      </c>
    </row>
    <row r="123" spans="1:33" x14ac:dyDescent="0.2">
      <c r="A123" s="344" t="s">
        <v>302</v>
      </c>
      <c r="B123" s="350" t="s">
        <v>303</v>
      </c>
      <c r="C123" s="346">
        <v>13091</v>
      </c>
      <c r="D123" s="346">
        <v>0</v>
      </c>
      <c r="E123" s="346">
        <v>484</v>
      </c>
      <c r="F123" s="346">
        <v>501</v>
      </c>
      <c r="G123" s="346">
        <v>321</v>
      </c>
      <c r="H123" s="346">
        <v>14397</v>
      </c>
      <c r="I123" s="345">
        <v>14076</v>
      </c>
      <c r="J123" s="345">
        <v>2</v>
      </c>
      <c r="K123" s="347">
        <v>83.3</v>
      </c>
      <c r="L123" s="347">
        <v>84.13</v>
      </c>
      <c r="M123" s="347">
        <v>3.45</v>
      </c>
      <c r="N123" s="347">
        <v>86.58</v>
      </c>
      <c r="O123" s="348">
        <v>12311</v>
      </c>
      <c r="P123" s="345">
        <v>84.97</v>
      </c>
      <c r="Q123" s="345">
        <v>81.2</v>
      </c>
      <c r="R123" s="345">
        <v>33.83</v>
      </c>
      <c r="S123" s="345">
        <v>118.43</v>
      </c>
      <c r="T123" s="345">
        <v>839</v>
      </c>
      <c r="U123" s="345">
        <v>99.64</v>
      </c>
      <c r="V123" s="345">
        <v>748</v>
      </c>
      <c r="W123" s="345">
        <v>108.97</v>
      </c>
      <c r="X123" s="345">
        <v>43</v>
      </c>
      <c r="Y123" s="345">
        <v>228</v>
      </c>
      <c r="Z123" s="345">
        <v>32</v>
      </c>
      <c r="AA123" s="345">
        <v>2</v>
      </c>
      <c r="AB123" s="345">
        <v>4</v>
      </c>
      <c r="AC123" s="345">
        <v>6</v>
      </c>
      <c r="AD123" s="349">
        <v>13091</v>
      </c>
      <c r="AE123" s="349">
        <v>75</v>
      </c>
      <c r="AF123" s="349">
        <v>56</v>
      </c>
      <c r="AG123" s="349">
        <v>131</v>
      </c>
    </row>
    <row r="124" spans="1:33" x14ac:dyDescent="0.2">
      <c r="A124" s="344" t="s">
        <v>304</v>
      </c>
      <c r="B124" s="350" t="s">
        <v>305</v>
      </c>
      <c r="C124" s="346">
        <v>4832</v>
      </c>
      <c r="D124" s="346">
        <v>0</v>
      </c>
      <c r="E124" s="346">
        <v>150</v>
      </c>
      <c r="F124" s="346">
        <v>292</v>
      </c>
      <c r="G124" s="346">
        <v>87</v>
      </c>
      <c r="H124" s="346">
        <v>5361</v>
      </c>
      <c r="I124" s="345">
        <v>5274</v>
      </c>
      <c r="J124" s="345">
        <v>2</v>
      </c>
      <c r="K124" s="347">
        <v>91.05</v>
      </c>
      <c r="L124" s="347">
        <v>94.1</v>
      </c>
      <c r="M124" s="347">
        <v>1.61</v>
      </c>
      <c r="N124" s="347">
        <v>92.47</v>
      </c>
      <c r="O124" s="348">
        <v>4678</v>
      </c>
      <c r="P124" s="345">
        <v>100.33</v>
      </c>
      <c r="Q124" s="345">
        <v>86.72</v>
      </c>
      <c r="R124" s="345">
        <v>58.57</v>
      </c>
      <c r="S124" s="345">
        <v>158.4</v>
      </c>
      <c r="T124" s="345">
        <v>349</v>
      </c>
      <c r="U124" s="345">
        <v>104.63</v>
      </c>
      <c r="V124" s="345">
        <v>75</v>
      </c>
      <c r="W124" s="345">
        <v>164.56</v>
      </c>
      <c r="X124" s="345">
        <v>44</v>
      </c>
      <c r="Y124" s="345">
        <v>0</v>
      </c>
      <c r="Z124" s="345">
        <v>7</v>
      </c>
      <c r="AA124" s="345">
        <v>1</v>
      </c>
      <c r="AB124" s="345">
        <v>0</v>
      </c>
      <c r="AC124" s="345">
        <v>0</v>
      </c>
      <c r="AD124" s="349">
        <v>4817</v>
      </c>
      <c r="AE124" s="349">
        <v>8</v>
      </c>
      <c r="AF124" s="349">
        <v>43</v>
      </c>
      <c r="AG124" s="349">
        <v>51</v>
      </c>
    </row>
    <row r="125" spans="1:33" x14ac:dyDescent="0.2">
      <c r="A125" s="344" t="s">
        <v>306</v>
      </c>
      <c r="B125" s="350" t="s">
        <v>307</v>
      </c>
      <c r="C125" s="346">
        <v>11333</v>
      </c>
      <c r="D125" s="346">
        <v>37</v>
      </c>
      <c r="E125" s="346">
        <v>1184</v>
      </c>
      <c r="F125" s="346">
        <v>629</v>
      </c>
      <c r="G125" s="346">
        <v>1224</v>
      </c>
      <c r="H125" s="346">
        <v>14407</v>
      </c>
      <c r="I125" s="345">
        <v>13183</v>
      </c>
      <c r="J125" s="345">
        <v>172</v>
      </c>
      <c r="K125" s="347">
        <v>128.15</v>
      </c>
      <c r="L125" s="347">
        <v>139.24</v>
      </c>
      <c r="M125" s="347">
        <v>9.7200000000000006</v>
      </c>
      <c r="N125" s="347">
        <v>132.85</v>
      </c>
      <c r="O125" s="348">
        <v>10042</v>
      </c>
      <c r="P125" s="345">
        <v>109.24</v>
      </c>
      <c r="Q125" s="345">
        <v>114.4</v>
      </c>
      <c r="R125" s="345">
        <v>47.17</v>
      </c>
      <c r="S125" s="345">
        <v>152.36000000000001</v>
      </c>
      <c r="T125" s="345">
        <v>1361</v>
      </c>
      <c r="U125" s="345">
        <v>206.75</v>
      </c>
      <c r="V125" s="345">
        <v>517</v>
      </c>
      <c r="W125" s="345">
        <v>214.27</v>
      </c>
      <c r="X125" s="345">
        <v>40</v>
      </c>
      <c r="Y125" s="345">
        <v>0</v>
      </c>
      <c r="Z125" s="345">
        <v>3</v>
      </c>
      <c r="AA125" s="345">
        <v>38</v>
      </c>
      <c r="AB125" s="345">
        <v>150</v>
      </c>
      <c r="AC125" s="345">
        <v>37</v>
      </c>
      <c r="AD125" s="349">
        <v>10884</v>
      </c>
      <c r="AE125" s="349">
        <v>41</v>
      </c>
      <c r="AF125" s="349">
        <v>46</v>
      </c>
      <c r="AG125" s="349">
        <v>87</v>
      </c>
    </row>
    <row r="126" spans="1:33" x14ac:dyDescent="0.2">
      <c r="A126" s="344" t="s">
        <v>308</v>
      </c>
      <c r="B126" s="350" t="s">
        <v>309</v>
      </c>
      <c r="C126" s="346">
        <v>2105</v>
      </c>
      <c r="D126" s="346">
        <v>0</v>
      </c>
      <c r="E126" s="346">
        <v>514</v>
      </c>
      <c r="F126" s="346">
        <v>444</v>
      </c>
      <c r="G126" s="346">
        <v>376</v>
      </c>
      <c r="H126" s="346">
        <v>3439</v>
      </c>
      <c r="I126" s="345">
        <v>3063</v>
      </c>
      <c r="J126" s="345">
        <v>0</v>
      </c>
      <c r="K126" s="347">
        <v>89.72</v>
      </c>
      <c r="L126" s="347">
        <v>90.95</v>
      </c>
      <c r="M126" s="347">
        <v>2.66</v>
      </c>
      <c r="N126" s="347">
        <v>91.36</v>
      </c>
      <c r="O126" s="348">
        <v>2025</v>
      </c>
      <c r="P126" s="345">
        <v>81.99</v>
      </c>
      <c r="Q126" s="345">
        <v>83.9</v>
      </c>
      <c r="R126" s="345">
        <v>15.34</v>
      </c>
      <c r="S126" s="345">
        <v>95.53</v>
      </c>
      <c r="T126" s="345">
        <v>934</v>
      </c>
      <c r="U126" s="345">
        <v>107.49</v>
      </c>
      <c r="V126" s="345">
        <v>63</v>
      </c>
      <c r="W126" s="345">
        <v>0</v>
      </c>
      <c r="X126" s="345">
        <v>0</v>
      </c>
      <c r="Y126" s="345">
        <v>0</v>
      </c>
      <c r="Z126" s="345">
        <v>11</v>
      </c>
      <c r="AA126" s="345">
        <v>0</v>
      </c>
      <c r="AB126" s="345">
        <v>24</v>
      </c>
      <c r="AC126" s="345">
        <v>14</v>
      </c>
      <c r="AD126" s="349">
        <v>2105</v>
      </c>
      <c r="AE126" s="349">
        <v>18</v>
      </c>
      <c r="AF126" s="349">
        <v>25</v>
      </c>
      <c r="AG126" s="349">
        <v>43</v>
      </c>
    </row>
    <row r="127" spans="1:33" x14ac:dyDescent="0.2">
      <c r="A127" s="344" t="s">
        <v>310</v>
      </c>
      <c r="B127" s="350" t="s">
        <v>311</v>
      </c>
      <c r="C127" s="346">
        <v>9565</v>
      </c>
      <c r="D127" s="346">
        <v>314</v>
      </c>
      <c r="E127" s="346">
        <v>892</v>
      </c>
      <c r="F127" s="346">
        <v>787</v>
      </c>
      <c r="G127" s="346">
        <v>1694</v>
      </c>
      <c r="H127" s="346">
        <v>13252</v>
      </c>
      <c r="I127" s="345">
        <v>11558</v>
      </c>
      <c r="J127" s="345">
        <v>205</v>
      </c>
      <c r="K127" s="347">
        <v>118.74</v>
      </c>
      <c r="L127" s="347">
        <v>120.63</v>
      </c>
      <c r="M127" s="347">
        <v>10.14</v>
      </c>
      <c r="N127" s="347">
        <v>124.4</v>
      </c>
      <c r="O127" s="348">
        <v>8135</v>
      </c>
      <c r="P127" s="345">
        <v>103.7</v>
      </c>
      <c r="Q127" s="345">
        <v>101.29</v>
      </c>
      <c r="R127" s="345">
        <v>49.6</v>
      </c>
      <c r="S127" s="345">
        <v>148.97</v>
      </c>
      <c r="T127" s="345">
        <v>1180</v>
      </c>
      <c r="U127" s="345">
        <v>161.43</v>
      </c>
      <c r="V127" s="345">
        <v>363</v>
      </c>
      <c r="W127" s="345">
        <v>176.58</v>
      </c>
      <c r="X127" s="345">
        <v>1</v>
      </c>
      <c r="Y127" s="345">
        <v>62</v>
      </c>
      <c r="Z127" s="345">
        <v>4</v>
      </c>
      <c r="AA127" s="345">
        <v>6</v>
      </c>
      <c r="AB127" s="345">
        <v>80</v>
      </c>
      <c r="AC127" s="345">
        <v>95</v>
      </c>
      <c r="AD127" s="349">
        <v>8795</v>
      </c>
      <c r="AE127" s="349">
        <v>50</v>
      </c>
      <c r="AF127" s="349">
        <v>44</v>
      </c>
      <c r="AG127" s="349">
        <v>94</v>
      </c>
    </row>
    <row r="128" spans="1:33" x14ac:dyDescent="0.2">
      <c r="A128" s="344" t="s">
        <v>312</v>
      </c>
      <c r="B128" s="350" t="s">
        <v>313</v>
      </c>
      <c r="C128" s="346">
        <v>1120</v>
      </c>
      <c r="D128" s="346">
        <v>57</v>
      </c>
      <c r="E128" s="346">
        <v>309</v>
      </c>
      <c r="F128" s="346">
        <v>258</v>
      </c>
      <c r="G128" s="346">
        <v>280</v>
      </c>
      <c r="H128" s="346">
        <v>2024</v>
      </c>
      <c r="I128" s="345">
        <v>1744</v>
      </c>
      <c r="J128" s="345">
        <v>2</v>
      </c>
      <c r="K128" s="347">
        <v>105.43</v>
      </c>
      <c r="L128" s="347">
        <v>102.95</v>
      </c>
      <c r="M128" s="347">
        <v>7.23</v>
      </c>
      <c r="N128" s="347">
        <v>111.91</v>
      </c>
      <c r="O128" s="348">
        <v>1021</v>
      </c>
      <c r="P128" s="345">
        <v>90.13</v>
      </c>
      <c r="Q128" s="345">
        <v>87.08</v>
      </c>
      <c r="R128" s="345">
        <v>38.49</v>
      </c>
      <c r="S128" s="345">
        <v>128</v>
      </c>
      <c r="T128" s="345">
        <v>496</v>
      </c>
      <c r="U128" s="345">
        <v>143.81</v>
      </c>
      <c r="V128" s="345">
        <v>107</v>
      </c>
      <c r="W128" s="345">
        <v>0</v>
      </c>
      <c r="X128" s="345">
        <v>0</v>
      </c>
      <c r="Y128" s="345">
        <v>0</v>
      </c>
      <c r="Z128" s="345">
        <v>1</v>
      </c>
      <c r="AA128" s="345">
        <v>0</v>
      </c>
      <c r="AB128" s="345">
        <v>26</v>
      </c>
      <c r="AC128" s="345">
        <v>3</v>
      </c>
      <c r="AD128" s="349">
        <v>1117</v>
      </c>
      <c r="AE128" s="349">
        <v>6</v>
      </c>
      <c r="AF128" s="349">
        <v>0</v>
      </c>
      <c r="AG128" s="349">
        <v>6</v>
      </c>
    </row>
    <row r="129" spans="1:33" x14ac:dyDescent="0.2">
      <c r="A129" s="344" t="s">
        <v>314</v>
      </c>
      <c r="B129" s="350" t="s">
        <v>315</v>
      </c>
      <c r="C129" s="346">
        <v>2099</v>
      </c>
      <c r="D129" s="346">
        <v>15</v>
      </c>
      <c r="E129" s="346">
        <v>248</v>
      </c>
      <c r="F129" s="346">
        <v>367</v>
      </c>
      <c r="G129" s="346">
        <v>251</v>
      </c>
      <c r="H129" s="346">
        <v>2980</v>
      </c>
      <c r="I129" s="345">
        <v>2729</v>
      </c>
      <c r="J129" s="345">
        <v>10</v>
      </c>
      <c r="K129" s="347">
        <v>94.96</v>
      </c>
      <c r="L129" s="347">
        <v>94.24</v>
      </c>
      <c r="M129" s="347">
        <v>6.57</v>
      </c>
      <c r="N129" s="347">
        <v>99.31</v>
      </c>
      <c r="O129" s="348">
        <v>1693</v>
      </c>
      <c r="P129" s="345">
        <v>97.69</v>
      </c>
      <c r="Q129" s="345">
        <v>82.61</v>
      </c>
      <c r="R129" s="345">
        <v>34.06</v>
      </c>
      <c r="S129" s="345">
        <v>131</v>
      </c>
      <c r="T129" s="345">
        <v>452</v>
      </c>
      <c r="U129" s="345">
        <v>110.82</v>
      </c>
      <c r="V129" s="345">
        <v>226</v>
      </c>
      <c r="W129" s="345">
        <v>219.4</v>
      </c>
      <c r="X129" s="345">
        <v>9</v>
      </c>
      <c r="Y129" s="345">
        <v>0</v>
      </c>
      <c r="Z129" s="345">
        <v>4</v>
      </c>
      <c r="AA129" s="345">
        <v>7</v>
      </c>
      <c r="AB129" s="345">
        <v>6</v>
      </c>
      <c r="AC129" s="345">
        <v>3</v>
      </c>
      <c r="AD129" s="349">
        <v>1905</v>
      </c>
      <c r="AE129" s="349">
        <v>12</v>
      </c>
      <c r="AF129" s="349">
        <v>20</v>
      </c>
      <c r="AG129" s="349">
        <v>32</v>
      </c>
    </row>
    <row r="130" spans="1:33" x14ac:dyDescent="0.2">
      <c r="A130" s="344" t="s">
        <v>316</v>
      </c>
      <c r="B130" s="350" t="s">
        <v>317</v>
      </c>
      <c r="C130" s="346">
        <v>3097</v>
      </c>
      <c r="D130" s="346">
        <v>2</v>
      </c>
      <c r="E130" s="346">
        <v>403</v>
      </c>
      <c r="F130" s="346">
        <v>568</v>
      </c>
      <c r="G130" s="346">
        <v>1023</v>
      </c>
      <c r="H130" s="346">
        <v>5093</v>
      </c>
      <c r="I130" s="345">
        <v>4070</v>
      </c>
      <c r="J130" s="345">
        <v>28</v>
      </c>
      <c r="K130" s="347">
        <v>130.62</v>
      </c>
      <c r="L130" s="347">
        <v>131.51</v>
      </c>
      <c r="M130" s="347">
        <v>10.19</v>
      </c>
      <c r="N130" s="347">
        <v>136.74</v>
      </c>
      <c r="O130" s="348">
        <v>2719</v>
      </c>
      <c r="P130" s="345">
        <v>100.19</v>
      </c>
      <c r="Q130" s="345">
        <v>96.05</v>
      </c>
      <c r="R130" s="345">
        <v>23.36</v>
      </c>
      <c r="S130" s="345">
        <v>122.54</v>
      </c>
      <c r="T130" s="345">
        <v>507</v>
      </c>
      <c r="U130" s="345">
        <v>167.28</v>
      </c>
      <c r="V130" s="345">
        <v>142</v>
      </c>
      <c r="W130" s="345">
        <v>0</v>
      </c>
      <c r="X130" s="345">
        <v>0</v>
      </c>
      <c r="Y130" s="345">
        <v>0</v>
      </c>
      <c r="Z130" s="345">
        <v>6</v>
      </c>
      <c r="AA130" s="345">
        <v>0</v>
      </c>
      <c r="AB130" s="345">
        <v>13</v>
      </c>
      <c r="AC130" s="345">
        <v>44</v>
      </c>
      <c r="AD130" s="349">
        <v>3017</v>
      </c>
      <c r="AE130" s="349">
        <v>9</v>
      </c>
      <c r="AF130" s="349">
        <v>8</v>
      </c>
      <c r="AG130" s="349">
        <v>17</v>
      </c>
    </row>
    <row r="131" spans="1:33" x14ac:dyDescent="0.2">
      <c r="A131" s="344" t="s">
        <v>318</v>
      </c>
      <c r="B131" s="350" t="s">
        <v>319</v>
      </c>
      <c r="C131" s="346">
        <v>2467</v>
      </c>
      <c r="D131" s="346">
        <v>0</v>
      </c>
      <c r="E131" s="346">
        <v>49</v>
      </c>
      <c r="F131" s="346">
        <v>425</v>
      </c>
      <c r="G131" s="346">
        <v>469</v>
      </c>
      <c r="H131" s="346">
        <v>3410</v>
      </c>
      <c r="I131" s="345">
        <v>2941</v>
      </c>
      <c r="J131" s="345">
        <v>3</v>
      </c>
      <c r="K131" s="347">
        <v>117.66</v>
      </c>
      <c r="L131" s="347">
        <v>118.95</v>
      </c>
      <c r="M131" s="347">
        <v>4.5199999999999996</v>
      </c>
      <c r="N131" s="347">
        <v>119.37</v>
      </c>
      <c r="O131" s="348">
        <v>2260</v>
      </c>
      <c r="P131" s="345">
        <v>99.28</v>
      </c>
      <c r="Q131" s="345">
        <v>99.75</v>
      </c>
      <c r="R131" s="345">
        <v>27.1</v>
      </c>
      <c r="S131" s="345">
        <v>126.06</v>
      </c>
      <c r="T131" s="345">
        <v>421</v>
      </c>
      <c r="U131" s="345">
        <v>153.76</v>
      </c>
      <c r="V131" s="345">
        <v>171</v>
      </c>
      <c r="W131" s="345">
        <v>0</v>
      </c>
      <c r="X131" s="345">
        <v>0</v>
      </c>
      <c r="Y131" s="345">
        <v>0</v>
      </c>
      <c r="Z131" s="345">
        <v>2</v>
      </c>
      <c r="AA131" s="345">
        <v>0</v>
      </c>
      <c r="AB131" s="345">
        <v>21</v>
      </c>
      <c r="AC131" s="345">
        <v>23</v>
      </c>
      <c r="AD131" s="349">
        <v>2467</v>
      </c>
      <c r="AE131" s="349">
        <v>45</v>
      </c>
      <c r="AF131" s="349">
        <v>1</v>
      </c>
      <c r="AG131" s="349">
        <v>46</v>
      </c>
    </row>
    <row r="132" spans="1:33" x14ac:dyDescent="0.2">
      <c r="A132" s="344" t="s">
        <v>320</v>
      </c>
      <c r="B132" s="350" t="s">
        <v>321</v>
      </c>
      <c r="C132" s="346">
        <v>7602</v>
      </c>
      <c r="D132" s="346">
        <v>0</v>
      </c>
      <c r="E132" s="346">
        <v>338</v>
      </c>
      <c r="F132" s="346">
        <v>1986</v>
      </c>
      <c r="G132" s="346">
        <v>214</v>
      </c>
      <c r="H132" s="346">
        <v>10140</v>
      </c>
      <c r="I132" s="345">
        <v>9926</v>
      </c>
      <c r="J132" s="345">
        <v>50</v>
      </c>
      <c r="K132" s="347">
        <v>81.94</v>
      </c>
      <c r="L132" s="347">
        <v>81.58</v>
      </c>
      <c r="M132" s="347">
        <v>4.68</v>
      </c>
      <c r="N132" s="347">
        <v>83.76</v>
      </c>
      <c r="O132" s="348">
        <v>6704</v>
      </c>
      <c r="P132" s="345">
        <v>78.819999999999993</v>
      </c>
      <c r="Q132" s="345">
        <v>78.34</v>
      </c>
      <c r="R132" s="345">
        <v>27.73</v>
      </c>
      <c r="S132" s="345">
        <v>95.23</v>
      </c>
      <c r="T132" s="345">
        <v>2244</v>
      </c>
      <c r="U132" s="345">
        <v>92.5</v>
      </c>
      <c r="V132" s="345">
        <v>837</v>
      </c>
      <c r="W132" s="345">
        <v>93.97</v>
      </c>
      <c r="X132" s="345">
        <v>43</v>
      </c>
      <c r="Y132" s="345">
        <v>0</v>
      </c>
      <c r="Z132" s="345">
        <v>26</v>
      </c>
      <c r="AA132" s="345">
        <v>2</v>
      </c>
      <c r="AB132" s="345">
        <v>5</v>
      </c>
      <c r="AC132" s="345">
        <v>1</v>
      </c>
      <c r="AD132" s="349">
        <v>7578</v>
      </c>
      <c r="AE132" s="349">
        <v>155</v>
      </c>
      <c r="AF132" s="349">
        <v>59</v>
      </c>
      <c r="AG132" s="349">
        <v>214</v>
      </c>
    </row>
    <row r="133" spans="1:33" x14ac:dyDescent="0.2">
      <c r="A133" s="344" t="s">
        <v>322</v>
      </c>
      <c r="B133" s="350" t="s">
        <v>323</v>
      </c>
      <c r="C133" s="346">
        <v>5018</v>
      </c>
      <c r="D133" s="346">
        <v>0</v>
      </c>
      <c r="E133" s="346">
        <v>272</v>
      </c>
      <c r="F133" s="346">
        <v>716</v>
      </c>
      <c r="G133" s="346">
        <v>158</v>
      </c>
      <c r="H133" s="346">
        <v>6164</v>
      </c>
      <c r="I133" s="345">
        <v>6006</v>
      </c>
      <c r="J133" s="345">
        <v>1</v>
      </c>
      <c r="K133" s="347">
        <v>90.55</v>
      </c>
      <c r="L133" s="347">
        <v>84.42</v>
      </c>
      <c r="M133" s="347">
        <v>6.65</v>
      </c>
      <c r="N133" s="347">
        <v>95.94</v>
      </c>
      <c r="O133" s="348">
        <v>4534</v>
      </c>
      <c r="P133" s="345">
        <v>71.8</v>
      </c>
      <c r="Q133" s="345">
        <v>68.989999999999995</v>
      </c>
      <c r="R133" s="345">
        <v>31.43</v>
      </c>
      <c r="S133" s="345">
        <v>101.71</v>
      </c>
      <c r="T133" s="345">
        <v>827</v>
      </c>
      <c r="U133" s="345">
        <v>112.29</v>
      </c>
      <c r="V133" s="345">
        <v>394</v>
      </c>
      <c r="W133" s="345">
        <v>0</v>
      </c>
      <c r="X133" s="345">
        <v>0</v>
      </c>
      <c r="Y133" s="345">
        <v>168</v>
      </c>
      <c r="Z133" s="345">
        <v>11</v>
      </c>
      <c r="AA133" s="345">
        <v>11</v>
      </c>
      <c r="AB133" s="345">
        <v>2</v>
      </c>
      <c r="AC133" s="345">
        <v>7</v>
      </c>
      <c r="AD133" s="349">
        <v>4935</v>
      </c>
      <c r="AE133" s="349">
        <v>20</v>
      </c>
      <c r="AF133" s="349">
        <v>12</v>
      </c>
      <c r="AG133" s="349">
        <v>32</v>
      </c>
    </row>
    <row r="134" spans="1:33" x14ac:dyDescent="0.2">
      <c r="A134" s="344" t="s">
        <v>324</v>
      </c>
      <c r="B134" s="350" t="s">
        <v>325</v>
      </c>
      <c r="C134" s="346">
        <v>4069</v>
      </c>
      <c r="D134" s="346">
        <v>0</v>
      </c>
      <c r="E134" s="346">
        <v>240</v>
      </c>
      <c r="F134" s="346">
        <v>1068</v>
      </c>
      <c r="G134" s="346">
        <v>299</v>
      </c>
      <c r="H134" s="346">
        <v>5676</v>
      </c>
      <c r="I134" s="345">
        <v>5377</v>
      </c>
      <c r="J134" s="345">
        <v>0</v>
      </c>
      <c r="K134" s="347">
        <v>105.79</v>
      </c>
      <c r="L134" s="347">
        <v>102.12</v>
      </c>
      <c r="M134" s="347">
        <v>8.43</v>
      </c>
      <c r="N134" s="347">
        <v>109.86</v>
      </c>
      <c r="O134" s="348">
        <v>3673</v>
      </c>
      <c r="P134" s="345">
        <v>95.46</v>
      </c>
      <c r="Q134" s="345">
        <v>88.31</v>
      </c>
      <c r="R134" s="345">
        <v>17.68</v>
      </c>
      <c r="S134" s="345">
        <v>113.03</v>
      </c>
      <c r="T134" s="345">
        <v>1134</v>
      </c>
      <c r="U134" s="345">
        <v>143.4</v>
      </c>
      <c r="V134" s="345">
        <v>289</v>
      </c>
      <c r="W134" s="345">
        <v>145.34</v>
      </c>
      <c r="X134" s="345">
        <v>14</v>
      </c>
      <c r="Y134" s="345">
        <v>0</v>
      </c>
      <c r="Z134" s="345">
        <v>3</v>
      </c>
      <c r="AA134" s="345">
        <v>4</v>
      </c>
      <c r="AB134" s="345">
        <v>31</v>
      </c>
      <c r="AC134" s="345">
        <v>6</v>
      </c>
      <c r="AD134" s="349">
        <v>4061</v>
      </c>
      <c r="AE134" s="349">
        <v>34</v>
      </c>
      <c r="AF134" s="349">
        <v>24</v>
      </c>
      <c r="AG134" s="349">
        <v>58</v>
      </c>
    </row>
    <row r="135" spans="1:33" x14ac:dyDescent="0.2">
      <c r="A135" s="344" t="s">
        <v>326</v>
      </c>
      <c r="B135" s="350" t="s">
        <v>327</v>
      </c>
      <c r="C135" s="346">
        <v>3504</v>
      </c>
      <c r="D135" s="346">
        <v>354</v>
      </c>
      <c r="E135" s="346">
        <v>178</v>
      </c>
      <c r="F135" s="346">
        <v>514</v>
      </c>
      <c r="G135" s="346">
        <v>647</v>
      </c>
      <c r="H135" s="346">
        <v>5197</v>
      </c>
      <c r="I135" s="345">
        <v>4550</v>
      </c>
      <c r="J135" s="345">
        <v>11</v>
      </c>
      <c r="K135" s="347">
        <v>118.4</v>
      </c>
      <c r="L135" s="347">
        <v>117.02</v>
      </c>
      <c r="M135" s="347">
        <v>8.15</v>
      </c>
      <c r="N135" s="347">
        <v>124.81</v>
      </c>
      <c r="O135" s="348">
        <v>2610</v>
      </c>
      <c r="P135" s="345">
        <v>102.7</v>
      </c>
      <c r="Q135" s="345">
        <v>98.88</v>
      </c>
      <c r="R135" s="345">
        <v>32.44</v>
      </c>
      <c r="S135" s="345">
        <v>133.47999999999999</v>
      </c>
      <c r="T135" s="345">
        <v>646</v>
      </c>
      <c r="U135" s="345">
        <v>175.4</v>
      </c>
      <c r="V135" s="345">
        <v>705</v>
      </c>
      <c r="W135" s="345">
        <v>192.44</v>
      </c>
      <c r="X135" s="345">
        <v>23</v>
      </c>
      <c r="Y135" s="345">
        <v>12</v>
      </c>
      <c r="Z135" s="345">
        <v>4</v>
      </c>
      <c r="AA135" s="345">
        <v>0</v>
      </c>
      <c r="AB135" s="345">
        <v>167</v>
      </c>
      <c r="AC135" s="345">
        <v>23</v>
      </c>
      <c r="AD135" s="349">
        <v>3474</v>
      </c>
      <c r="AE135" s="349">
        <v>18</v>
      </c>
      <c r="AF135" s="349">
        <v>88</v>
      </c>
      <c r="AG135" s="349">
        <v>106</v>
      </c>
    </row>
    <row r="136" spans="1:33" x14ac:dyDescent="0.2">
      <c r="A136" s="344" t="s">
        <v>328</v>
      </c>
      <c r="B136" s="350" t="s">
        <v>329</v>
      </c>
      <c r="C136" s="346">
        <v>8831</v>
      </c>
      <c r="D136" s="346">
        <v>0</v>
      </c>
      <c r="E136" s="346">
        <v>288</v>
      </c>
      <c r="F136" s="346">
        <v>1987</v>
      </c>
      <c r="G136" s="346">
        <v>700</v>
      </c>
      <c r="H136" s="346">
        <v>11806</v>
      </c>
      <c r="I136" s="345">
        <v>11106</v>
      </c>
      <c r="J136" s="345">
        <v>36</v>
      </c>
      <c r="K136" s="347">
        <v>89.85</v>
      </c>
      <c r="L136" s="347">
        <v>90.17</v>
      </c>
      <c r="M136" s="347">
        <v>3.44</v>
      </c>
      <c r="N136" s="347">
        <v>91.53</v>
      </c>
      <c r="O136" s="348">
        <v>8245</v>
      </c>
      <c r="P136" s="345">
        <v>81.09</v>
      </c>
      <c r="Q136" s="345">
        <v>82.18</v>
      </c>
      <c r="R136" s="345">
        <v>24.61</v>
      </c>
      <c r="S136" s="345">
        <v>100.25</v>
      </c>
      <c r="T136" s="345">
        <v>2188</v>
      </c>
      <c r="U136" s="345">
        <v>101.63</v>
      </c>
      <c r="V136" s="345">
        <v>461</v>
      </c>
      <c r="W136" s="345">
        <v>178.65</v>
      </c>
      <c r="X136" s="345">
        <v>30</v>
      </c>
      <c r="Y136" s="345">
        <v>1</v>
      </c>
      <c r="Z136" s="345">
        <v>24</v>
      </c>
      <c r="AA136" s="345">
        <v>9</v>
      </c>
      <c r="AB136" s="345">
        <v>14</v>
      </c>
      <c r="AC136" s="345">
        <v>6</v>
      </c>
      <c r="AD136" s="349">
        <v>8803</v>
      </c>
      <c r="AE136" s="349">
        <v>41</v>
      </c>
      <c r="AF136" s="349">
        <v>12</v>
      </c>
      <c r="AG136" s="349">
        <v>53</v>
      </c>
    </row>
    <row r="137" spans="1:33" x14ac:dyDescent="0.2">
      <c r="A137" s="344" t="s">
        <v>330</v>
      </c>
      <c r="B137" s="350" t="s">
        <v>331</v>
      </c>
      <c r="C137" s="346">
        <v>6192</v>
      </c>
      <c r="D137" s="346">
        <v>24</v>
      </c>
      <c r="E137" s="346">
        <v>166</v>
      </c>
      <c r="F137" s="346">
        <v>865</v>
      </c>
      <c r="G137" s="346">
        <v>479</v>
      </c>
      <c r="H137" s="346">
        <v>7726</v>
      </c>
      <c r="I137" s="345">
        <v>7247</v>
      </c>
      <c r="J137" s="345">
        <v>1</v>
      </c>
      <c r="K137" s="347">
        <v>120.33</v>
      </c>
      <c r="L137" s="347">
        <v>124.82</v>
      </c>
      <c r="M137" s="347">
        <v>9.5299999999999994</v>
      </c>
      <c r="N137" s="347">
        <v>124.84</v>
      </c>
      <c r="O137" s="348">
        <v>5481</v>
      </c>
      <c r="P137" s="345">
        <v>106.42</v>
      </c>
      <c r="Q137" s="345">
        <v>108.22</v>
      </c>
      <c r="R137" s="345">
        <v>29.98</v>
      </c>
      <c r="S137" s="345">
        <v>135.69</v>
      </c>
      <c r="T137" s="345">
        <v>966</v>
      </c>
      <c r="U137" s="345">
        <v>172.49</v>
      </c>
      <c r="V137" s="345">
        <v>538</v>
      </c>
      <c r="W137" s="345">
        <v>0</v>
      </c>
      <c r="X137" s="345">
        <v>0</v>
      </c>
      <c r="Y137" s="345">
        <v>0</v>
      </c>
      <c r="Z137" s="345">
        <v>9</v>
      </c>
      <c r="AA137" s="345">
        <v>0</v>
      </c>
      <c r="AB137" s="345">
        <v>11</v>
      </c>
      <c r="AC137" s="345">
        <v>15</v>
      </c>
      <c r="AD137" s="349">
        <v>6080</v>
      </c>
      <c r="AE137" s="349">
        <v>52</v>
      </c>
      <c r="AF137" s="349">
        <v>11</v>
      </c>
      <c r="AG137" s="349">
        <v>63</v>
      </c>
    </row>
    <row r="138" spans="1:33" x14ac:dyDescent="0.2">
      <c r="A138" s="344" t="s">
        <v>332</v>
      </c>
      <c r="B138" s="350" t="s">
        <v>333</v>
      </c>
      <c r="C138" s="346">
        <v>754</v>
      </c>
      <c r="D138" s="346">
        <v>0</v>
      </c>
      <c r="E138" s="346">
        <v>48</v>
      </c>
      <c r="F138" s="346">
        <v>338</v>
      </c>
      <c r="G138" s="346">
        <v>103</v>
      </c>
      <c r="H138" s="346">
        <v>1243</v>
      </c>
      <c r="I138" s="345">
        <v>1140</v>
      </c>
      <c r="J138" s="345">
        <v>9</v>
      </c>
      <c r="K138" s="347">
        <v>96.6</v>
      </c>
      <c r="L138" s="347">
        <v>95.41</v>
      </c>
      <c r="M138" s="347">
        <v>7.15</v>
      </c>
      <c r="N138" s="347">
        <v>100.59</v>
      </c>
      <c r="O138" s="348">
        <v>693</v>
      </c>
      <c r="P138" s="345">
        <v>83.07</v>
      </c>
      <c r="Q138" s="345">
        <v>78.44</v>
      </c>
      <c r="R138" s="345">
        <v>36.36</v>
      </c>
      <c r="S138" s="345">
        <v>119.33</v>
      </c>
      <c r="T138" s="345">
        <v>366</v>
      </c>
      <c r="U138" s="345">
        <v>106.89</v>
      </c>
      <c r="V138" s="345">
        <v>40</v>
      </c>
      <c r="W138" s="345">
        <v>0</v>
      </c>
      <c r="X138" s="345">
        <v>0</v>
      </c>
      <c r="Y138" s="345">
        <v>0</v>
      </c>
      <c r="Z138" s="345">
        <v>0</v>
      </c>
      <c r="AA138" s="345">
        <v>0</v>
      </c>
      <c r="AB138" s="345">
        <v>10</v>
      </c>
      <c r="AC138" s="345">
        <v>2</v>
      </c>
      <c r="AD138" s="349">
        <v>732</v>
      </c>
      <c r="AE138" s="349">
        <v>7</v>
      </c>
      <c r="AF138" s="349">
        <v>0</v>
      </c>
      <c r="AG138" s="349">
        <v>7</v>
      </c>
    </row>
    <row r="139" spans="1:33" x14ac:dyDescent="0.2">
      <c r="A139" s="344" t="s">
        <v>334</v>
      </c>
      <c r="B139" s="350" t="s">
        <v>335</v>
      </c>
      <c r="C139" s="346">
        <v>6312</v>
      </c>
      <c r="D139" s="346">
        <v>0</v>
      </c>
      <c r="E139" s="346">
        <v>542</v>
      </c>
      <c r="F139" s="346">
        <v>539</v>
      </c>
      <c r="G139" s="346">
        <v>1231</v>
      </c>
      <c r="H139" s="346">
        <v>8624</v>
      </c>
      <c r="I139" s="345">
        <v>7393</v>
      </c>
      <c r="J139" s="345">
        <v>43</v>
      </c>
      <c r="K139" s="347">
        <v>123.78</v>
      </c>
      <c r="L139" s="347">
        <v>123.62</v>
      </c>
      <c r="M139" s="347">
        <v>10.050000000000001</v>
      </c>
      <c r="N139" s="347">
        <v>130.65</v>
      </c>
      <c r="O139" s="348">
        <v>5550</v>
      </c>
      <c r="P139" s="345">
        <v>101.38</v>
      </c>
      <c r="Q139" s="345">
        <v>103.34</v>
      </c>
      <c r="R139" s="345">
        <v>41.52</v>
      </c>
      <c r="S139" s="345">
        <v>142.41999999999999</v>
      </c>
      <c r="T139" s="345">
        <v>854</v>
      </c>
      <c r="U139" s="345">
        <v>181.98</v>
      </c>
      <c r="V139" s="345">
        <v>401</v>
      </c>
      <c r="W139" s="345">
        <v>155.34</v>
      </c>
      <c r="X139" s="345">
        <v>44</v>
      </c>
      <c r="Y139" s="345">
        <v>0</v>
      </c>
      <c r="Z139" s="345">
        <v>11</v>
      </c>
      <c r="AA139" s="345">
        <v>1</v>
      </c>
      <c r="AB139" s="345">
        <v>4</v>
      </c>
      <c r="AC139" s="345">
        <v>36</v>
      </c>
      <c r="AD139" s="349">
        <v>5983</v>
      </c>
      <c r="AE139" s="349">
        <v>21</v>
      </c>
      <c r="AF139" s="349">
        <v>17</v>
      </c>
      <c r="AG139" s="349">
        <v>38</v>
      </c>
    </row>
    <row r="140" spans="1:33" x14ac:dyDescent="0.2">
      <c r="A140" s="344" t="s">
        <v>336</v>
      </c>
      <c r="B140" s="350" t="s">
        <v>337</v>
      </c>
      <c r="C140" s="346">
        <v>1595</v>
      </c>
      <c r="D140" s="346">
        <v>0</v>
      </c>
      <c r="E140" s="346">
        <v>73</v>
      </c>
      <c r="F140" s="346">
        <v>125</v>
      </c>
      <c r="G140" s="346">
        <v>300</v>
      </c>
      <c r="H140" s="346">
        <v>2093</v>
      </c>
      <c r="I140" s="345">
        <v>1793</v>
      </c>
      <c r="J140" s="345">
        <v>3</v>
      </c>
      <c r="K140" s="347">
        <v>91.75</v>
      </c>
      <c r="L140" s="347">
        <v>89.24</v>
      </c>
      <c r="M140" s="347">
        <v>4.83</v>
      </c>
      <c r="N140" s="347">
        <v>94.22</v>
      </c>
      <c r="O140" s="348">
        <v>1431</v>
      </c>
      <c r="P140" s="345">
        <v>91.15</v>
      </c>
      <c r="Q140" s="345">
        <v>76.78</v>
      </c>
      <c r="R140" s="345">
        <v>27.83</v>
      </c>
      <c r="S140" s="345">
        <v>118.41</v>
      </c>
      <c r="T140" s="345">
        <v>194</v>
      </c>
      <c r="U140" s="345">
        <v>105.17</v>
      </c>
      <c r="V140" s="345">
        <v>155</v>
      </c>
      <c r="W140" s="345">
        <v>0</v>
      </c>
      <c r="X140" s="345">
        <v>0</v>
      </c>
      <c r="Y140" s="345">
        <v>0</v>
      </c>
      <c r="Z140" s="345">
        <v>0</v>
      </c>
      <c r="AA140" s="345">
        <v>3</v>
      </c>
      <c r="AB140" s="345">
        <v>34</v>
      </c>
      <c r="AC140" s="345">
        <v>14</v>
      </c>
      <c r="AD140" s="349">
        <v>1595</v>
      </c>
      <c r="AE140" s="349">
        <v>21</v>
      </c>
      <c r="AF140" s="349">
        <v>22</v>
      </c>
      <c r="AG140" s="349">
        <v>43</v>
      </c>
    </row>
    <row r="141" spans="1:33" x14ac:dyDescent="0.2">
      <c r="A141" s="344" t="s">
        <v>338</v>
      </c>
      <c r="B141" s="350" t="s">
        <v>339</v>
      </c>
      <c r="C141" s="346">
        <v>5359</v>
      </c>
      <c r="D141" s="346">
        <v>0</v>
      </c>
      <c r="E141" s="346">
        <v>157</v>
      </c>
      <c r="F141" s="346">
        <v>1100</v>
      </c>
      <c r="G141" s="346">
        <v>515</v>
      </c>
      <c r="H141" s="346">
        <v>7131</v>
      </c>
      <c r="I141" s="345">
        <v>6616</v>
      </c>
      <c r="J141" s="345">
        <v>9</v>
      </c>
      <c r="K141" s="347">
        <v>111.84</v>
      </c>
      <c r="L141" s="347">
        <v>111.06</v>
      </c>
      <c r="M141" s="347">
        <v>3.62</v>
      </c>
      <c r="N141" s="347">
        <v>114.02</v>
      </c>
      <c r="O141" s="348">
        <v>4647</v>
      </c>
      <c r="P141" s="345">
        <v>94.92</v>
      </c>
      <c r="Q141" s="345">
        <v>93.7</v>
      </c>
      <c r="R141" s="345">
        <v>22.21</v>
      </c>
      <c r="S141" s="345">
        <v>116.86</v>
      </c>
      <c r="T141" s="345">
        <v>1068</v>
      </c>
      <c r="U141" s="345">
        <v>151.13</v>
      </c>
      <c r="V141" s="345">
        <v>651</v>
      </c>
      <c r="W141" s="345">
        <v>137.21</v>
      </c>
      <c r="X141" s="345">
        <v>38</v>
      </c>
      <c r="Y141" s="345">
        <v>0</v>
      </c>
      <c r="Z141" s="345">
        <v>7</v>
      </c>
      <c r="AA141" s="345">
        <v>1</v>
      </c>
      <c r="AB141" s="345">
        <v>83</v>
      </c>
      <c r="AC141" s="345">
        <v>9</v>
      </c>
      <c r="AD141" s="349">
        <v>5326</v>
      </c>
      <c r="AE141" s="349">
        <v>23</v>
      </c>
      <c r="AF141" s="349">
        <v>16</v>
      </c>
      <c r="AG141" s="349">
        <v>39</v>
      </c>
    </row>
    <row r="142" spans="1:33" x14ac:dyDescent="0.2">
      <c r="A142" s="344" t="s">
        <v>340</v>
      </c>
      <c r="B142" s="350" t="s">
        <v>341</v>
      </c>
      <c r="C142" s="346">
        <v>7239</v>
      </c>
      <c r="D142" s="346">
        <v>9</v>
      </c>
      <c r="E142" s="346">
        <v>364</v>
      </c>
      <c r="F142" s="346">
        <v>210</v>
      </c>
      <c r="G142" s="346">
        <v>1979</v>
      </c>
      <c r="H142" s="346">
        <v>9801</v>
      </c>
      <c r="I142" s="345">
        <v>7822</v>
      </c>
      <c r="J142" s="345">
        <v>148</v>
      </c>
      <c r="K142" s="347">
        <v>123.21</v>
      </c>
      <c r="L142" s="347">
        <v>125.26</v>
      </c>
      <c r="M142" s="347">
        <v>9.93</v>
      </c>
      <c r="N142" s="347">
        <v>130.81</v>
      </c>
      <c r="O142" s="348">
        <v>6017</v>
      </c>
      <c r="P142" s="345">
        <v>103.93</v>
      </c>
      <c r="Q142" s="345">
        <v>112.73</v>
      </c>
      <c r="R142" s="345">
        <v>63.11</v>
      </c>
      <c r="S142" s="345">
        <v>152.97999999999999</v>
      </c>
      <c r="T142" s="345">
        <v>323</v>
      </c>
      <c r="U142" s="345">
        <v>190.23</v>
      </c>
      <c r="V142" s="345">
        <v>402</v>
      </c>
      <c r="W142" s="345">
        <v>216.64</v>
      </c>
      <c r="X142" s="345">
        <v>59</v>
      </c>
      <c r="Y142" s="345">
        <v>32</v>
      </c>
      <c r="Z142" s="345">
        <v>9</v>
      </c>
      <c r="AA142" s="345">
        <v>2</v>
      </c>
      <c r="AB142" s="345">
        <v>64</v>
      </c>
      <c r="AC142" s="345">
        <v>77</v>
      </c>
      <c r="AD142" s="349">
        <v>6702</v>
      </c>
      <c r="AE142" s="349">
        <v>20</v>
      </c>
      <c r="AF142" s="349">
        <v>40</v>
      </c>
      <c r="AG142" s="349">
        <v>60</v>
      </c>
    </row>
    <row r="143" spans="1:33" x14ac:dyDescent="0.2">
      <c r="A143" s="344" t="s">
        <v>342</v>
      </c>
      <c r="B143" s="350" t="s">
        <v>343</v>
      </c>
      <c r="C143" s="346">
        <v>8210</v>
      </c>
      <c r="D143" s="346">
        <v>0</v>
      </c>
      <c r="E143" s="346">
        <v>351</v>
      </c>
      <c r="F143" s="346">
        <v>993</v>
      </c>
      <c r="G143" s="346">
        <v>651</v>
      </c>
      <c r="H143" s="346">
        <v>10205</v>
      </c>
      <c r="I143" s="345">
        <v>9554</v>
      </c>
      <c r="J143" s="345">
        <v>20</v>
      </c>
      <c r="K143" s="347">
        <v>95.47</v>
      </c>
      <c r="L143" s="347">
        <v>95.77</v>
      </c>
      <c r="M143" s="347">
        <v>3.53</v>
      </c>
      <c r="N143" s="347">
        <v>96.75</v>
      </c>
      <c r="O143" s="348">
        <v>7921</v>
      </c>
      <c r="P143" s="345">
        <v>86.87</v>
      </c>
      <c r="Q143" s="345">
        <v>86.8</v>
      </c>
      <c r="R143" s="345">
        <v>38.35</v>
      </c>
      <c r="S143" s="345">
        <v>124.28</v>
      </c>
      <c r="T143" s="345">
        <v>735</v>
      </c>
      <c r="U143" s="345">
        <v>116.73</v>
      </c>
      <c r="V143" s="345">
        <v>108</v>
      </c>
      <c r="W143" s="345">
        <v>0</v>
      </c>
      <c r="X143" s="345">
        <v>0</v>
      </c>
      <c r="Y143" s="345">
        <v>0</v>
      </c>
      <c r="Z143" s="345">
        <v>19</v>
      </c>
      <c r="AA143" s="345">
        <v>17</v>
      </c>
      <c r="AB143" s="345">
        <v>29</v>
      </c>
      <c r="AC143" s="345">
        <v>28</v>
      </c>
      <c r="AD143" s="349">
        <v>8207</v>
      </c>
      <c r="AE143" s="349">
        <v>32</v>
      </c>
      <c r="AF143" s="349">
        <v>41</v>
      </c>
      <c r="AG143" s="349">
        <v>73</v>
      </c>
    </row>
    <row r="144" spans="1:33" x14ac:dyDescent="0.2">
      <c r="A144" s="344" t="s">
        <v>344</v>
      </c>
      <c r="B144" s="350" t="s">
        <v>345</v>
      </c>
      <c r="C144" s="346">
        <v>2926</v>
      </c>
      <c r="D144" s="346">
        <v>0</v>
      </c>
      <c r="E144" s="346">
        <v>221</v>
      </c>
      <c r="F144" s="346">
        <v>1759</v>
      </c>
      <c r="G144" s="346">
        <v>69</v>
      </c>
      <c r="H144" s="346">
        <v>4975</v>
      </c>
      <c r="I144" s="345">
        <v>4906</v>
      </c>
      <c r="J144" s="345">
        <v>14</v>
      </c>
      <c r="K144" s="347">
        <v>77.81</v>
      </c>
      <c r="L144" s="347">
        <v>78.81</v>
      </c>
      <c r="M144" s="347">
        <v>2.77</v>
      </c>
      <c r="N144" s="347">
        <v>79.209999999999994</v>
      </c>
      <c r="O144" s="348">
        <v>2835</v>
      </c>
      <c r="P144" s="345">
        <v>73.86</v>
      </c>
      <c r="Q144" s="345">
        <v>70.41</v>
      </c>
      <c r="R144" s="345">
        <v>15.31</v>
      </c>
      <c r="S144" s="345">
        <v>89.05</v>
      </c>
      <c r="T144" s="345">
        <v>1942</v>
      </c>
      <c r="U144" s="345">
        <v>73.91</v>
      </c>
      <c r="V144" s="345">
        <v>90</v>
      </c>
      <c r="W144" s="345">
        <v>0</v>
      </c>
      <c r="X144" s="345">
        <v>0</v>
      </c>
      <c r="Y144" s="345">
        <v>0</v>
      </c>
      <c r="Z144" s="345">
        <v>13</v>
      </c>
      <c r="AA144" s="345">
        <v>2</v>
      </c>
      <c r="AB144" s="345">
        <v>0</v>
      </c>
      <c r="AC144" s="345">
        <v>1</v>
      </c>
      <c r="AD144" s="349">
        <v>2926</v>
      </c>
      <c r="AE144" s="349">
        <v>55</v>
      </c>
      <c r="AF144" s="349">
        <v>52</v>
      </c>
      <c r="AG144" s="349">
        <v>107</v>
      </c>
    </row>
    <row r="145" spans="1:33" x14ac:dyDescent="0.2">
      <c r="A145" s="344" t="s">
        <v>346</v>
      </c>
      <c r="B145" s="350" t="s">
        <v>347</v>
      </c>
      <c r="C145" s="346">
        <v>3676</v>
      </c>
      <c r="D145" s="346">
        <v>2</v>
      </c>
      <c r="E145" s="346">
        <v>635</v>
      </c>
      <c r="F145" s="346">
        <v>734</v>
      </c>
      <c r="G145" s="346">
        <v>351</v>
      </c>
      <c r="H145" s="346">
        <v>5398</v>
      </c>
      <c r="I145" s="345">
        <v>5047</v>
      </c>
      <c r="J145" s="345">
        <v>80</v>
      </c>
      <c r="K145" s="347">
        <v>88.28</v>
      </c>
      <c r="L145" s="347">
        <v>88.28</v>
      </c>
      <c r="M145" s="347">
        <v>6.54</v>
      </c>
      <c r="N145" s="347">
        <v>92.93</v>
      </c>
      <c r="O145" s="348">
        <v>3312</v>
      </c>
      <c r="P145" s="345">
        <v>78.900000000000006</v>
      </c>
      <c r="Q145" s="345">
        <v>72.02</v>
      </c>
      <c r="R145" s="345">
        <v>49.28</v>
      </c>
      <c r="S145" s="345">
        <v>125.44</v>
      </c>
      <c r="T145" s="345">
        <v>1131</v>
      </c>
      <c r="U145" s="345">
        <v>94.21</v>
      </c>
      <c r="V145" s="345">
        <v>321</v>
      </c>
      <c r="W145" s="345">
        <v>87.36</v>
      </c>
      <c r="X145" s="345">
        <v>1</v>
      </c>
      <c r="Y145" s="345">
        <v>174</v>
      </c>
      <c r="Z145" s="345">
        <v>8</v>
      </c>
      <c r="AA145" s="345">
        <v>1</v>
      </c>
      <c r="AB145" s="345">
        <v>1</v>
      </c>
      <c r="AC145" s="345">
        <v>3</v>
      </c>
      <c r="AD145" s="349">
        <v>3676</v>
      </c>
      <c r="AE145" s="349">
        <v>36</v>
      </c>
      <c r="AF145" s="349">
        <v>17</v>
      </c>
      <c r="AG145" s="349">
        <v>53</v>
      </c>
    </row>
    <row r="146" spans="1:33" x14ac:dyDescent="0.2">
      <c r="A146" s="344" t="s">
        <v>348</v>
      </c>
      <c r="B146" s="350" t="s">
        <v>349</v>
      </c>
      <c r="C146" s="346">
        <v>6195</v>
      </c>
      <c r="D146" s="346">
        <v>3</v>
      </c>
      <c r="E146" s="346">
        <v>299</v>
      </c>
      <c r="F146" s="346">
        <v>621</v>
      </c>
      <c r="G146" s="346">
        <v>270</v>
      </c>
      <c r="H146" s="346">
        <v>7388</v>
      </c>
      <c r="I146" s="345">
        <v>7118</v>
      </c>
      <c r="J146" s="345">
        <v>4</v>
      </c>
      <c r="K146" s="347">
        <v>90.14</v>
      </c>
      <c r="L146" s="347">
        <v>88.14</v>
      </c>
      <c r="M146" s="347">
        <v>5.2</v>
      </c>
      <c r="N146" s="347">
        <v>93.21</v>
      </c>
      <c r="O146" s="348">
        <v>5575</v>
      </c>
      <c r="P146" s="345">
        <v>77.09</v>
      </c>
      <c r="Q146" s="345">
        <v>74.05</v>
      </c>
      <c r="R146" s="345">
        <v>33.369999999999997</v>
      </c>
      <c r="S146" s="345">
        <v>105.16</v>
      </c>
      <c r="T146" s="345">
        <v>882</v>
      </c>
      <c r="U146" s="345">
        <v>116.35</v>
      </c>
      <c r="V146" s="345">
        <v>104</v>
      </c>
      <c r="W146" s="345">
        <v>76.25</v>
      </c>
      <c r="X146" s="345">
        <v>1</v>
      </c>
      <c r="Y146" s="345">
        <v>6</v>
      </c>
      <c r="Z146" s="345">
        <v>11</v>
      </c>
      <c r="AA146" s="345">
        <v>1</v>
      </c>
      <c r="AB146" s="345">
        <v>15</v>
      </c>
      <c r="AC146" s="345">
        <v>0</v>
      </c>
      <c r="AD146" s="349">
        <v>5773</v>
      </c>
      <c r="AE146" s="349">
        <v>21</v>
      </c>
      <c r="AF146" s="349">
        <v>7</v>
      </c>
      <c r="AG146" s="349">
        <v>28</v>
      </c>
    </row>
    <row r="147" spans="1:33" x14ac:dyDescent="0.2">
      <c r="A147" s="344" t="s">
        <v>350</v>
      </c>
      <c r="B147" s="350" t="s">
        <v>351</v>
      </c>
      <c r="C147" s="346">
        <v>52</v>
      </c>
      <c r="D147" s="346">
        <v>0</v>
      </c>
      <c r="E147" s="346">
        <v>0</v>
      </c>
      <c r="F147" s="346">
        <v>7</v>
      </c>
      <c r="G147" s="346">
        <v>0</v>
      </c>
      <c r="H147" s="346">
        <v>59</v>
      </c>
      <c r="I147" s="345">
        <v>59</v>
      </c>
      <c r="J147" s="345">
        <v>0</v>
      </c>
      <c r="K147" s="347">
        <v>100.82</v>
      </c>
      <c r="L147" s="347">
        <v>104.07</v>
      </c>
      <c r="M147" s="347">
        <v>0.99</v>
      </c>
      <c r="N147" s="347">
        <v>101.15</v>
      </c>
      <c r="O147" s="348">
        <v>27</v>
      </c>
      <c r="P147" s="345">
        <v>94.38</v>
      </c>
      <c r="Q147" s="345">
        <v>87.44</v>
      </c>
      <c r="R147" s="345">
        <v>17.68</v>
      </c>
      <c r="S147" s="345">
        <v>112.06</v>
      </c>
      <c r="T147" s="345">
        <v>7</v>
      </c>
      <c r="U147" s="345">
        <v>0</v>
      </c>
      <c r="V147" s="345">
        <v>0</v>
      </c>
      <c r="W147" s="345">
        <v>0</v>
      </c>
      <c r="X147" s="345">
        <v>0</v>
      </c>
      <c r="Y147" s="345">
        <v>0</v>
      </c>
      <c r="Z147" s="345">
        <v>0</v>
      </c>
      <c r="AA147" s="345">
        <v>0</v>
      </c>
      <c r="AB147" s="345">
        <v>0</v>
      </c>
      <c r="AC147" s="345">
        <v>0</v>
      </c>
      <c r="AD147" s="349">
        <v>27</v>
      </c>
      <c r="AE147" s="349">
        <v>0</v>
      </c>
      <c r="AF147" s="349">
        <v>0</v>
      </c>
      <c r="AG147" s="349">
        <v>0</v>
      </c>
    </row>
    <row r="148" spans="1:33" x14ac:dyDescent="0.2">
      <c r="A148" s="344" t="s">
        <v>352</v>
      </c>
      <c r="B148" s="350" t="s">
        <v>353</v>
      </c>
      <c r="C148" s="346">
        <v>13310</v>
      </c>
      <c r="D148" s="346">
        <v>240</v>
      </c>
      <c r="E148" s="346">
        <v>1285</v>
      </c>
      <c r="F148" s="346">
        <v>788</v>
      </c>
      <c r="G148" s="346">
        <v>1472</v>
      </c>
      <c r="H148" s="346">
        <v>17095</v>
      </c>
      <c r="I148" s="345">
        <v>15623</v>
      </c>
      <c r="J148" s="345">
        <v>195</v>
      </c>
      <c r="K148" s="347">
        <v>124.51</v>
      </c>
      <c r="L148" s="347">
        <v>134.47999999999999</v>
      </c>
      <c r="M148" s="347">
        <v>11.25</v>
      </c>
      <c r="N148" s="347">
        <v>132.5</v>
      </c>
      <c r="O148" s="348">
        <v>11529</v>
      </c>
      <c r="P148" s="345">
        <v>112.07</v>
      </c>
      <c r="Q148" s="345">
        <v>113.61</v>
      </c>
      <c r="R148" s="345">
        <v>40.340000000000003</v>
      </c>
      <c r="S148" s="345">
        <v>147.85</v>
      </c>
      <c r="T148" s="345">
        <v>1583</v>
      </c>
      <c r="U148" s="345">
        <v>177.19</v>
      </c>
      <c r="V148" s="345">
        <v>374</v>
      </c>
      <c r="W148" s="345">
        <v>235.8</v>
      </c>
      <c r="X148" s="345">
        <v>1</v>
      </c>
      <c r="Y148" s="345">
        <v>51</v>
      </c>
      <c r="Z148" s="345">
        <v>15</v>
      </c>
      <c r="AA148" s="345">
        <v>5</v>
      </c>
      <c r="AB148" s="345">
        <v>49</v>
      </c>
      <c r="AC148" s="345">
        <v>75</v>
      </c>
      <c r="AD148" s="349">
        <v>12314</v>
      </c>
      <c r="AE148" s="349">
        <v>71</v>
      </c>
      <c r="AF148" s="349">
        <v>44</v>
      </c>
      <c r="AG148" s="349">
        <v>115</v>
      </c>
    </row>
    <row r="149" spans="1:33" x14ac:dyDescent="0.2">
      <c r="A149" s="344" t="s">
        <v>354</v>
      </c>
      <c r="B149" s="350" t="s">
        <v>355</v>
      </c>
      <c r="C149" s="346">
        <v>10685</v>
      </c>
      <c r="D149" s="346">
        <v>328</v>
      </c>
      <c r="E149" s="346">
        <v>972</v>
      </c>
      <c r="F149" s="346">
        <v>979</v>
      </c>
      <c r="G149" s="346">
        <v>569</v>
      </c>
      <c r="H149" s="346">
        <v>13533</v>
      </c>
      <c r="I149" s="345">
        <v>12964</v>
      </c>
      <c r="J149" s="345">
        <v>84</v>
      </c>
      <c r="K149" s="347">
        <v>123.34</v>
      </c>
      <c r="L149" s="347">
        <v>144.36000000000001</v>
      </c>
      <c r="M149" s="347">
        <v>11.37</v>
      </c>
      <c r="N149" s="347">
        <v>130.81</v>
      </c>
      <c r="O149" s="348">
        <v>9496</v>
      </c>
      <c r="P149" s="345">
        <v>113.06</v>
      </c>
      <c r="Q149" s="345">
        <v>122.41</v>
      </c>
      <c r="R149" s="345">
        <v>50.09</v>
      </c>
      <c r="S149" s="345">
        <v>162.59</v>
      </c>
      <c r="T149" s="345">
        <v>1516</v>
      </c>
      <c r="U149" s="345">
        <v>220.96</v>
      </c>
      <c r="V149" s="345">
        <v>336</v>
      </c>
      <c r="W149" s="345">
        <v>214.98</v>
      </c>
      <c r="X149" s="345">
        <v>17</v>
      </c>
      <c r="Y149" s="345">
        <v>0</v>
      </c>
      <c r="Z149" s="345">
        <v>2</v>
      </c>
      <c r="AA149" s="345">
        <v>0</v>
      </c>
      <c r="AB149" s="345">
        <v>12</v>
      </c>
      <c r="AC149" s="345">
        <v>22</v>
      </c>
      <c r="AD149" s="349">
        <v>9904</v>
      </c>
      <c r="AE149" s="349">
        <v>45</v>
      </c>
      <c r="AF149" s="349">
        <v>160</v>
      </c>
      <c r="AG149" s="349">
        <v>205</v>
      </c>
    </row>
    <row r="150" spans="1:33" x14ac:dyDescent="0.2">
      <c r="A150" s="344" t="s">
        <v>356</v>
      </c>
      <c r="B150" s="350" t="s">
        <v>357</v>
      </c>
      <c r="C150" s="346">
        <v>8353</v>
      </c>
      <c r="D150" s="346">
        <v>13</v>
      </c>
      <c r="E150" s="346">
        <v>366</v>
      </c>
      <c r="F150" s="346">
        <v>939</v>
      </c>
      <c r="G150" s="346">
        <v>221</v>
      </c>
      <c r="H150" s="346">
        <v>9892</v>
      </c>
      <c r="I150" s="345">
        <v>9671</v>
      </c>
      <c r="J150" s="345">
        <v>7</v>
      </c>
      <c r="K150" s="347">
        <v>83.89</v>
      </c>
      <c r="L150" s="347">
        <v>88.98</v>
      </c>
      <c r="M150" s="347">
        <v>3.83</v>
      </c>
      <c r="N150" s="347">
        <v>84.66</v>
      </c>
      <c r="O150" s="348">
        <v>7939</v>
      </c>
      <c r="P150" s="345">
        <v>80.67</v>
      </c>
      <c r="Q150" s="345">
        <v>80.069999999999993</v>
      </c>
      <c r="R150" s="345">
        <v>24.54</v>
      </c>
      <c r="S150" s="345">
        <v>103.21</v>
      </c>
      <c r="T150" s="345">
        <v>1270</v>
      </c>
      <c r="U150" s="345">
        <v>99.45</v>
      </c>
      <c r="V150" s="345">
        <v>365</v>
      </c>
      <c r="W150" s="345">
        <v>0</v>
      </c>
      <c r="X150" s="345">
        <v>0</v>
      </c>
      <c r="Y150" s="345">
        <v>0</v>
      </c>
      <c r="Z150" s="345">
        <v>16</v>
      </c>
      <c r="AA150" s="345">
        <v>1</v>
      </c>
      <c r="AB150" s="345">
        <v>5</v>
      </c>
      <c r="AC150" s="345">
        <v>7</v>
      </c>
      <c r="AD150" s="349">
        <v>8345</v>
      </c>
      <c r="AE150" s="349">
        <v>50</v>
      </c>
      <c r="AF150" s="349">
        <v>123</v>
      </c>
      <c r="AG150" s="349">
        <v>173</v>
      </c>
    </row>
    <row r="151" spans="1:33" x14ac:dyDescent="0.2">
      <c r="A151" s="344" t="s">
        <v>358</v>
      </c>
      <c r="B151" s="350" t="s">
        <v>359</v>
      </c>
      <c r="C151" s="346">
        <v>5676</v>
      </c>
      <c r="D151" s="346">
        <v>0</v>
      </c>
      <c r="E151" s="346">
        <v>579</v>
      </c>
      <c r="F151" s="346">
        <v>2409</v>
      </c>
      <c r="G151" s="346">
        <v>404</v>
      </c>
      <c r="H151" s="346">
        <v>9068</v>
      </c>
      <c r="I151" s="345">
        <v>8664</v>
      </c>
      <c r="J151" s="345">
        <v>2</v>
      </c>
      <c r="K151" s="347">
        <v>79.849999999999994</v>
      </c>
      <c r="L151" s="347">
        <v>79.84</v>
      </c>
      <c r="M151" s="347">
        <v>6.35</v>
      </c>
      <c r="N151" s="347">
        <v>82.96</v>
      </c>
      <c r="O151" s="348">
        <v>5112</v>
      </c>
      <c r="P151" s="345">
        <v>79.81</v>
      </c>
      <c r="Q151" s="345">
        <v>78.95</v>
      </c>
      <c r="R151" s="345">
        <v>31.84</v>
      </c>
      <c r="S151" s="345">
        <v>111.52</v>
      </c>
      <c r="T151" s="345">
        <v>2639</v>
      </c>
      <c r="U151" s="345">
        <v>98.59</v>
      </c>
      <c r="V151" s="345">
        <v>339</v>
      </c>
      <c r="W151" s="345">
        <v>0</v>
      </c>
      <c r="X151" s="345">
        <v>0</v>
      </c>
      <c r="Y151" s="345">
        <v>0</v>
      </c>
      <c r="Z151" s="345">
        <v>6</v>
      </c>
      <c r="AA151" s="345">
        <v>63</v>
      </c>
      <c r="AB151" s="345">
        <v>1</v>
      </c>
      <c r="AC151" s="345">
        <v>2</v>
      </c>
      <c r="AD151" s="349">
        <v>5489</v>
      </c>
      <c r="AE151" s="349">
        <v>54</v>
      </c>
      <c r="AF151" s="349">
        <v>32</v>
      </c>
      <c r="AG151" s="349">
        <v>86</v>
      </c>
    </row>
    <row r="152" spans="1:33" x14ac:dyDescent="0.2">
      <c r="A152" s="344" t="s">
        <v>360</v>
      </c>
      <c r="B152" s="350" t="s">
        <v>361</v>
      </c>
      <c r="C152" s="346">
        <v>2079</v>
      </c>
      <c r="D152" s="346">
        <v>13</v>
      </c>
      <c r="E152" s="346">
        <v>299</v>
      </c>
      <c r="F152" s="346">
        <v>218</v>
      </c>
      <c r="G152" s="346">
        <v>283</v>
      </c>
      <c r="H152" s="346">
        <v>2892</v>
      </c>
      <c r="I152" s="345">
        <v>2609</v>
      </c>
      <c r="J152" s="345">
        <v>13</v>
      </c>
      <c r="K152" s="347">
        <v>129.21</v>
      </c>
      <c r="L152" s="347">
        <v>130.94999999999999</v>
      </c>
      <c r="M152" s="347">
        <v>9.1300000000000008</v>
      </c>
      <c r="N152" s="347">
        <v>136.97</v>
      </c>
      <c r="O152" s="348">
        <v>1581</v>
      </c>
      <c r="P152" s="345">
        <v>101.68</v>
      </c>
      <c r="Q152" s="345">
        <v>103.55</v>
      </c>
      <c r="R152" s="345">
        <v>31.28</v>
      </c>
      <c r="S152" s="345">
        <v>132.65</v>
      </c>
      <c r="T152" s="345">
        <v>303</v>
      </c>
      <c r="U152" s="345">
        <v>219.34</v>
      </c>
      <c r="V152" s="345">
        <v>234</v>
      </c>
      <c r="W152" s="345">
        <v>0</v>
      </c>
      <c r="X152" s="345">
        <v>0</v>
      </c>
      <c r="Y152" s="345">
        <v>0</v>
      </c>
      <c r="Z152" s="345">
        <v>1</v>
      </c>
      <c r="AA152" s="345">
        <v>0</v>
      </c>
      <c r="AB152" s="345">
        <v>37</v>
      </c>
      <c r="AC152" s="345">
        <v>15</v>
      </c>
      <c r="AD152" s="349">
        <v>1818</v>
      </c>
      <c r="AE152" s="349">
        <v>4</v>
      </c>
      <c r="AF152" s="349">
        <v>12</v>
      </c>
      <c r="AG152" s="349">
        <v>16</v>
      </c>
    </row>
    <row r="153" spans="1:33" x14ac:dyDescent="0.2">
      <c r="A153" s="344" t="s">
        <v>362</v>
      </c>
      <c r="B153" s="350" t="s">
        <v>363</v>
      </c>
      <c r="C153" s="346">
        <v>3786</v>
      </c>
      <c r="D153" s="346">
        <v>14</v>
      </c>
      <c r="E153" s="346">
        <v>360</v>
      </c>
      <c r="F153" s="346">
        <v>1515</v>
      </c>
      <c r="G153" s="346">
        <v>355</v>
      </c>
      <c r="H153" s="346">
        <v>6030</v>
      </c>
      <c r="I153" s="345">
        <v>5675</v>
      </c>
      <c r="J153" s="345">
        <v>26</v>
      </c>
      <c r="K153" s="347">
        <v>86.25</v>
      </c>
      <c r="L153" s="347">
        <v>85.18</v>
      </c>
      <c r="M153" s="347">
        <v>4.9800000000000004</v>
      </c>
      <c r="N153" s="347">
        <v>89.98</v>
      </c>
      <c r="O153" s="348">
        <v>3346</v>
      </c>
      <c r="P153" s="345">
        <v>76.66</v>
      </c>
      <c r="Q153" s="345">
        <v>73.95</v>
      </c>
      <c r="R153" s="345">
        <v>20.82</v>
      </c>
      <c r="S153" s="345">
        <v>96.63</v>
      </c>
      <c r="T153" s="345">
        <v>1704</v>
      </c>
      <c r="U153" s="345">
        <v>95.41</v>
      </c>
      <c r="V153" s="345">
        <v>257</v>
      </c>
      <c r="W153" s="345">
        <v>100.86</v>
      </c>
      <c r="X153" s="345">
        <v>18</v>
      </c>
      <c r="Y153" s="345">
        <v>29</v>
      </c>
      <c r="Z153" s="345">
        <v>6</v>
      </c>
      <c r="AA153" s="345">
        <v>9</v>
      </c>
      <c r="AB153" s="345">
        <v>3</v>
      </c>
      <c r="AC153" s="345">
        <v>6</v>
      </c>
      <c r="AD153" s="349">
        <v>3777</v>
      </c>
      <c r="AE153" s="349">
        <v>29</v>
      </c>
      <c r="AF153" s="349">
        <v>24</v>
      </c>
      <c r="AG153" s="349">
        <v>53</v>
      </c>
    </row>
    <row r="154" spans="1:33" x14ac:dyDescent="0.2">
      <c r="A154" s="344" t="s">
        <v>364</v>
      </c>
      <c r="B154" s="350" t="s">
        <v>365</v>
      </c>
      <c r="C154" s="346">
        <v>16351</v>
      </c>
      <c r="D154" s="346">
        <v>3</v>
      </c>
      <c r="E154" s="346">
        <v>675</v>
      </c>
      <c r="F154" s="346">
        <v>1370</v>
      </c>
      <c r="G154" s="346">
        <v>288</v>
      </c>
      <c r="H154" s="346">
        <v>18687</v>
      </c>
      <c r="I154" s="345">
        <v>18399</v>
      </c>
      <c r="J154" s="345">
        <v>1</v>
      </c>
      <c r="K154" s="347">
        <v>83.99</v>
      </c>
      <c r="L154" s="347">
        <v>82.11</v>
      </c>
      <c r="M154" s="347">
        <v>9.84</v>
      </c>
      <c r="N154" s="347">
        <v>86.5</v>
      </c>
      <c r="O154" s="348">
        <v>15405</v>
      </c>
      <c r="P154" s="345">
        <v>80.83</v>
      </c>
      <c r="Q154" s="345">
        <v>77.33</v>
      </c>
      <c r="R154" s="345">
        <v>23.75</v>
      </c>
      <c r="S154" s="345">
        <v>99.69</v>
      </c>
      <c r="T154" s="345">
        <v>1835</v>
      </c>
      <c r="U154" s="345">
        <v>109.4</v>
      </c>
      <c r="V154" s="345">
        <v>650</v>
      </c>
      <c r="W154" s="345">
        <v>144.01</v>
      </c>
      <c r="X154" s="345">
        <v>41</v>
      </c>
      <c r="Y154" s="345">
        <v>0</v>
      </c>
      <c r="Z154" s="345">
        <v>64</v>
      </c>
      <c r="AA154" s="345">
        <v>55</v>
      </c>
      <c r="AB154" s="345">
        <v>12</v>
      </c>
      <c r="AC154" s="345">
        <v>1</v>
      </c>
      <c r="AD154" s="349">
        <v>16101</v>
      </c>
      <c r="AE154" s="349">
        <v>213</v>
      </c>
      <c r="AF154" s="349">
        <v>127</v>
      </c>
      <c r="AG154" s="349">
        <v>340</v>
      </c>
    </row>
    <row r="155" spans="1:33" x14ac:dyDescent="0.2">
      <c r="A155" s="344" t="s">
        <v>366</v>
      </c>
      <c r="B155" s="350" t="s">
        <v>367</v>
      </c>
      <c r="C155" s="346">
        <v>20864</v>
      </c>
      <c r="D155" s="346">
        <v>53</v>
      </c>
      <c r="E155" s="346">
        <v>1794</v>
      </c>
      <c r="F155" s="346">
        <v>1344</v>
      </c>
      <c r="G155" s="346">
        <v>2047</v>
      </c>
      <c r="H155" s="346">
        <v>26102</v>
      </c>
      <c r="I155" s="345">
        <v>24055</v>
      </c>
      <c r="J155" s="345">
        <v>698</v>
      </c>
      <c r="K155" s="347">
        <v>116.9</v>
      </c>
      <c r="L155" s="347">
        <v>125.89</v>
      </c>
      <c r="M155" s="347">
        <v>12</v>
      </c>
      <c r="N155" s="347">
        <v>125.77</v>
      </c>
      <c r="O155" s="348">
        <v>17985</v>
      </c>
      <c r="P155" s="345">
        <v>107</v>
      </c>
      <c r="Q155" s="345">
        <v>108.88</v>
      </c>
      <c r="R155" s="345">
        <v>49.29</v>
      </c>
      <c r="S155" s="345">
        <v>153.22999999999999</v>
      </c>
      <c r="T155" s="345">
        <v>2697</v>
      </c>
      <c r="U155" s="345">
        <v>177.64</v>
      </c>
      <c r="V155" s="345">
        <v>669</v>
      </c>
      <c r="W155" s="345">
        <v>219.02</v>
      </c>
      <c r="X155" s="345">
        <v>6</v>
      </c>
      <c r="Y155" s="345">
        <v>6</v>
      </c>
      <c r="Z155" s="345">
        <v>35</v>
      </c>
      <c r="AA155" s="345">
        <v>15</v>
      </c>
      <c r="AB155" s="345">
        <v>169</v>
      </c>
      <c r="AC155" s="345">
        <v>109</v>
      </c>
      <c r="AD155" s="349">
        <v>18892</v>
      </c>
      <c r="AE155" s="349">
        <v>127</v>
      </c>
      <c r="AF155" s="349">
        <v>318</v>
      </c>
      <c r="AG155" s="349">
        <v>445</v>
      </c>
    </row>
    <row r="156" spans="1:33" x14ac:dyDescent="0.2">
      <c r="A156" s="344" t="s">
        <v>368</v>
      </c>
      <c r="B156" s="350" t="s">
        <v>369</v>
      </c>
      <c r="C156" s="346">
        <v>1645</v>
      </c>
      <c r="D156" s="346">
        <v>2</v>
      </c>
      <c r="E156" s="346">
        <v>304</v>
      </c>
      <c r="F156" s="346">
        <v>485</v>
      </c>
      <c r="G156" s="346">
        <v>314</v>
      </c>
      <c r="H156" s="346">
        <v>2750</v>
      </c>
      <c r="I156" s="345">
        <v>2436</v>
      </c>
      <c r="J156" s="345">
        <v>10</v>
      </c>
      <c r="K156" s="347">
        <v>83.88</v>
      </c>
      <c r="L156" s="347">
        <v>80.77</v>
      </c>
      <c r="M156" s="347">
        <v>5.1100000000000003</v>
      </c>
      <c r="N156" s="347">
        <v>88.2</v>
      </c>
      <c r="O156" s="348">
        <v>1353</v>
      </c>
      <c r="P156" s="345">
        <v>81.599999999999994</v>
      </c>
      <c r="Q156" s="345">
        <v>70.349999999999994</v>
      </c>
      <c r="R156" s="345">
        <v>42.42</v>
      </c>
      <c r="S156" s="345">
        <v>124.02</v>
      </c>
      <c r="T156" s="345">
        <v>709</v>
      </c>
      <c r="U156" s="345">
        <v>102.07</v>
      </c>
      <c r="V156" s="345">
        <v>242</v>
      </c>
      <c r="W156" s="345">
        <v>0</v>
      </c>
      <c r="X156" s="345">
        <v>0</v>
      </c>
      <c r="Y156" s="345">
        <v>0</v>
      </c>
      <c r="Z156" s="345">
        <v>0</v>
      </c>
      <c r="AA156" s="345">
        <v>8</v>
      </c>
      <c r="AB156" s="345">
        <v>9</v>
      </c>
      <c r="AC156" s="345">
        <v>6</v>
      </c>
      <c r="AD156" s="349">
        <v>1613</v>
      </c>
      <c r="AE156" s="349">
        <v>14</v>
      </c>
      <c r="AF156" s="349">
        <v>5</v>
      </c>
      <c r="AG156" s="349">
        <v>19</v>
      </c>
    </row>
    <row r="157" spans="1:33" x14ac:dyDescent="0.2">
      <c r="A157" s="344" t="s">
        <v>370</v>
      </c>
      <c r="B157" s="350" t="s">
        <v>371</v>
      </c>
      <c r="C157" s="346">
        <v>11945</v>
      </c>
      <c r="D157" s="346">
        <v>60</v>
      </c>
      <c r="E157" s="346">
        <v>1462</v>
      </c>
      <c r="F157" s="346">
        <v>3366</v>
      </c>
      <c r="G157" s="346">
        <v>1050</v>
      </c>
      <c r="H157" s="346">
        <v>17883</v>
      </c>
      <c r="I157" s="345">
        <v>16833</v>
      </c>
      <c r="J157" s="345">
        <v>15</v>
      </c>
      <c r="K157" s="347">
        <v>83.59</v>
      </c>
      <c r="L157" s="347">
        <v>84.89</v>
      </c>
      <c r="M157" s="347">
        <v>7.02</v>
      </c>
      <c r="N157" s="347">
        <v>87.84</v>
      </c>
      <c r="O157" s="348">
        <v>10460</v>
      </c>
      <c r="P157" s="345">
        <v>85.84</v>
      </c>
      <c r="Q157" s="345">
        <v>74.900000000000006</v>
      </c>
      <c r="R157" s="345">
        <v>37.36</v>
      </c>
      <c r="S157" s="345">
        <v>122.15</v>
      </c>
      <c r="T157" s="345">
        <v>3893</v>
      </c>
      <c r="U157" s="345">
        <v>103.65</v>
      </c>
      <c r="V157" s="345">
        <v>684</v>
      </c>
      <c r="W157" s="345">
        <v>89.08</v>
      </c>
      <c r="X157" s="345">
        <v>31</v>
      </c>
      <c r="Y157" s="345">
        <v>0</v>
      </c>
      <c r="Z157" s="345">
        <v>11</v>
      </c>
      <c r="AA157" s="345">
        <v>8</v>
      </c>
      <c r="AB157" s="345">
        <v>41</v>
      </c>
      <c r="AC157" s="345">
        <v>18</v>
      </c>
      <c r="AD157" s="349">
        <v>11566</v>
      </c>
      <c r="AE157" s="349">
        <v>96</v>
      </c>
      <c r="AF157" s="349">
        <v>42</v>
      </c>
      <c r="AG157" s="349">
        <v>138</v>
      </c>
    </row>
    <row r="158" spans="1:33" x14ac:dyDescent="0.2">
      <c r="A158" s="344" t="s">
        <v>372</v>
      </c>
      <c r="B158" s="350" t="s">
        <v>373</v>
      </c>
      <c r="C158" s="346">
        <v>8811</v>
      </c>
      <c r="D158" s="346">
        <v>0</v>
      </c>
      <c r="E158" s="346">
        <v>819</v>
      </c>
      <c r="F158" s="346">
        <v>977</v>
      </c>
      <c r="G158" s="346">
        <v>597</v>
      </c>
      <c r="H158" s="346">
        <v>11204</v>
      </c>
      <c r="I158" s="345">
        <v>10607</v>
      </c>
      <c r="J158" s="345">
        <v>107</v>
      </c>
      <c r="K158" s="347">
        <v>83.48</v>
      </c>
      <c r="L158" s="347">
        <v>82.77</v>
      </c>
      <c r="M158" s="347">
        <v>7.94</v>
      </c>
      <c r="N158" s="347">
        <v>88.47</v>
      </c>
      <c r="O158" s="348">
        <v>7608</v>
      </c>
      <c r="P158" s="345">
        <v>80.02</v>
      </c>
      <c r="Q158" s="345">
        <v>74.03</v>
      </c>
      <c r="R158" s="345">
        <v>52.42</v>
      </c>
      <c r="S158" s="345">
        <v>131.29</v>
      </c>
      <c r="T158" s="345">
        <v>1457</v>
      </c>
      <c r="U158" s="345">
        <v>107.19</v>
      </c>
      <c r="V158" s="345">
        <v>347</v>
      </c>
      <c r="W158" s="345">
        <v>123.98</v>
      </c>
      <c r="X158" s="345">
        <v>62</v>
      </c>
      <c r="Y158" s="345">
        <v>1</v>
      </c>
      <c r="Z158" s="345">
        <v>2</v>
      </c>
      <c r="AA158" s="345">
        <v>20</v>
      </c>
      <c r="AB158" s="345">
        <v>5</v>
      </c>
      <c r="AC158" s="345">
        <v>27</v>
      </c>
      <c r="AD158" s="349">
        <v>8081</v>
      </c>
      <c r="AE158" s="349">
        <v>69</v>
      </c>
      <c r="AF158" s="349">
        <v>52</v>
      </c>
      <c r="AG158" s="349">
        <v>121</v>
      </c>
    </row>
    <row r="159" spans="1:33" x14ac:dyDescent="0.2">
      <c r="A159" s="344" t="s">
        <v>374</v>
      </c>
      <c r="B159" s="350" t="s">
        <v>375</v>
      </c>
      <c r="C159" s="346">
        <v>993</v>
      </c>
      <c r="D159" s="346">
        <v>0</v>
      </c>
      <c r="E159" s="346">
        <v>152</v>
      </c>
      <c r="F159" s="346">
        <v>432</v>
      </c>
      <c r="G159" s="346">
        <v>263</v>
      </c>
      <c r="H159" s="346">
        <v>1840</v>
      </c>
      <c r="I159" s="345">
        <v>1577</v>
      </c>
      <c r="J159" s="345">
        <v>0</v>
      </c>
      <c r="K159" s="347">
        <v>94.56</v>
      </c>
      <c r="L159" s="347">
        <v>94.74</v>
      </c>
      <c r="M159" s="347">
        <v>7.22</v>
      </c>
      <c r="N159" s="347">
        <v>100.96</v>
      </c>
      <c r="O159" s="348">
        <v>881</v>
      </c>
      <c r="P159" s="345">
        <v>79.78</v>
      </c>
      <c r="Q159" s="345">
        <v>76.760000000000005</v>
      </c>
      <c r="R159" s="345">
        <v>37.49</v>
      </c>
      <c r="S159" s="345">
        <v>116.89</v>
      </c>
      <c r="T159" s="345">
        <v>292</v>
      </c>
      <c r="U159" s="345">
        <v>148.96</v>
      </c>
      <c r="V159" s="345">
        <v>88</v>
      </c>
      <c r="W159" s="345">
        <v>131.30000000000001</v>
      </c>
      <c r="X159" s="345">
        <v>9</v>
      </c>
      <c r="Y159" s="345">
        <v>0</v>
      </c>
      <c r="Z159" s="345">
        <v>0</v>
      </c>
      <c r="AA159" s="345">
        <v>1</v>
      </c>
      <c r="AB159" s="345">
        <v>5</v>
      </c>
      <c r="AC159" s="345">
        <v>2</v>
      </c>
      <c r="AD159" s="349">
        <v>981</v>
      </c>
      <c r="AE159" s="349">
        <v>4</v>
      </c>
      <c r="AF159" s="349">
        <v>3</v>
      </c>
      <c r="AG159" s="349">
        <v>7</v>
      </c>
    </row>
    <row r="160" spans="1:33" x14ac:dyDescent="0.2">
      <c r="A160" s="344" t="s">
        <v>376</v>
      </c>
      <c r="B160" s="350" t="s">
        <v>377</v>
      </c>
      <c r="C160" s="346">
        <v>20364</v>
      </c>
      <c r="D160" s="346">
        <v>175</v>
      </c>
      <c r="E160" s="346">
        <v>1288</v>
      </c>
      <c r="F160" s="346">
        <v>681</v>
      </c>
      <c r="G160" s="346">
        <v>1381</v>
      </c>
      <c r="H160" s="346">
        <v>23889</v>
      </c>
      <c r="I160" s="345">
        <v>22508</v>
      </c>
      <c r="J160" s="345">
        <v>23</v>
      </c>
      <c r="K160" s="347">
        <v>109.01</v>
      </c>
      <c r="L160" s="347">
        <v>112.13</v>
      </c>
      <c r="M160" s="347">
        <v>6.92</v>
      </c>
      <c r="N160" s="347">
        <v>112.69</v>
      </c>
      <c r="O160" s="348">
        <v>18421</v>
      </c>
      <c r="P160" s="345">
        <v>106.35</v>
      </c>
      <c r="Q160" s="345">
        <v>108.19</v>
      </c>
      <c r="R160" s="345">
        <v>53.48</v>
      </c>
      <c r="S160" s="345">
        <v>155.19</v>
      </c>
      <c r="T160" s="345">
        <v>1669</v>
      </c>
      <c r="U160" s="345">
        <v>158.22</v>
      </c>
      <c r="V160" s="345">
        <v>787</v>
      </c>
      <c r="W160" s="345">
        <v>267.32</v>
      </c>
      <c r="X160" s="345">
        <v>44</v>
      </c>
      <c r="Y160" s="345">
        <v>7</v>
      </c>
      <c r="Z160" s="345">
        <v>80</v>
      </c>
      <c r="AA160" s="345">
        <v>17</v>
      </c>
      <c r="AB160" s="345">
        <v>99</v>
      </c>
      <c r="AC160" s="345">
        <v>69</v>
      </c>
      <c r="AD160" s="349">
        <v>19436</v>
      </c>
      <c r="AE160" s="349">
        <v>75</v>
      </c>
      <c r="AF160" s="349">
        <v>64</v>
      </c>
      <c r="AG160" s="349">
        <v>139</v>
      </c>
    </row>
    <row r="161" spans="1:33" x14ac:dyDescent="0.2">
      <c r="A161" s="344" t="s">
        <v>378</v>
      </c>
      <c r="B161" s="350" t="s">
        <v>379</v>
      </c>
      <c r="C161" s="346">
        <v>5271</v>
      </c>
      <c r="D161" s="346">
        <v>17</v>
      </c>
      <c r="E161" s="346">
        <v>148</v>
      </c>
      <c r="F161" s="346">
        <v>269</v>
      </c>
      <c r="G161" s="346">
        <v>194</v>
      </c>
      <c r="H161" s="346">
        <v>5899</v>
      </c>
      <c r="I161" s="345">
        <v>5705</v>
      </c>
      <c r="J161" s="345">
        <v>0</v>
      </c>
      <c r="K161" s="347">
        <v>88.43</v>
      </c>
      <c r="L161" s="347">
        <v>85.17</v>
      </c>
      <c r="M161" s="347">
        <v>2.74</v>
      </c>
      <c r="N161" s="347">
        <v>90.51</v>
      </c>
      <c r="O161" s="348">
        <v>4986</v>
      </c>
      <c r="P161" s="345">
        <v>90.68</v>
      </c>
      <c r="Q161" s="345">
        <v>89.63</v>
      </c>
      <c r="R161" s="345">
        <v>35</v>
      </c>
      <c r="S161" s="345">
        <v>124.5</v>
      </c>
      <c r="T161" s="345">
        <v>417</v>
      </c>
      <c r="U161" s="345">
        <v>108.59</v>
      </c>
      <c r="V161" s="345">
        <v>273</v>
      </c>
      <c r="W161" s="345">
        <v>0</v>
      </c>
      <c r="X161" s="345">
        <v>0</v>
      </c>
      <c r="Y161" s="345">
        <v>0</v>
      </c>
      <c r="Z161" s="345">
        <v>14</v>
      </c>
      <c r="AA161" s="345">
        <v>15</v>
      </c>
      <c r="AB161" s="345">
        <v>4</v>
      </c>
      <c r="AC161" s="345">
        <v>8</v>
      </c>
      <c r="AD161" s="349">
        <v>5269</v>
      </c>
      <c r="AE161" s="349">
        <v>11</v>
      </c>
      <c r="AF161" s="349">
        <v>4</v>
      </c>
      <c r="AG161" s="349">
        <v>15</v>
      </c>
    </row>
    <row r="162" spans="1:33" x14ac:dyDescent="0.2">
      <c r="A162" s="344" t="s">
        <v>380</v>
      </c>
      <c r="B162" s="350" t="s">
        <v>381</v>
      </c>
      <c r="C162" s="346">
        <v>1233</v>
      </c>
      <c r="D162" s="346">
        <v>0</v>
      </c>
      <c r="E162" s="346">
        <v>432</v>
      </c>
      <c r="F162" s="346">
        <v>182</v>
      </c>
      <c r="G162" s="346">
        <v>220</v>
      </c>
      <c r="H162" s="346">
        <v>2067</v>
      </c>
      <c r="I162" s="345">
        <v>1847</v>
      </c>
      <c r="J162" s="345">
        <v>0</v>
      </c>
      <c r="K162" s="347">
        <v>80.930000000000007</v>
      </c>
      <c r="L162" s="347">
        <v>80.099999999999994</v>
      </c>
      <c r="M162" s="347">
        <v>6.34</v>
      </c>
      <c r="N162" s="347">
        <v>86.33</v>
      </c>
      <c r="O162" s="348">
        <v>1058</v>
      </c>
      <c r="P162" s="345">
        <v>87.21</v>
      </c>
      <c r="Q162" s="345">
        <v>81.83</v>
      </c>
      <c r="R162" s="345">
        <v>46.32</v>
      </c>
      <c r="S162" s="345">
        <v>133.53</v>
      </c>
      <c r="T162" s="345">
        <v>202</v>
      </c>
      <c r="U162" s="345">
        <v>98.15</v>
      </c>
      <c r="V162" s="345">
        <v>97</v>
      </c>
      <c r="W162" s="345">
        <v>0</v>
      </c>
      <c r="X162" s="345">
        <v>0</v>
      </c>
      <c r="Y162" s="345">
        <v>0</v>
      </c>
      <c r="Z162" s="345">
        <v>1</v>
      </c>
      <c r="AA162" s="345">
        <v>9</v>
      </c>
      <c r="AB162" s="345">
        <v>11</v>
      </c>
      <c r="AC162" s="345">
        <v>5</v>
      </c>
      <c r="AD162" s="349">
        <v>1204</v>
      </c>
      <c r="AE162" s="349">
        <v>7</v>
      </c>
      <c r="AF162" s="349">
        <v>8</v>
      </c>
      <c r="AG162" s="349">
        <v>15</v>
      </c>
    </row>
    <row r="163" spans="1:33" x14ac:dyDescent="0.2">
      <c r="A163" s="344" t="s">
        <v>382</v>
      </c>
      <c r="B163" s="350" t="s">
        <v>383</v>
      </c>
      <c r="C163" s="346">
        <v>52560</v>
      </c>
      <c r="D163" s="346">
        <v>2</v>
      </c>
      <c r="E163" s="346">
        <v>2178</v>
      </c>
      <c r="F163" s="346">
        <v>3816</v>
      </c>
      <c r="G163" s="346">
        <v>707</v>
      </c>
      <c r="H163" s="346">
        <v>59263</v>
      </c>
      <c r="I163" s="345">
        <v>58556</v>
      </c>
      <c r="J163" s="345">
        <v>88</v>
      </c>
      <c r="K163" s="347">
        <v>83.7</v>
      </c>
      <c r="L163" s="347">
        <v>84.82</v>
      </c>
      <c r="M163" s="347">
        <v>7.87</v>
      </c>
      <c r="N163" s="347">
        <v>85.74</v>
      </c>
      <c r="O163" s="348">
        <v>46525</v>
      </c>
      <c r="P163" s="345">
        <v>79.75</v>
      </c>
      <c r="Q163" s="345">
        <v>77.569999999999993</v>
      </c>
      <c r="R163" s="345">
        <v>39.369999999999997</v>
      </c>
      <c r="S163" s="345">
        <v>116.5</v>
      </c>
      <c r="T163" s="345">
        <v>5132</v>
      </c>
      <c r="U163" s="345">
        <v>101.06</v>
      </c>
      <c r="V163" s="345">
        <v>3340</v>
      </c>
      <c r="W163" s="345">
        <v>141.74</v>
      </c>
      <c r="X163" s="345">
        <v>22</v>
      </c>
      <c r="Y163" s="345">
        <v>30</v>
      </c>
      <c r="Z163" s="345">
        <v>237</v>
      </c>
      <c r="AA163" s="345">
        <v>168</v>
      </c>
      <c r="AB163" s="345">
        <v>47</v>
      </c>
      <c r="AC163" s="345">
        <v>13</v>
      </c>
      <c r="AD163" s="349">
        <v>50095</v>
      </c>
      <c r="AE163" s="349">
        <v>373</v>
      </c>
      <c r="AF163" s="349">
        <v>631</v>
      </c>
      <c r="AG163" s="349">
        <v>1004</v>
      </c>
    </row>
    <row r="164" spans="1:33" x14ac:dyDescent="0.2">
      <c r="A164" s="344" t="s">
        <v>384</v>
      </c>
      <c r="B164" s="350" t="s">
        <v>385</v>
      </c>
      <c r="C164" s="346">
        <v>3483</v>
      </c>
      <c r="D164" s="346">
        <v>0</v>
      </c>
      <c r="E164" s="346">
        <v>326</v>
      </c>
      <c r="F164" s="346">
        <v>342</v>
      </c>
      <c r="G164" s="346">
        <v>313</v>
      </c>
      <c r="H164" s="346">
        <v>4464</v>
      </c>
      <c r="I164" s="345">
        <v>4151</v>
      </c>
      <c r="J164" s="345">
        <v>4</v>
      </c>
      <c r="K164" s="347">
        <v>101.04</v>
      </c>
      <c r="L164" s="347">
        <v>100.05</v>
      </c>
      <c r="M164" s="347">
        <v>6.46</v>
      </c>
      <c r="N164" s="347">
        <v>105.7</v>
      </c>
      <c r="O164" s="348">
        <v>2868</v>
      </c>
      <c r="P164" s="345">
        <v>97.19</v>
      </c>
      <c r="Q164" s="345">
        <v>93.2</v>
      </c>
      <c r="R164" s="345">
        <v>38.729999999999997</v>
      </c>
      <c r="S164" s="345">
        <v>134.87</v>
      </c>
      <c r="T164" s="345">
        <v>441</v>
      </c>
      <c r="U164" s="345">
        <v>122.16</v>
      </c>
      <c r="V164" s="345">
        <v>189</v>
      </c>
      <c r="W164" s="345">
        <v>0</v>
      </c>
      <c r="X164" s="345">
        <v>0</v>
      </c>
      <c r="Y164" s="345">
        <v>0</v>
      </c>
      <c r="Z164" s="345">
        <v>3</v>
      </c>
      <c r="AA164" s="345">
        <v>0</v>
      </c>
      <c r="AB164" s="345">
        <v>30</v>
      </c>
      <c r="AC164" s="345">
        <v>13</v>
      </c>
      <c r="AD164" s="349">
        <v>3122</v>
      </c>
      <c r="AE164" s="349">
        <v>3</v>
      </c>
      <c r="AF164" s="349">
        <v>1</v>
      </c>
      <c r="AG164" s="349">
        <v>4</v>
      </c>
    </row>
    <row r="165" spans="1:33" x14ac:dyDescent="0.2">
      <c r="A165" s="344" t="s">
        <v>386</v>
      </c>
      <c r="B165" s="350" t="s">
        <v>387</v>
      </c>
      <c r="C165" s="346">
        <v>7272</v>
      </c>
      <c r="D165" s="346">
        <v>0</v>
      </c>
      <c r="E165" s="346">
        <v>222</v>
      </c>
      <c r="F165" s="346">
        <v>1147</v>
      </c>
      <c r="G165" s="346">
        <v>663</v>
      </c>
      <c r="H165" s="346">
        <v>9304</v>
      </c>
      <c r="I165" s="345">
        <v>8641</v>
      </c>
      <c r="J165" s="345">
        <v>3</v>
      </c>
      <c r="K165" s="347">
        <v>95.96</v>
      </c>
      <c r="L165" s="347">
        <v>95.93</v>
      </c>
      <c r="M165" s="347">
        <v>4.3499999999999996</v>
      </c>
      <c r="N165" s="347">
        <v>99.33</v>
      </c>
      <c r="O165" s="348">
        <v>6177</v>
      </c>
      <c r="P165" s="345">
        <v>84.89</v>
      </c>
      <c r="Q165" s="345">
        <v>84.28</v>
      </c>
      <c r="R165" s="345">
        <v>14.14</v>
      </c>
      <c r="S165" s="345">
        <v>98.83</v>
      </c>
      <c r="T165" s="345">
        <v>1230</v>
      </c>
      <c r="U165" s="345">
        <v>152.68</v>
      </c>
      <c r="V165" s="345">
        <v>680</v>
      </c>
      <c r="W165" s="345">
        <v>208.1</v>
      </c>
      <c r="X165" s="345">
        <v>63</v>
      </c>
      <c r="Y165" s="345">
        <v>0</v>
      </c>
      <c r="Z165" s="345">
        <v>14</v>
      </c>
      <c r="AA165" s="345">
        <v>4</v>
      </c>
      <c r="AB165" s="345">
        <v>40</v>
      </c>
      <c r="AC165" s="345">
        <v>29</v>
      </c>
      <c r="AD165" s="349">
        <v>6993</v>
      </c>
      <c r="AE165" s="349">
        <v>32</v>
      </c>
      <c r="AF165" s="349">
        <v>21</v>
      </c>
      <c r="AG165" s="349">
        <v>53</v>
      </c>
    </row>
    <row r="166" spans="1:33" x14ac:dyDescent="0.2">
      <c r="A166" s="344" t="s">
        <v>388</v>
      </c>
      <c r="B166" s="350" t="s">
        <v>389</v>
      </c>
      <c r="C166" s="346">
        <v>2122</v>
      </c>
      <c r="D166" s="346">
        <v>0</v>
      </c>
      <c r="E166" s="346">
        <v>34</v>
      </c>
      <c r="F166" s="346">
        <v>811</v>
      </c>
      <c r="G166" s="346">
        <v>54</v>
      </c>
      <c r="H166" s="346">
        <v>3021</v>
      </c>
      <c r="I166" s="345">
        <v>2967</v>
      </c>
      <c r="J166" s="345">
        <v>0</v>
      </c>
      <c r="K166" s="347">
        <v>103.37</v>
      </c>
      <c r="L166" s="347">
        <v>102.59</v>
      </c>
      <c r="M166" s="347">
        <v>4.32</v>
      </c>
      <c r="N166" s="347">
        <v>106.31</v>
      </c>
      <c r="O166" s="348">
        <v>1981</v>
      </c>
      <c r="P166" s="345">
        <v>85.82</v>
      </c>
      <c r="Q166" s="345">
        <v>85.45</v>
      </c>
      <c r="R166" s="345">
        <v>12.14</v>
      </c>
      <c r="S166" s="345">
        <v>97.88</v>
      </c>
      <c r="T166" s="345">
        <v>765</v>
      </c>
      <c r="U166" s="345">
        <v>130.96</v>
      </c>
      <c r="V166" s="345">
        <v>131</v>
      </c>
      <c r="W166" s="345">
        <v>113.73</v>
      </c>
      <c r="X166" s="345">
        <v>1</v>
      </c>
      <c r="Y166" s="345">
        <v>0</v>
      </c>
      <c r="Z166" s="345">
        <v>9</v>
      </c>
      <c r="AA166" s="345">
        <v>1</v>
      </c>
      <c r="AB166" s="345">
        <v>1</v>
      </c>
      <c r="AC166" s="345">
        <v>2</v>
      </c>
      <c r="AD166" s="349">
        <v>2122</v>
      </c>
      <c r="AE166" s="349">
        <v>11</v>
      </c>
      <c r="AF166" s="349">
        <v>21</v>
      </c>
      <c r="AG166" s="349">
        <v>32</v>
      </c>
    </row>
    <row r="167" spans="1:33" x14ac:dyDescent="0.2">
      <c r="A167" s="344" t="s">
        <v>390</v>
      </c>
      <c r="B167" s="350" t="s">
        <v>391</v>
      </c>
      <c r="C167" s="346">
        <v>3915</v>
      </c>
      <c r="D167" s="346">
        <v>0</v>
      </c>
      <c r="E167" s="346">
        <v>67</v>
      </c>
      <c r="F167" s="346">
        <v>680</v>
      </c>
      <c r="G167" s="346">
        <v>351</v>
      </c>
      <c r="H167" s="346">
        <v>5013</v>
      </c>
      <c r="I167" s="345">
        <v>4662</v>
      </c>
      <c r="J167" s="345">
        <v>0</v>
      </c>
      <c r="K167" s="347">
        <v>96.58</v>
      </c>
      <c r="L167" s="347">
        <v>96.63</v>
      </c>
      <c r="M167" s="347">
        <v>3.44</v>
      </c>
      <c r="N167" s="347">
        <v>99.64</v>
      </c>
      <c r="O167" s="348">
        <v>3702</v>
      </c>
      <c r="P167" s="345">
        <v>87.39</v>
      </c>
      <c r="Q167" s="345">
        <v>88.88</v>
      </c>
      <c r="R167" s="345">
        <v>25.8</v>
      </c>
      <c r="S167" s="345">
        <v>113.08</v>
      </c>
      <c r="T167" s="345">
        <v>702</v>
      </c>
      <c r="U167" s="345">
        <v>111.7</v>
      </c>
      <c r="V167" s="345">
        <v>139</v>
      </c>
      <c r="W167" s="345">
        <v>156.06</v>
      </c>
      <c r="X167" s="345">
        <v>45</v>
      </c>
      <c r="Y167" s="345">
        <v>0</v>
      </c>
      <c r="Z167" s="345">
        <v>5</v>
      </c>
      <c r="AA167" s="345">
        <v>3</v>
      </c>
      <c r="AB167" s="345">
        <v>32</v>
      </c>
      <c r="AC167" s="345">
        <v>4</v>
      </c>
      <c r="AD167" s="349">
        <v>3914</v>
      </c>
      <c r="AE167" s="349">
        <v>18</v>
      </c>
      <c r="AF167" s="349">
        <v>57</v>
      </c>
      <c r="AG167" s="349">
        <v>75</v>
      </c>
    </row>
    <row r="168" spans="1:33" x14ac:dyDescent="0.2">
      <c r="A168" s="344" t="s">
        <v>392</v>
      </c>
      <c r="B168" s="350" t="s">
        <v>393</v>
      </c>
      <c r="C168" s="346">
        <v>46835</v>
      </c>
      <c r="D168" s="346">
        <v>68</v>
      </c>
      <c r="E168" s="346">
        <v>1579</v>
      </c>
      <c r="F168" s="346">
        <v>3219</v>
      </c>
      <c r="G168" s="346">
        <v>1092</v>
      </c>
      <c r="H168" s="346">
        <v>52793</v>
      </c>
      <c r="I168" s="345">
        <v>51701</v>
      </c>
      <c r="J168" s="345">
        <v>196</v>
      </c>
      <c r="K168" s="347">
        <v>81.13</v>
      </c>
      <c r="L168" s="347">
        <v>82.84</v>
      </c>
      <c r="M168" s="347">
        <v>4.5999999999999996</v>
      </c>
      <c r="N168" s="347">
        <v>82.76</v>
      </c>
      <c r="O168" s="348">
        <v>43604</v>
      </c>
      <c r="P168" s="345">
        <v>79.52</v>
      </c>
      <c r="Q168" s="345">
        <v>73.849999999999994</v>
      </c>
      <c r="R168" s="345">
        <v>41.74</v>
      </c>
      <c r="S168" s="345">
        <v>118.39</v>
      </c>
      <c r="T168" s="345">
        <v>4184</v>
      </c>
      <c r="U168" s="345">
        <v>103.91</v>
      </c>
      <c r="V168" s="345">
        <v>1576</v>
      </c>
      <c r="W168" s="345">
        <v>134.22</v>
      </c>
      <c r="X168" s="345">
        <v>1</v>
      </c>
      <c r="Y168" s="345">
        <v>117</v>
      </c>
      <c r="Z168" s="345">
        <v>240</v>
      </c>
      <c r="AA168" s="345">
        <v>61</v>
      </c>
      <c r="AB168" s="345">
        <v>14</v>
      </c>
      <c r="AC168" s="345">
        <v>35</v>
      </c>
      <c r="AD168" s="349">
        <v>45224</v>
      </c>
      <c r="AE168" s="349">
        <v>123</v>
      </c>
      <c r="AF168" s="349">
        <v>262</v>
      </c>
      <c r="AG168" s="349">
        <v>385</v>
      </c>
    </row>
    <row r="169" spans="1:33" x14ac:dyDescent="0.2">
      <c r="A169" s="344" t="s">
        <v>394</v>
      </c>
      <c r="B169" s="350" t="s">
        <v>395</v>
      </c>
      <c r="C169" s="346">
        <v>1709</v>
      </c>
      <c r="D169" s="346">
        <v>0</v>
      </c>
      <c r="E169" s="346">
        <v>357</v>
      </c>
      <c r="F169" s="346">
        <v>260</v>
      </c>
      <c r="G169" s="346">
        <v>129</v>
      </c>
      <c r="H169" s="346">
        <v>2455</v>
      </c>
      <c r="I169" s="345">
        <v>2326</v>
      </c>
      <c r="J169" s="345">
        <v>96</v>
      </c>
      <c r="K169" s="347">
        <v>81.849999999999994</v>
      </c>
      <c r="L169" s="347">
        <v>80.17</v>
      </c>
      <c r="M169" s="347">
        <v>5.86</v>
      </c>
      <c r="N169" s="347">
        <v>84.53</v>
      </c>
      <c r="O169" s="348">
        <v>1680</v>
      </c>
      <c r="P169" s="345">
        <v>96.1</v>
      </c>
      <c r="Q169" s="345">
        <v>71.34</v>
      </c>
      <c r="R169" s="345">
        <v>48.5</v>
      </c>
      <c r="S169" s="345">
        <v>144.44999999999999</v>
      </c>
      <c r="T169" s="345">
        <v>343</v>
      </c>
      <c r="U169" s="345">
        <v>93.32</v>
      </c>
      <c r="V169" s="345">
        <v>20</v>
      </c>
      <c r="W169" s="345">
        <v>0</v>
      </c>
      <c r="X169" s="345">
        <v>0</v>
      </c>
      <c r="Y169" s="345">
        <v>0</v>
      </c>
      <c r="Z169" s="345">
        <v>0</v>
      </c>
      <c r="AA169" s="345">
        <v>1</v>
      </c>
      <c r="AB169" s="345">
        <v>5</v>
      </c>
      <c r="AC169" s="345">
        <v>1</v>
      </c>
      <c r="AD169" s="349">
        <v>1709</v>
      </c>
      <c r="AE169" s="349">
        <v>9</v>
      </c>
      <c r="AF169" s="349">
        <v>19</v>
      </c>
      <c r="AG169" s="349">
        <v>28</v>
      </c>
    </row>
    <row r="170" spans="1:33" x14ac:dyDescent="0.2">
      <c r="A170" s="344" t="s">
        <v>396</v>
      </c>
      <c r="B170" s="350" t="s">
        <v>397</v>
      </c>
      <c r="C170" s="346">
        <v>3742</v>
      </c>
      <c r="D170" s="346">
        <v>0</v>
      </c>
      <c r="E170" s="346">
        <v>302</v>
      </c>
      <c r="F170" s="346">
        <v>822</v>
      </c>
      <c r="G170" s="346">
        <v>1129</v>
      </c>
      <c r="H170" s="346">
        <v>5995</v>
      </c>
      <c r="I170" s="345">
        <v>4866</v>
      </c>
      <c r="J170" s="345">
        <v>2</v>
      </c>
      <c r="K170" s="347">
        <v>101.42</v>
      </c>
      <c r="L170" s="347">
        <v>99.34</v>
      </c>
      <c r="M170" s="347">
        <v>6.74</v>
      </c>
      <c r="N170" s="347">
        <v>106.86</v>
      </c>
      <c r="O170" s="348">
        <v>2965</v>
      </c>
      <c r="P170" s="345">
        <v>85.88</v>
      </c>
      <c r="Q170" s="345">
        <v>82.18</v>
      </c>
      <c r="R170" s="345">
        <v>32.229999999999997</v>
      </c>
      <c r="S170" s="345">
        <v>117.75</v>
      </c>
      <c r="T170" s="345">
        <v>886</v>
      </c>
      <c r="U170" s="345">
        <v>125.18</v>
      </c>
      <c r="V170" s="345">
        <v>367</v>
      </c>
      <c r="W170" s="345">
        <v>159.06</v>
      </c>
      <c r="X170" s="345">
        <v>61</v>
      </c>
      <c r="Y170" s="345">
        <v>0</v>
      </c>
      <c r="Z170" s="345">
        <v>1</v>
      </c>
      <c r="AA170" s="345">
        <v>2</v>
      </c>
      <c r="AB170" s="345">
        <v>12</v>
      </c>
      <c r="AC170" s="345">
        <v>25</v>
      </c>
      <c r="AD170" s="349">
        <v>3451</v>
      </c>
      <c r="AE170" s="349">
        <v>11</v>
      </c>
      <c r="AF170" s="349">
        <v>24</v>
      </c>
      <c r="AG170" s="349">
        <v>35</v>
      </c>
    </row>
    <row r="171" spans="1:33" x14ac:dyDescent="0.2">
      <c r="A171" s="344" t="s">
        <v>398</v>
      </c>
      <c r="B171" s="350" t="s">
        <v>399</v>
      </c>
      <c r="C171" s="346">
        <v>469</v>
      </c>
      <c r="D171" s="346">
        <v>0</v>
      </c>
      <c r="E171" s="346">
        <v>67</v>
      </c>
      <c r="F171" s="346">
        <v>79</v>
      </c>
      <c r="G171" s="346">
        <v>154</v>
      </c>
      <c r="H171" s="346">
        <v>769</v>
      </c>
      <c r="I171" s="345">
        <v>615</v>
      </c>
      <c r="J171" s="345">
        <v>7</v>
      </c>
      <c r="K171" s="347">
        <v>91.65</v>
      </c>
      <c r="L171" s="347">
        <v>89.9</v>
      </c>
      <c r="M171" s="347">
        <v>2.77</v>
      </c>
      <c r="N171" s="347">
        <v>93.69</v>
      </c>
      <c r="O171" s="348">
        <v>408</v>
      </c>
      <c r="P171" s="345">
        <v>78.099999999999994</v>
      </c>
      <c r="Q171" s="345">
        <v>77.2</v>
      </c>
      <c r="R171" s="345">
        <v>36.72</v>
      </c>
      <c r="S171" s="345">
        <v>114.82</v>
      </c>
      <c r="T171" s="345">
        <v>145</v>
      </c>
      <c r="U171" s="345">
        <v>101.15</v>
      </c>
      <c r="V171" s="345">
        <v>44</v>
      </c>
      <c r="W171" s="345">
        <v>0</v>
      </c>
      <c r="X171" s="345">
        <v>0</v>
      </c>
      <c r="Y171" s="345">
        <v>0</v>
      </c>
      <c r="Z171" s="345">
        <v>1</v>
      </c>
      <c r="AA171" s="345">
        <v>0</v>
      </c>
      <c r="AB171" s="345">
        <v>0</v>
      </c>
      <c r="AC171" s="345">
        <v>3</v>
      </c>
      <c r="AD171" s="349">
        <v>468</v>
      </c>
      <c r="AE171" s="349">
        <v>1</v>
      </c>
      <c r="AF171" s="349">
        <v>0</v>
      </c>
      <c r="AG171" s="349">
        <v>1</v>
      </c>
    </row>
    <row r="172" spans="1:33" x14ac:dyDescent="0.2">
      <c r="A172" s="344" t="s">
        <v>400</v>
      </c>
      <c r="B172" s="350" t="s">
        <v>401</v>
      </c>
      <c r="C172" s="346">
        <v>4939</v>
      </c>
      <c r="D172" s="346">
        <v>0</v>
      </c>
      <c r="E172" s="346">
        <v>282</v>
      </c>
      <c r="F172" s="346">
        <v>1028</v>
      </c>
      <c r="G172" s="346">
        <v>329</v>
      </c>
      <c r="H172" s="346">
        <v>6578</v>
      </c>
      <c r="I172" s="345">
        <v>6249</v>
      </c>
      <c r="J172" s="345">
        <v>13</v>
      </c>
      <c r="K172" s="347">
        <v>93.38</v>
      </c>
      <c r="L172" s="347">
        <v>92.45</v>
      </c>
      <c r="M172" s="347">
        <v>4.0999999999999996</v>
      </c>
      <c r="N172" s="347">
        <v>94.87</v>
      </c>
      <c r="O172" s="348">
        <v>4174</v>
      </c>
      <c r="P172" s="345">
        <v>83.16</v>
      </c>
      <c r="Q172" s="345">
        <v>80.209999999999994</v>
      </c>
      <c r="R172" s="345">
        <v>20.81</v>
      </c>
      <c r="S172" s="345">
        <v>103.72</v>
      </c>
      <c r="T172" s="345">
        <v>1186</v>
      </c>
      <c r="U172" s="345">
        <v>114.1</v>
      </c>
      <c r="V172" s="345">
        <v>583</v>
      </c>
      <c r="W172" s="345">
        <v>113.58</v>
      </c>
      <c r="X172" s="345">
        <v>34</v>
      </c>
      <c r="Y172" s="345">
        <v>0</v>
      </c>
      <c r="Z172" s="345">
        <v>7</v>
      </c>
      <c r="AA172" s="345">
        <v>5</v>
      </c>
      <c r="AB172" s="345">
        <v>2</v>
      </c>
      <c r="AC172" s="345">
        <v>5</v>
      </c>
      <c r="AD172" s="349">
        <v>4765</v>
      </c>
      <c r="AE172" s="349">
        <v>27</v>
      </c>
      <c r="AF172" s="349">
        <v>15</v>
      </c>
      <c r="AG172" s="349">
        <v>42</v>
      </c>
    </row>
    <row r="173" spans="1:33" x14ac:dyDescent="0.2">
      <c r="A173" s="344" t="s">
        <v>402</v>
      </c>
      <c r="B173" s="350" t="s">
        <v>403</v>
      </c>
      <c r="C173" s="346">
        <v>10101</v>
      </c>
      <c r="D173" s="346">
        <v>6</v>
      </c>
      <c r="E173" s="346">
        <v>438</v>
      </c>
      <c r="F173" s="346">
        <v>835</v>
      </c>
      <c r="G173" s="346">
        <v>677</v>
      </c>
      <c r="H173" s="346">
        <v>12057</v>
      </c>
      <c r="I173" s="345">
        <v>11380</v>
      </c>
      <c r="J173" s="345">
        <v>2007</v>
      </c>
      <c r="K173" s="347">
        <v>113.38</v>
      </c>
      <c r="L173" s="347">
        <v>115.12</v>
      </c>
      <c r="M173" s="347">
        <v>7.24</v>
      </c>
      <c r="N173" s="347">
        <v>119.21</v>
      </c>
      <c r="O173" s="348">
        <v>9190</v>
      </c>
      <c r="P173" s="345">
        <v>104.27</v>
      </c>
      <c r="Q173" s="345">
        <v>104.3</v>
      </c>
      <c r="R173" s="345">
        <v>30.02</v>
      </c>
      <c r="S173" s="345">
        <v>133.26</v>
      </c>
      <c r="T173" s="345">
        <v>986</v>
      </c>
      <c r="U173" s="345">
        <v>140.51</v>
      </c>
      <c r="V173" s="345">
        <v>766</v>
      </c>
      <c r="W173" s="345">
        <v>326.56</v>
      </c>
      <c r="X173" s="345">
        <v>13</v>
      </c>
      <c r="Y173" s="345">
        <v>0</v>
      </c>
      <c r="Z173" s="345">
        <v>45</v>
      </c>
      <c r="AA173" s="345">
        <v>6</v>
      </c>
      <c r="AB173" s="345">
        <v>18</v>
      </c>
      <c r="AC173" s="345">
        <v>22</v>
      </c>
      <c r="AD173" s="349">
        <v>10055</v>
      </c>
      <c r="AE173" s="349">
        <v>10</v>
      </c>
      <c r="AF173" s="349">
        <v>14</v>
      </c>
      <c r="AG173" s="349">
        <v>24</v>
      </c>
    </row>
    <row r="174" spans="1:33" x14ac:dyDescent="0.2">
      <c r="A174" s="344" t="s">
        <v>404</v>
      </c>
      <c r="B174" s="350" t="s">
        <v>405</v>
      </c>
      <c r="C174" s="346">
        <v>954</v>
      </c>
      <c r="D174" s="346">
        <v>0</v>
      </c>
      <c r="E174" s="346">
        <v>50</v>
      </c>
      <c r="F174" s="346">
        <v>286</v>
      </c>
      <c r="G174" s="346">
        <v>213</v>
      </c>
      <c r="H174" s="346">
        <v>1503</v>
      </c>
      <c r="I174" s="345">
        <v>1290</v>
      </c>
      <c r="J174" s="345">
        <v>4</v>
      </c>
      <c r="K174" s="347">
        <v>87.33</v>
      </c>
      <c r="L174" s="347">
        <v>85.45</v>
      </c>
      <c r="M174" s="347">
        <v>4.2</v>
      </c>
      <c r="N174" s="347">
        <v>91</v>
      </c>
      <c r="O174" s="348">
        <v>738</v>
      </c>
      <c r="P174" s="345">
        <v>76.67</v>
      </c>
      <c r="Q174" s="345">
        <v>74.53</v>
      </c>
      <c r="R174" s="345">
        <v>17.29</v>
      </c>
      <c r="S174" s="345">
        <v>92.64</v>
      </c>
      <c r="T174" s="345">
        <v>170</v>
      </c>
      <c r="U174" s="345">
        <v>110.97</v>
      </c>
      <c r="V174" s="345">
        <v>94</v>
      </c>
      <c r="W174" s="345">
        <v>0</v>
      </c>
      <c r="X174" s="345">
        <v>0</v>
      </c>
      <c r="Y174" s="345">
        <v>0</v>
      </c>
      <c r="Z174" s="345">
        <v>1</v>
      </c>
      <c r="AA174" s="345">
        <v>0</v>
      </c>
      <c r="AB174" s="345">
        <v>2</v>
      </c>
      <c r="AC174" s="345">
        <v>7</v>
      </c>
      <c r="AD174" s="349">
        <v>829</v>
      </c>
      <c r="AE174" s="349">
        <v>7</v>
      </c>
      <c r="AF174" s="349">
        <v>1</v>
      </c>
      <c r="AG174" s="349">
        <v>8</v>
      </c>
    </row>
    <row r="175" spans="1:33" x14ac:dyDescent="0.2">
      <c r="A175" s="344" t="s">
        <v>406</v>
      </c>
      <c r="B175" s="350" t="s">
        <v>407</v>
      </c>
      <c r="C175" s="346">
        <v>1115</v>
      </c>
      <c r="D175" s="346">
        <v>0</v>
      </c>
      <c r="E175" s="346">
        <v>105</v>
      </c>
      <c r="F175" s="346">
        <v>210</v>
      </c>
      <c r="G175" s="346">
        <v>297</v>
      </c>
      <c r="H175" s="346">
        <v>1727</v>
      </c>
      <c r="I175" s="345">
        <v>1430</v>
      </c>
      <c r="J175" s="345">
        <v>16</v>
      </c>
      <c r="K175" s="347">
        <v>93.39</v>
      </c>
      <c r="L175" s="347">
        <v>92.64</v>
      </c>
      <c r="M175" s="347">
        <v>4.34</v>
      </c>
      <c r="N175" s="347">
        <v>96.27</v>
      </c>
      <c r="O175" s="348">
        <v>912</v>
      </c>
      <c r="P175" s="345">
        <v>80.22</v>
      </c>
      <c r="Q175" s="345">
        <v>78.59</v>
      </c>
      <c r="R175" s="345">
        <v>29.16</v>
      </c>
      <c r="S175" s="345">
        <v>109.07</v>
      </c>
      <c r="T175" s="345">
        <v>291</v>
      </c>
      <c r="U175" s="345">
        <v>111.44</v>
      </c>
      <c r="V175" s="345">
        <v>153</v>
      </c>
      <c r="W175" s="345">
        <v>110.72</v>
      </c>
      <c r="X175" s="345">
        <v>1</v>
      </c>
      <c r="Y175" s="345">
        <v>0</v>
      </c>
      <c r="Z175" s="345">
        <v>4</v>
      </c>
      <c r="AA175" s="345">
        <v>2</v>
      </c>
      <c r="AB175" s="345">
        <v>0</v>
      </c>
      <c r="AC175" s="345">
        <v>1</v>
      </c>
      <c r="AD175" s="349">
        <v>1110</v>
      </c>
      <c r="AE175" s="349">
        <v>3</v>
      </c>
      <c r="AF175" s="349">
        <v>2</v>
      </c>
      <c r="AG175" s="349">
        <v>5</v>
      </c>
    </row>
    <row r="176" spans="1:33" x14ac:dyDescent="0.2">
      <c r="A176" s="344" t="s">
        <v>408</v>
      </c>
      <c r="B176" s="350" t="s">
        <v>409</v>
      </c>
      <c r="C176" s="346">
        <v>5419</v>
      </c>
      <c r="D176" s="346">
        <v>3</v>
      </c>
      <c r="E176" s="346">
        <v>174</v>
      </c>
      <c r="F176" s="346">
        <v>822</v>
      </c>
      <c r="G176" s="346">
        <v>563</v>
      </c>
      <c r="H176" s="346">
        <v>6981</v>
      </c>
      <c r="I176" s="345">
        <v>6418</v>
      </c>
      <c r="J176" s="345">
        <v>6</v>
      </c>
      <c r="K176" s="347">
        <v>116.54</v>
      </c>
      <c r="L176" s="347">
        <v>116.42</v>
      </c>
      <c r="M176" s="347">
        <v>4.75</v>
      </c>
      <c r="N176" s="347">
        <v>119.86</v>
      </c>
      <c r="O176" s="348">
        <v>4201</v>
      </c>
      <c r="P176" s="345">
        <v>100.42</v>
      </c>
      <c r="Q176" s="345">
        <v>99.1</v>
      </c>
      <c r="R176" s="345">
        <v>34.450000000000003</v>
      </c>
      <c r="S176" s="345">
        <v>133.18</v>
      </c>
      <c r="T176" s="345">
        <v>817</v>
      </c>
      <c r="U176" s="345">
        <v>153.29</v>
      </c>
      <c r="V176" s="345">
        <v>902</v>
      </c>
      <c r="W176" s="345">
        <v>0</v>
      </c>
      <c r="X176" s="345">
        <v>0</v>
      </c>
      <c r="Y176" s="345">
        <v>61</v>
      </c>
      <c r="Z176" s="345">
        <v>3</v>
      </c>
      <c r="AA176" s="345">
        <v>0</v>
      </c>
      <c r="AB176" s="345">
        <v>41</v>
      </c>
      <c r="AC176" s="345">
        <v>20</v>
      </c>
      <c r="AD176" s="349">
        <v>5122</v>
      </c>
      <c r="AE176" s="349">
        <v>48</v>
      </c>
      <c r="AF176" s="349">
        <v>60</v>
      </c>
      <c r="AG176" s="349">
        <v>108</v>
      </c>
    </row>
    <row r="177" spans="1:33" x14ac:dyDescent="0.2">
      <c r="A177" s="344" t="s">
        <v>410</v>
      </c>
      <c r="B177" s="350" t="s">
        <v>411</v>
      </c>
      <c r="C177" s="346">
        <v>13055</v>
      </c>
      <c r="D177" s="346">
        <v>4</v>
      </c>
      <c r="E177" s="346">
        <v>608</v>
      </c>
      <c r="F177" s="346">
        <v>1507</v>
      </c>
      <c r="G177" s="346">
        <v>279</v>
      </c>
      <c r="H177" s="346">
        <v>15453</v>
      </c>
      <c r="I177" s="345">
        <v>15174</v>
      </c>
      <c r="J177" s="345">
        <v>31</v>
      </c>
      <c r="K177" s="347">
        <v>86.15</v>
      </c>
      <c r="L177" s="347">
        <v>80.7</v>
      </c>
      <c r="M177" s="347">
        <v>7.13</v>
      </c>
      <c r="N177" s="347">
        <v>88.63</v>
      </c>
      <c r="O177" s="348">
        <v>12559</v>
      </c>
      <c r="P177" s="345">
        <v>84.12</v>
      </c>
      <c r="Q177" s="345">
        <v>78.56</v>
      </c>
      <c r="R177" s="345">
        <v>41.8</v>
      </c>
      <c r="S177" s="345">
        <v>118.06</v>
      </c>
      <c r="T177" s="345">
        <v>2034</v>
      </c>
      <c r="U177" s="345">
        <v>94.36</v>
      </c>
      <c r="V177" s="345">
        <v>309</v>
      </c>
      <c r="W177" s="345">
        <v>170.24</v>
      </c>
      <c r="X177" s="345">
        <v>59</v>
      </c>
      <c r="Y177" s="345">
        <v>0</v>
      </c>
      <c r="Z177" s="345">
        <v>36</v>
      </c>
      <c r="AA177" s="345">
        <v>11</v>
      </c>
      <c r="AB177" s="345">
        <v>0</v>
      </c>
      <c r="AC177" s="345">
        <v>1</v>
      </c>
      <c r="AD177" s="349">
        <v>13023</v>
      </c>
      <c r="AE177" s="349">
        <v>313</v>
      </c>
      <c r="AF177" s="349">
        <v>52</v>
      </c>
      <c r="AG177" s="349">
        <v>365</v>
      </c>
    </row>
    <row r="178" spans="1:33" x14ac:dyDescent="0.2">
      <c r="A178" s="344" t="s">
        <v>412</v>
      </c>
      <c r="B178" s="350" t="s">
        <v>413</v>
      </c>
      <c r="C178" s="346">
        <v>7657</v>
      </c>
      <c r="D178" s="346">
        <v>13</v>
      </c>
      <c r="E178" s="346">
        <v>390</v>
      </c>
      <c r="F178" s="346">
        <v>588</v>
      </c>
      <c r="G178" s="346">
        <v>4905</v>
      </c>
      <c r="H178" s="346">
        <v>13553</v>
      </c>
      <c r="I178" s="345">
        <v>8648</v>
      </c>
      <c r="J178" s="345">
        <v>1</v>
      </c>
      <c r="K178" s="347">
        <v>99.56</v>
      </c>
      <c r="L178" s="347">
        <v>96.82</v>
      </c>
      <c r="M178" s="347">
        <v>6.22</v>
      </c>
      <c r="N178" s="347">
        <v>103.7</v>
      </c>
      <c r="O178" s="348">
        <v>6291</v>
      </c>
      <c r="P178" s="345">
        <v>98.54</v>
      </c>
      <c r="Q178" s="345">
        <v>96.42</v>
      </c>
      <c r="R178" s="345">
        <v>38.07</v>
      </c>
      <c r="S178" s="345">
        <v>135.47999999999999</v>
      </c>
      <c r="T178" s="345">
        <v>812</v>
      </c>
      <c r="U178" s="345">
        <v>129.91</v>
      </c>
      <c r="V178" s="345">
        <v>515</v>
      </c>
      <c r="W178" s="345">
        <v>0</v>
      </c>
      <c r="X178" s="345">
        <v>0</v>
      </c>
      <c r="Y178" s="345">
        <v>15</v>
      </c>
      <c r="Z178" s="345">
        <v>5</v>
      </c>
      <c r="AA178" s="345">
        <v>20</v>
      </c>
      <c r="AB178" s="345">
        <v>74</v>
      </c>
      <c r="AC178" s="345">
        <v>104</v>
      </c>
      <c r="AD178" s="349">
        <v>7473</v>
      </c>
      <c r="AE178" s="349">
        <v>16</v>
      </c>
      <c r="AF178" s="349">
        <v>15</v>
      </c>
      <c r="AG178" s="349">
        <v>31</v>
      </c>
    </row>
    <row r="179" spans="1:33" x14ac:dyDescent="0.2">
      <c r="A179" s="344" t="s">
        <v>414</v>
      </c>
      <c r="B179" s="350" t="s">
        <v>415</v>
      </c>
      <c r="C179" s="346">
        <v>3358</v>
      </c>
      <c r="D179" s="346">
        <v>156</v>
      </c>
      <c r="E179" s="346">
        <v>204</v>
      </c>
      <c r="F179" s="346">
        <v>655</v>
      </c>
      <c r="G179" s="346">
        <v>294</v>
      </c>
      <c r="H179" s="346">
        <v>4667</v>
      </c>
      <c r="I179" s="345">
        <v>4373</v>
      </c>
      <c r="J179" s="345">
        <v>0</v>
      </c>
      <c r="K179" s="347">
        <v>111.48</v>
      </c>
      <c r="L179" s="347">
        <v>113.79</v>
      </c>
      <c r="M179" s="347">
        <v>3.48</v>
      </c>
      <c r="N179" s="347">
        <v>114.87</v>
      </c>
      <c r="O179" s="348">
        <v>3108</v>
      </c>
      <c r="P179" s="345">
        <v>94.57</v>
      </c>
      <c r="Q179" s="345">
        <v>92.42</v>
      </c>
      <c r="R179" s="345">
        <v>25.01</v>
      </c>
      <c r="S179" s="345">
        <v>119.55</v>
      </c>
      <c r="T179" s="345">
        <v>721</v>
      </c>
      <c r="U179" s="345">
        <v>147.09</v>
      </c>
      <c r="V179" s="345">
        <v>326</v>
      </c>
      <c r="W179" s="345">
        <v>0</v>
      </c>
      <c r="X179" s="345">
        <v>0</v>
      </c>
      <c r="Y179" s="345">
        <v>0</v>
      </c>
      <c r="Z179" s="345">
        <v>4</v>
      </c>
      <c r="AA179" s="345">
        <v>3</v>
      </c>
      <c r="AB179" s="345">
        <v>0</v>
      </c>
      <c r="AC179" s="345">
        <v>8</v>
      </c>
      <c r="AD179" s="349">
        <v>3305</v>
      </c>
      <c r="AE179" s="349">
        <v>24</v>
      </c>
      <c r="AF179" s="349">
        <v>22</v>
      </c>
      <c r="AG179" s="349">
        <v>46</v>
      </c>
    </row>
    <row r="180" spans="1:33" x14ac:dyDescent="0.2">
      <c r="A180" s="344" t="s">
        <v>416</v>
      </c>
      <c r="B180" s="350" t="s">
        <v>417</v>
      </c>
      <c r="C180" s="346">
        <v>2683</v>
      </c>
      <c r="D180" s="346">
        <v>8</v>
      </c>
      <c r="E180" s="346">
        <v>278</v>
      </c>
      <c r="F180" s="346">
        <v>342</v>
      </c>
      <c r="G180" s="346">
        <v>313</v>
      </c>
      <c r="H180" s="346">
        <v>3624</v>
      </c>
      <c r="I180" s="345">
        <v>3311</v>
      </c>
      <c r="J180" s="345">
        <v>0</v>
      </c>
      <c r="K180" s="347">
        <v>112.54</v>
      </c>
      <c r="L180" s="347">
        <v>114.34</v>
      </c>
      <c r="M180" s="347">
        <v>3.82</v>
      </c>
      <c r="N180" s="347">
        <v>115.82</v>
      </c>
      <c r="O180" s="348">
        <v>2401</v>
      </c>
      <c r="P180" s="345">
        <v>95.03</v>
      </c>
      <c r="Q180" s="345">
        <v>92.02</v>
      </c>
      <c r="R180" s="345">
        <v>29.92</v>
      </c>
      <c r="S180" s="345">
        <v>123.15</v>
      </c>
      <c r="T180" s="345">
        <v>467</v>
      </c>
      <c r="U180" s="345">
        <v>139.51</v>
      </c>
      <c r="V180" s="345">
        <v>159</v>
      </c>
      <c r="W180" s="345">
        <v>0</v>
      </c>
      <c r="X180" s="345">
        <v>0</v>
      </c>
      <c r="Y180" s="345">
        <v>34</v>
      </c>
      <c r="Z180" s="345">
        <v>2</v>
      </c>
      <c r="AA180" s="345">
        <v>0</v>
      </c>
      <c r="AB180" s="345">
        <v>8</v>
      </c>
      <c r="AC180" s="345">
        <v>4</v>
      </c>
      <c r="AD180" s="349">
        <v>2636</v>
      </c>
      <c r="AE180" s="349">
        <v>5</v>
      </c>
      <c r="AF180" s="349">
        <v>3</v>
      </c>
      <c r="AG180" s="349">
        <v>8</v>
      </c>
    </row>
    <row r="181" spans="1:33" x14ac:dyDescent="0.2">
      <c r="A181" s="344" t="s">
        <v>418</v>
      </c>
      <c r="B181" s="350" t="s">
        <v>419</v>
      </c>
      <c r="C181" s="346">
        <v>1664</v>
      </c>
      <c r="D181" s="346">
        <v>0</v>
      </c>
      <c r="E181" s="346">
        <v>276</v>
      </c>
      <c r="F181" s="346">
        <v>361</v>
      </c>
      <c r="G181" s="346">
        <v>248</v>
      </c>
      <c r="H181" s="346">
        <v>2549</v>
      </c>
      <c r="I181" s="345">
        <v>2301</v>
      </c>
      <c r="J181" s="345">
        <v>43</v>
      </c>
      <c r="K181" s="347">
        <v>87.15</v>
      </c>
      <c r="L181" s="347">
        <v>84.94</v>
      </c>
      <c r="M181" s="347">
        <v>3.9</v>
      </c>
      <c r="N181" s="347">
        <v>89.25</v>
      </c>
      <c r="O181" s="348">
        <v>1535</v>
      </c>
      <c r="P181" s="345">
        <v>97.95</v>
      </c>
      <c r="Q181" s="345">
        <v>77.14</v>
      </c>
      <c r="R181" s="345">
        <v>30.98</v>
      </c>
      <c r="S181" s="345">
        <v>126.86</v>
      </c>
      <c r="T181" s="345">
        <v>464</v>
      </c>
      <c r="U181" s="345">
        <v>96.69</v>
      </c>
      <c r="V181" s="345">
        <v>106</v>
      </c>
      <c r="W181" s="345">
        <v>87.12</v>
      </c>
      <c r="X181" s="345">
        <v>1</v>
      </c>
      <c r="Y181" s="345">
        <v>0</v>
      </c>
      <c r="Z181" s="345">
        <v>1</v>
      </c>
      <c r="AA181" s="345">
        <v>12</v>
      </c>
      <c r="AB181" s="345">
        <v>31</v>
      </c>
      <c r="AC181" s="345">
        <v>5</v>
      </c>
      <c r="AD181" s="349">
        <v>1664</v>
      </c>
      <c r="AE181" s="349">
        <v>27</v>
      </c>
      <c r="AF181" s="349">
        <v>14</v>
      </c>
      <c r="AG181" s="349">
        <v>41</v>
      </c>
    </row>
    <row r="182" spans="1:33" x14ac:dyDescent="0.2">
      <c r="A182" s="344" t="s">
        <v>420</v>
      </c>
      <c r="B182" s="350" t="s">
        <v>421</v>
      </c>
      <c r="C182" s="346">
        <v>6688</v>
      </c>
      <c r="D182" s="346">
        <v>253</v>
      </c>
      <c r="E182" s="346">
        <v>1164</v>
      </c>
      <c r="F182" s="346">
        <v>1491</v>
      </c>
      <c r="G182" s="346">
        <v>404</v>
      </c>
      <c r="H182" s="346">
        <v>10000</v>
      </c>
      <c r="I182" s="345">
        <v>9596</v>
      </c>
      <c r="J182" s="345">
        <v>135</v>
      </c>
      <c r="K182" s="347">
        <v>79.09</v>
      </c>
      <c r="L182" s="347">
        <v>77.16</v>
      </c>
      <c r="M182" s="347">
        <v>10.58</v>
      </c>
      <c r="N182" s="347">
        <v>87.68</v>
      </c>
      <c r="O182" s="348">
        <v>5827</v>
      </c>
      <c r="P182" s="345">
        <v>84.77</v>
      </c>
      <c r="Q182" s="345">
        <v>73.260000000000005</v>
      </c>
      <c r="R182" s="345">
        <v>48.23</v>
      </c>
      <c r="S182" s="345">
        <v>130.16</v>
      </c>
      <c r="T182" s="345">
        <v>2358</v>
      </c>
      <c r="U182" s="345">
        <v>99.37</v>
      </c>
      <c r="V182" s="345">
        <v>561</v>
      </c>
      <c r="W182" s="345">
        <v>164.95</v>
      </c>
      <c r="X182" s="345">
        <v>35</v>
      </c>
      <c r="Y182" s="345">
        <v>0</v>
      </c>
      <c r="Z182" s="345">
        <v>3</v>
      </c>
      <c r="AA182" s="345">
        <v>8</v>
      </c>
      <c r="AB182" s="345">
        <v>5</v>
      </c>
      <c r="AC182" s="345">
        <v>7</v>
      </c>
      <c r="AD182" s="349">
        <v>6284</v>
      </c>
      <c r="AE182" s="349">
        <v>83</v>
      </c>
      <c r="AF182" s="349">
        <v>24</v>
      </c>
      <c r="AG182" s="349">
        <v>107</v>
      </c>
    </row>
    <row r="183" spans="1:33" x14ac:dyDescent="0.2">
      <c r="A183" s="344" t="s">
        <v>422</v>
      </c>
      <c r="B183" s="350" t="s">
        <v>423</v>
      </c>
      <c r="C183" s="346">
        <v>8971</v>
      </c>
      <c r="D183" s="346">
        <v>0</v>
      </c>
      <c r="E183" s="346">
        <v>53</v>
      </c>
      <c r="F183" s="346">
        <v>876</v>
      </c>
      <c r="G183" s="346">
        <v>210</v>
      </c>
      <c r="H183" s="346">
        <v>10110</v>
      </c>
      <c r="I183" s="345">
        <v>9900</v>
      </c>
      <c r="J183" s="345">
        <v>87</v>
      </c>
      <c r="K183" s="347">
        <v>77.36</v>
      </c>
      <c r="L183" s="347">
        <v>79.94</v>
      </c>
      <c r="M183" s="347">
        <v>3.67</v>
      </c>
      <c r="N183" s="347">
        <v>80.87</v>
      </c>
      <c r="O183" s="348">
        <v>8598</v>
      </c>
      <c r="P183" s="345">
        <v>74.53</v>
      </c>
      <c r="Q183" s="345">
        <v>77.239999999999995</v>
      </c>
      <c r="R183" s="345">
        <v>22.76</v>
      </c>
      <c r="S183" s="345">
        <v>97.07</v>
      </c>
      <c r="T183" s="345">
        <v>824</v>
      </c>
      <c r="U183" s="345">
        <v>95.71</v>
      </c>
      <c r="V183" s="345">
        <v>324</v>
      </c>
      <c r="W183" s="345">
        <v>153.29</v>
      </c>
      <c r="X183" s="345">
        <v>17</v>
      </c>
      <c r="Y183" s="345">
        <v>0</v>
      </c>
      <c r="Z183" s="345">
        <v>29</v>
      </c>
      <c r="AA183" s="345">
        <v>10</v>
      </c>
      <c r="AB183" s="345">
        <v>23</v>
      </c>
      <c r="AC183" s="345">
        <v>2</v>
      </c>
      <c r="AD183" s="349">
        <v>8970</v>
      </c>
      <c r="AE183" s="349">
        <v>54</v>
      </c>
      <c r="AF183" s="349">
        <v>11</v>
      </c>
      <c r="AG183" s="349">
        <v>65</v>
      </c>
    </row>
    <row r="184" spans="1:33" x14ac:dyDescent="0.2">
      <c r="A184" s="344" t="s">
        <v>424</v>
      </c>
      <c r="B184" s="350" t="s">
        <v>425</v>
      </c>
      <c r="C184" s="346">
        <v>12030</v>
      </c>
      <c r="D184" s="346">
        <v>33</v>
      </c>
      <c r="E184" s="346">
        <v>1052</v>
      </c>
      <c r="F184" s="346">
        <v>952</v>
      </c>
      <c r="G184" s="346">
        <v>1760</v>
      </c>
      <c r="H184" s="346">
        <v>15827</v>
      </c>
      <c r="I184" s="345">
        <v>14067</v>
      </c>
      <c r="J184" s="345">
        <v>34</v>
      </c>
      <c r="K184" s="347">
        <v>134.52000000000001</v>
      </c>
      <c r="L184" s="347">
        <v>119.3</v>
      </c>
      <c r="M184" s="347">
        <v>8.64</v>
      </c>
      <c r="N184" s="347">
        <v>138.49</v>
      </c>
      <c r="O184" s="348">
        <v>9925</v>
      </c>
      <c r="P184" s="345">
        <v>99.68</v>
      </c>
      <c r="Q184" s="345">
        <v>98.57</v>
      </c>
      <c r="R184" s="345">
        <v>51.32</v>
      </c>
      <c r="S184" s="345">
        <v>148.25</v>
      </c>
      <c r="T184" s="345">
        <v>1941</v>
      </c>
      <c r="U184" s="345">
        <v>162.66999999999999</v>
      </c>
      <c r="V184" s="345">
        <v>403</v>
      </c>
      <c r="W184" s="345">
        <v>175.33</v>
      </c>
      <c r="X184" s="345">
        <v>7</v>
      </c>
      <c r="Y184" s="345">
        <v>81</v>
      </c>
      <c r="Z184" s="345">
        <v>2</v>
      </c>
      <c r="AA184" s="345">
        <v>35</v>
      </c>
      <c r="AB184" s="345">
        <v>74</v>
      </c>
      <c r="AC184" s="345">
        <v>111</v>
      </c>
      <c r="AD184" s="349">
        <v>11120</v>
      </c>
      <c r="AE184" s="349">
        <v>74</v>
      </c>
      <c r="AF184" s="349">
        <v>23</v>
      </c>
      <c r="AG184" s="349">
        <v>97</v>
      </c>
    </row>
    <row r="185" spans="1:33" x14ac:dyDescent="0.2">
      <c r="A185" s="344" t="s">
        <v>426</v>
      </c>
      <c r="B185" s="350" t="s">
        <v>427</v>
      </c>
      <c r="C185" s="346">
        <v>3461</v>
      </c>
      <c r="D185" s="346">
        <v>0</v>
      </c>
      <c r="E185" s="346">
        <v>58</v>
      </c>
      <c r="F185" s="346">
        <v>902</v>
      </c>
      <c r="G185" s="346">
        <v>189</v>
      </c>
      <c r="H185" s="346">
        <v>4610</v>
      </c>
      <c r="I185" s="345">
        <v>4421</v>
      </c>
      <c r="J185" s="345">
        <v>14</v>
      </c>
      <c r="K185" s="347">
        <v>84.99</v>
      </c>
      <c r="L185" s="347">
        <v>85.78</v>
      </c>
      <c r="M185" s="347">
        <v>3.17</v>
      </c>
      <c r="N185" s="347">
        <v>86.77</v>
      </c>
      <c r="O185" s="348">
        <v>3159</v>
      </c>
      <c r="P185" s="345">
        <v>74.150000000000006</v>
      </c>
      <c r="Q185" s="345">
        <v>74.36</v>
      </c>
      <c r="R185" s="345">
        <v>13.35</v>
      </c>
      <c r="S185" s="345">
        <v>86.39</v>
      </c>
      <c r="T185" s="345">
        <v>904</v>
      </c>
      <c r="U185" s="345">
        <v>114.86</v>
      </c>
      <c r="V185" s="345">
        <v>282</v>
      </c>
      <c r="W185" s="345">
        <v>0</v>
      </c>
      <c r="X185" s="345">
        <v>0</v>
      </c>
      <c r="Y185" s="345">
        <v>0</v>
      </c>
      <c r="Z185" s="345">
        <v>8</v>
      </c>
      <c r="AA185" s="345">
        <v>1</v>
      </c>
      <c r="AB185" s="345">
        <v>3</v>
      </c>
      <c r="AC185" s="345">
        <v>2</v>
      </c>
      <c r="AD185" s="349">
        <v>3461</v>
      </c>
      <c r="AE185" s="349">
        <v>10</v>
      </c>
      <c r="AF185" s="349">
        <v>38</v>
      </c>
      <c r="AG185" s="349">
        <v>48</v>
      </c>
    </row>
    <row r="186" spans="1:33" x14ac:dyDescent="0.2">
      <c r="A186" s="344" t="s">
        <v>428</v>
      </c>
      <c r="B186" s="350" t="s">
        <v>429</v>
      </c>
      <c r="C186" s="346">
        <v>697</v>
      </c>
      <c r="D186" s="346">
        <v>0</v>
      </c>
      <c r="E186" s="346">
        <v>54</v>
      </c>
      <c r="F186" s="346">
        <v>148</v>
      </c>
      <c r="G186" s="346">
        <v>95</v>
      </c>
      <c r="H186" s="346">
        <v>994</v>
      </c>
      <c r="I186" s="345">
        <v>899</v>
      </c>
      <c r="J186" s="345">
        <v>0</v>
      </c>
      <c r="K186" s="347">
        <v>89.64</v>
      </c>
      <c r="L186" s="347">
        <v>90.03</v>
      </c>
      <c r="M186" s="347">
        <v>4.8600000000000003</v>
      </c>
      <c r="N186" s="347">
        <v>92.08</v>
      </c>
      <c r="O186" s="348">
        <v>584</v>
      </c>
      <c r="P186" s="345">
        <v>87.84</v>
      </c>
      <c r="Q186" s="345">
        <v>90.43</v>
      </c>
      <c r="R186" s="345">
        <v>40.450000000000003</v>
      </c>
      <c r="S186" s="345">
        <v>125.49</v>
      </c>
      <c r="T186" s="345">
        <v>202</v>
      </c>
      <c r="U186" s="345">
        <v>103.09</v>
      </c>
      <c r="V186" s="345">
        <v>80</v>
      </c>
      <c r="W186" s="345">
        <v>0</v>
      </c>
      <c r="X186" s="345">
        <v>0</v>
      </c>
      <c r="Y186" s="345">
        <v>0</v>
      </c>
      <c r="Z186" s="345">
        <v>0</v>
      </c>
      <c r="AA186" s="345">
        <v>1</v>
      </c>
      <c r="AB186" s="345">
        <v>0</v>
      </c>
      <c r="AC186" s="345">
        <v>0</v>
      </c>
      <c r="AD186" s="349">
        <v>663</v>
      </c>
      <c r="AE186" s="349">
        <v>16</v>
      </c>
      <c r="AF186" s="349">
        <v>23</v>
      </c>
      <c r="AG186" s="349">
        <v>39</v>
      </c>
    </row>
    <row r="187" spans="1:33" x14ac:dyDescent="0.2">
      <c r="A187" s="344" t="s">
        <v>430</v>
      </c>
      <c r="B187" s="350" t="s">
        <v>431</v>
      </c>
      <c r="C187" s="346">
        <v>7239</v>
      </c>
      <c r="D187" s="346">
        <v>14</v>
      </c>
      <c r="E187" s="346">
        <v>243</v>
      </c>
      <c r="F187" s="346">
        <v>2593</v>
      </c>
      <c r="G187" s="346">
        <v>167</v>
      </c>
      <c r="H187" s="346">
        <v>10256</v>
      </c>
      <c r="I187" s="345">
        <v>10089</v>
      </c>
      <c r="J187" s="345">
        <v>0</v>
      </c>
      <c r="K187" s="347">
        <v>73.23</v>
      </c>
      <c r="L187" s="347">
        <v>83.42</v>
      </c>
      <c r="M187" s="347">
        <v>1.17</v>
      </c>
      <c r="N187" s="347">
        <v>74.319999999999993</v>
      </c>
      <c r="O187" s="348">
        <v>7211</v>
      </c>
      <c r="P187" s="345">
        <v>67.17</v>
      </c>
      <c r="Q187" s="345">
        <v>75.19</v>
      </c>
      <c r="R187" s="345">
        <v>5.22</v>
      </c>
      <c r="S187" s="345">
        <v>71.86</v>
      </c>
      <c r="T187" s="345">
        <v>2719</v>
      </c>
      <c r="U187" s="345">
        <v>85.5</v>
      </c>
      <c r="V187" s="345">
        <v>11</v>
      </c>
      <c r="W187" s="345">
        <v>0</v>
      </c>
      <c r="X187" s="345">
        <v>0</v>
      </c>
      <c r="Y187" s="345">
        <v>0</v>
      </c>
      <c r="Z187" s="345">
        <v>12</v>
      </c>
      <c r="AA187" s="345">
        <v>11</v>
      </c>
      <c r="AB187" s="345">
        <v>1</v>
      </c>
      <c r="AC187" s="345">
        <v>27</v>
      </c>
      <c r="AD187" s="349">
        <v>7229</v>
      </c>
      <c r="AE187" s="349">
        <v>304</v>
      </c>
      <c r="AF187" s="349">
        <v>364</v>
      </c>
      <c r="AG187" s="349">
        <v>668</v>
      </c>
    </row>
    <row r="188" spans="1:33" x14ac:dyDescent="0.2">
      <c r="A188" s="344" t="s">
        <v>432</v>
      </c>
      <c r="B188" s="350" t="s">
        <v>433</v>
      </c>
      <c r="C188" s="346">
        <v>9168</v>
      </c>
      <c r="D188" s="346">
        <v>0</v>
      </c>
      <c r="E188" s="346">
        <v>268</v>
      </c>
      <c r="F188" s="346">
        <v>1006</v>
      </c>
      <c r="G188" s="346">
        <v>448</v>
      </c>
      <c r="H188" s="346">
        <v>10890</v>
      </c>
      <c r="I188" s="345">
        <v>10442</v>
      </c>
      <c r="J188" s="345">
        <v>1</v>
      </c>
      <c r="K188" s="347">
        <v>107.98</v>
      </c>
      <c r="L188" s="347">
        <v>115.91</v>
      </c>
      <c r="M188" s="347">
        <v>3.97</v>
      </c>
      <c r="N188" s="347">
        <v>109.07</v>
      </c>
      <c r="O188" s="348">
        <v>8994</v>
      </c>
      <c r="P188" s="345">
        <v>91.14</v>
      </c>
      <c r="Q188" s="345">
        <v>90.6</v>
      </c>
      <c r="R188" s="345">
        <v>21.68</v>
      </c>
      <c r="S188" s="345">
        <v>111.34</v>
      </c>
      <c r="T188" s="345">
        <v>1243</v>
      </c>
      <c r="U188" s="345">
        <v>132.4</v>
      </c>
      <c r="V188" s="345">
        <v>89</v>
      </c>
      <c r="W188" s="345">
        <v>0</v>
      </c>
      <c r="X188" s="345">
        <v>0</v>
      </c>
      <c r="Y188" s="345">
        <v>0</v>
      </c>
      <c r="Z188" s="345">
        <v>39</v>
      </c>
      <c r="AA188" s="345">
        <v>10</v>
      </c>
      <c r="AB188" s="345">
        <v>10</v>
      </c>
      <c r="AC188" s="345">
        <v>20</v>
      </c>
      <c r="AD188" s="349">
        <v>9128</v>
      </c>
      <c r="AE188" s="349">
        <v>13</v>
      </c>
      <c r="AF188" s="349">
        <v>40</v>
      </c>
      <c r="AG188" s="349">
        <v>53</v>
      </c>
    </row>
    <row r="189" spans="1:33" x14ac:dyDescent="0.2">
      <c r="A189" s="344" t="s">
        <v>434</v>
      </c>
      <c r="B189" s="350" t="s">
        <v>435</v>
      </c>
      <c r="C189" s="346">
        <v>923</v>
      </c>
      <c r="D189" s="346">
        <v>0</v>
      </c>
      <c r="E189" s="346">
        <v>77</v>
      </c>
      <c r="F189" s="346">
        <v>150</v>
      </c>
      <c r="G189" s="346">
        <v>234</v>
      </c>
      <c r="H189" s="346">
        <v>1384</v>
      </c>
      <c r="I189" s="345">
        <v>1150</v>
      </c>
      <c r="J189" s="345">
        <v>0</v>
      </c>
      <c r="K189" s="347">
        <v>87.32</v>
      </c>
      <c r="L189" s="347">
        <v>87.14</v>
      </c>
      <c r="M189" s="347">
        <v>3.49</v>
      </c>
      <c r="N189" s="347">
        <v>90.14</v>
      </c>
      <c r="O189" s="348">
        <v>761</v>
      </c>
      <c r="P189" s="345">
        <v>90.97</v>
      </c>
      <c r="Q189" s="345">
        <v>86.3</v>
      </c>
      <c r="R189" s="345">
        <v>29.25</v>
      </c>
      <c r="S189" s="345">
        <v>116.31</v>
      </c>
      <c r="T189" s="345">
        <v>202</v>
      </c>
      <c r="U189" s="345">
        <v>98.17</v>
      </c>
      <c r="V189" s="345">
        <v>86</v>
      </c>
      <c r="W189" s="345">
        <v>0</v>
      </c>
      <c r="X189" s="345">
        <v>0</v>
      </c>
      <c r="Y189" s="345">
        <v>0</v>
      </c>
      <c r="Z189" s="345">
        <v>3</v>
      </c>
      <c r="AA189" s="345">
        <v>0</v>
      </c>
      <c r="AB189" s="345">
        <v>15</v>
      </c>
      <c r="AC189" s="345">
        <v>1</v>
      </c>
      <c r="AD189" s="349">
        <v>866</v>
      </c>
      <c r="AE189" s="349">
        <v>3</v>
      </c>
      <c r="AF189" s="349">
        <v>0</v>
      </c>
      <c r="AG189" s="349">
        <v>3</v>
      </c>
    </row>
    <row r="190" spans="1:33" x14ac:dyDescent="0.2">
      <c r="A190" s="344" t="s">
        <v>436</v>
      </c>
      <c r="B190" s="350" t="s">
        <v>437</v>
      </c>
      <c r="C190" s="346">
        <v>10426</v>
      </c>
      <c r="D190" s="346">
        <v>0</v>
      </c>
      <c r="E190" s="346">
        <v>164</v>
      </c>
      <c r="F190" s="346">
        <v>829</v>
      </c>
      <c r="G190" s="346">
        <v>49</v>
      </c>
      <c r="H190" s="346">
        <v>11468</v>
      </c>
      <c r="I190" s="345">
        <v>11419</v>
      </c>
      <c r="J190" s="345">
        <v>0</v>
      </c>
      <c r="K190" s="347">
        <v>80.319999999999993</v>
      </c>
      <c r="L190" s="347">
        <v>76.81</v>
      </c>
      <c r="M190" s="347">
        <v>1.76</v>
      </c>
      <c r="N190" s="347">
        <v>80.819999999999993</v>
      </c>
      <c r="O190" s="348">
        <v>10219</v>
      </c>
      <c r="P190" s="345">
        <v>82.11</v>
      </c>
      <c r="Q190" s="345">
        <v>72.459999999999994</v>
      </c>
      <c r="R190" s="345">
        <v>27.92</v>
      </c>
      <c r="S190" s="345">
        <v>102.36</v>
      </c>
      <c r="T190" s="345">
        <v>876</v>
      </c>
      <c r="U190" s="345">
        <v>96.02</v>
      </c>
      <c r="V190" s="345">
        <v>125</v>
      </c>
      <c r="W190" s="345">
        <v>91.25</v>
      </c>
      <c r="X190" s="345">
        <v>40</v>
      </c>
      <c r="Y190" s="345">
        <v>0</v>
      </c>
      <c r="Z190" s="345">
        <v>40</v>
      </c>
      <c r="AA190" s="345">
        <v>112</v>
      </c>
      <c r="AB190" s="345">
        <v>1</v>
      </c>
      <c r="AC190" s="345">
        <v>5</v>
      </c>
      <c r="AD190" s="349">
        <v>10388</v>
      </c>
      <c r="AE190" s="349">
        <v>100</v>
      </c>
      <c r="AF190" s="349">
        <v>25</v>
      </c>
      <c r="AG190" s="349">
        <v>125</v>
      </c>
    </row>
    <row r="191" spans="1:33" x14ac:dyDescent="0.2">
      <c r="A191" s="344" t="s">
        <v>438</v>
      </c>
      <c r="B191" s="350" t="s">
        <v>439</v>
      </c>
      <c r="C191" s="346">
        <v>5533</v>
      </c>
      <c r="D191" s="346">
        <v>0</v>
      </c>
      <c r="E191" s="346">
        <v>154</v>
      </c>
      <c r="F191" s="346">
        <v>655</v>
      </c>
      <c r="G191" s="346">
        <v>136</v>
      </c>
      <c r="H191" s="346">
        <v>6478</v>
      </c>
      <c r="I191" s="345">
        <v>6342</v>
      </c>
      <c r="J191" s="345">
        <v>26</v>
      </c>
      <c r="K191" s="347">
        <v>88.85</v>
      </c>
      <c r="L191" s="347">
        <v>91.07</v>
      </c>
      <c r="M191" s="347">
        <v>2.39</v>
      </c>
      <c r="N191" s="347">
        <v>90.47</v>
      </c>
      <c r="O191" s="348">
        <v>5235</v>
      </c>
      <c r="P191" s="345">
        <v>87.37</v>
      </c>
      <c r="Q191" s="345">
        <v>81.37</v>
      </c>
      <c r="R191" s="345">
        <v>20.58</v>
      </c>
      <c r="S191" s="345">
        <v>107.11</v>
      </c>
      <c r="T191" s="345">
        <v>807</v>
      </c>
      <c r="U191" s="345">
        <v>104.4</v>
      </c>
      <c r="V191" s="345">
        <v>277</v>
      </c>
      <c r="W191" s="345">
        <v>104.34</v>
      </c>
      <c r="X191" s="345">
        <v>11</v>
      </c>
      <c r="Y191" s="345">
        <v>0</v>
      </c>
      <c r="Z191" s="345">
        <v>23</v>
      </c>
      <c r="AA191" s="345">
        <v>40</v>
      </c>
      <c r="AB191" s="345">
        <v>10</v>
      </c>
      <c r="AC191" s="345">
        <v>2</v>
      </c>
      <c r="AD191" s="349">
        <v>5519</v>
      </c>
      <c r="AE191" s="349">
        <v>47</v>
      </c>
      <c r="AF191" s="349">
        <v>38</v>
      </c>
      <c r="AG191" s="349">
        <v>85</v>
      </c>
    </row>
    <row r="192" spans="1:33" ht="15" x14ac:dyDescent="0.25">
      <c r="A192" s="351" t="s">
        <v>799</v>
      </c>
      <c r="B192" s="351" t="s">
        <v>797</v>
      </c>
      <c r="C192" s="345">
        <v>12115</v>
      </c>
      <c r="D192" s="345">
        <v>66</v>
      </c>
      <c r="E192" s="345">
        <v>293</v>
      </c>
      <c r="F192" s="345">
        <v>1886</v>
      </c>
      <c r="G192" s="345">
        <v>1074</v>
      </c>
      <c r="H192" s="345">
        <v>15434</v>
      </c>
      <c r="I192" s="345">
        <v>14360</v>
      </c>
      <c r="J192" s="345">
        <v>29</v>
      </c>
      <c r="K192" s="345">
        <v>89.84</v>
      </c>
      <c r="L192" s="345">
        <v>89.57</v>
      </c>
      <c r="M192" s="345">
        <v>5.37</v>
      </c>
      <c r="N192" s="345">
        <v>92.01</v>
      </c>
      <c r="O192" s="345">
        <v>10794</v>
      </c>
      <c r="P192" s="345">
        <v>85.32</v>
      </c>
      <c r="Q192" s="345">
        <v>84.91</v>
      </c>
      <c r="R192" s="345">
        <v>30.01</v>
      </c>
      <c r="S192" s="345">
        <v>105.86</v>
      </c>
      <c r="T192" s="345">
        <v>2035</v>
      </c>
      <c r="U192" s="345">
        <v>106.24</v>
      </c>
      <c r="V192" s="345">
        <v>416</v>
      </c>
      <c r="W192" s="345">
        <v>104.99</v>
      </c>
      <c r="X192" s="345">
        <v>44</v>
      </c>
      <c r="Y192" s="345">
        <v>0</v>
      </c>
      <c r="Z192" s="345">
        <v>35</v>
      </c>
      <c r="AA192" s="345">
        <v>3</v>
      </c>
      <c r="AB192" s="345">
        <v>69</v>
      </c>
      <c r="AC192" s="345">
        <v>36</v>
      </c>
      <c r="AD192" s="345">
        <v>11359</v>
      </c>
      <c r="AE192" s="345">
        <v>94</v>
      </c>
      <c r="AF192" s="345">
        <v>67</v>
      </c>
      <c r="AG192" s="345">
        <v>161</v>
      </c>
    </row>
    <row r="193" spans="1:33" x14ac:dyDescent="0.2">
      <c r="A193" s="344" t="s">
        <v>440</v>
      </c>
      <c r="B193" s="350" t="s">
        <v>441</v>
      </c>
      <c r="C193" s="346">
        <v>7076</v>
      </c>
      <c r="D193" s="346">
        <v>82</v>
      </c>
      <c r="E193" s="346">
        <v>318</v>
      </c>
      <c r="F193" s="346">
        <v>1690</v>
      </c>
      <c r="G193" s="346">
        <v>388</v>
      </c>
      <c r="H193" s="346">
        <v>9554</v>
      </c>
      <c r="I193" s="345">
        <v>9166</v>
      </c>
      <c r="J193" s="345">
        <v>24</v>
      </c>
      <c r="K193" s="347">
        <v>95.39</v>
      </c>
      <c r="L193" s="347">
        <v>95.55</v>
      </c>
      <c r="M193" s="347">
        <v>4.78</v>
      </c>
      <c r="N193" s="347">
        <v>97.58</v>
      </c>
      <c r="O193" s="348">
        <v>6371</v>
      </c>
      <c r="P193" s="345">
        <v>88.84</v>
      </c>
      <c r="Q193" s="345">
        <v>85.9</v>
      </c>
      <c r="R193" s="345">
        <v>25.4</v>
      </c>
      <c r="S193" s="345">
        <v>113.84</v>
      </c>
      <c r="T193" s="345">
        <v>1887</v>
      </c>
      <c r="U193" s="345">
        <v>124.88</v>
      </c>
      <c r="V193" s="345">
        <v>596</v>
      </c>
      <c r="W193" s="345">
        <v>148.33000000000001</v>
      </c>
      <c r="X193" s="345">
        <v>30</v>
      </c>
      <c r="Y193" s="345">
        <v>102</v>
      </c>
      <c r="Z193" s="345">
        <v>24</v>
      </c>
      <c r="AA193" s="345">
        <v>5</v>
      </c>
      <c r="AB193" s="345">
        <v>8</v>
      </c>
      <c r="AC193" s="345">
        <v>8</v>
      </c>
      <c r="AD193" s="349">
        <v>6955</v>
      </c>
      <c r="AE193" s="349">
        <v>60</v>
      </c>
      <c r="AF193" s="349">
        <v>18</v>
      </c>
      <c r="AG193" s="349">
        <v>78</v>
      </c>
    </row>
    <row r="194" spans="1:33" x14ac:dyDescent="0.2">
      <c r="A194" s="344" t="s">
        <v>442</v>
      </c>
      <c r="B194" s="350" t="s">
        <v>443</v>
      </c>
      <c r="C194" s="346">
        <v>3774</v>
      </c>
      <c r="D194" s="346">
        <v>27</v>
      </c>
      <c r="E194" s="346">
        <v>525</v>
      </c>
      <c r="F194" s="346">
        <v>1281</v>
      </c>
      <c r="G194" s="346">
        <v>317</v>
      </c>
      <c r="H194" s="346">
        <v>5924</v>
      </c>
      <c r="I194" s="345">
        <v>5607</v>
      </c>
      <c r="J194" s="345">
        <v>222</v>
      </c>
      <c r="K194" s="347">
        <v>84.73</v>
      </c>
      <c r="L194" s="347">
        <v>79.819999999999993</v>
      </c>
      <c r="M194" s="347">
        <v>6.64</v>
      </c>
      <c r="N194" s="347">
        <v>89.81</v>
      </c>
      <c r="O194" s="348">
        <v>3292</v>
      </c>
      <c r="P194" s="345">
        <v>87.27</v>
      </c>
      <c r="Q194" s="345">
        <v>74.52</v>
      </c>
      <c r="R194" s="345">
        <v>38.42</v>
      </c>
      <c r="S194" s="345">
        <v>125.07</v>
      </c>
      <c r="T194" s="345">
        <v>1624</v>
      </c>
      <c r="U194" s="345">
        <v>98.59</v>
      </c>
      <c r="V194" s="345">
        <v>361</v>
      </c>
      <c r="W194" s="345">
        <v>144.66999999999999</v>
      </c>
      <c r="X194" s="345">
        <v>36</v>
      </c>
      <c r="Y194" s="345">
        <v>0</v>
      </c>
      <c r="Z194" s="345">
        <v>2</v>
      </c>
      <c r="AA194" s="345">
        <v>86</v>
      </c>
      <c r="AB194" s="345">
        <v>12</v>
      </c>
      <c r="AC194" s="345">
        <v>4</v>
      </c>
      <c r="AD194" s="349">
        <v>3626</v>
      </c>
      <c r="AE194" s="349">
        <v>36</v>
      </c>
      <c r="AF194" s="349">
        <v>8</v>
      </c>
      <c r="AG194" s="349">
        <v>44</v>
      </c>
    </row>
    <row r="195" spans="1:33" x14ac:dyDescent="0.2">
      <c r="A195" s="344" t="s">
        <v>444</v>
      </c>
      <c r="B195" s="350" t="s">
        <v>445</v>
      </c>
      <c r="C195" s="346">
        <v>1005</v>
      </c>
      <c r="D195" s="346">
        <v>0</v>
      </c>
      <c r="E195" s="346">
        <v>6</v>
      </c>
      <c r="F195" s="346">
        <v>54</v>
      </c>
      <c r="G195" s="346">
        <v>166</v>
      </c>
      <c r="H195" s="346">
        <v>1231</v>
      </c>
      <c r="I195" s="345">
        <v>1065</v>
      </c>
      <c r="J195" s="345">
        <v>3</v>
      </c>
      <c r="K195" s="347">
        <v>97.89</v>
      </c>
      <c r="L195" s="347">
        <v>97.3</v>
      </c>
      <c r="M195" s="347">
        <v>4.0599999999999996</v>
      </c>
      <c r="N195" s="347">
        <v>100.13</v>
      </c>
      <c r="O195" s="348">
        <v>902</v>
      </c>
      <c r="P195" s="345">
        <v>88.97</v>
      </c>
      <c r="Q195" s="345">
        <v>87.37</v>
      </c>
      <c r="R195" s="345">
        <v>35.6</v>
      </c>
      <c r="S195" s="345">
        <v>122.2</v>
      </c>
      <c r="T195" s="345">
        <v>60</v>
      </c>
      <c r="U195" s="345">
        <v>107.72</v>
      </c>
      <c r="V195" s="345">
        <v>94</v>
      </c>
      <c r="W195" s="345">
        <v>0</v>
      </c>
      <c r="X195" s="345">
        <v>0</v>
      </c>
      <c r="Y195" s="345">
        <v>0</v>
      </c>
      <c r="Z195" s="345">
        <v>1</v>
      </c>
      <c r="AA195" s="345">
        <v>1</v>
      </c>
      <c r="AB195" s="345">
        <v>16</v>
      </c>
      <c r="AC195" s="345">
        <v>1</v>
      </c>
      <c r="AD195" s="349">
        <v>1005</v>
      </c>
      <c r="AE195" s="349">
        <v>5</v>
      </c>
      <c r="AF195" s="349">
        <v>0</v>
      </c>
      <c r="AG195" s="349">
        <v>5</v>
      </c>
    </row>
    <row r="196" spans="1:33" x14ac:dyDescent="0.2">
      <c r="A196" s="344" t="s">
        <v>446</v>
      </c>
      <c r="B196" s="350" t="s">
        <v>447</v>
      </c>
      <c r="C196" s="346">
        <v>1489</v>
      </c>
      <c r="D196" s="346">
        <v>0</v>
      </c>
      <c r="E196" s="346">
        <v>51</v>
      </c>
      <c r="F196" s="346">
        <v>196</v>
      </c>
      <c r="G196" s="346">
        <v>321</v>
      </c>
      <c r="H196" s="346">
        <v>2057</v>
      </c>
      <c r="I196" s="345">
        <v>1736</v>
      </c>
      <c r="J196" s="345">
        <v>0</v>
      </c>
      <c r="K196" s="347">
        <v>87.01</v>
      </c>
      <c r="L196" s="347">
        <v>88.33</v>
      </c>
      <c r="M196" s="347">
        <v>5.58</v>
      </c>
      <c r="N196" s="347">
        <v>91.38</v>
      </c>
      <c r="O196" s="348">
        <v>1388</v>
      </c>
      <c r="P196" s="345">
        <v>85.98</v>
      </c>
      <c r="Q196" s="345">
        <v>87.25</v>
      </c>
      <c r="R196" s="345">
        <v>31.6</v>
      </c>
      <c r="S196" s="345">
        <v>115.9</v>
      </c>
      <c r="T196" s="345">
        <v>243</v>
      </c>
      <c r="U196" s="345">
        <v>99.95</v>
      </c>
      <c r="V196" s="345">
        <v>90</v>
      </c>
      <c r="W196" s="345">
        <v>0</v>
      </c>
      <c r="X196" s="345">
        <v>0</v>
      </c>
      <c r="Y196" s="345">
        <v>0</v>
      </c>
      <c r="Z196" s="345">
        <v>0</v>
      </c>
      <c r="AA196" s="345">
        <v>1</v>
      </c>
      <c r="AB196" s="345">
        <v>34</v>
      </c>
      <c r="AC196" s="345">
        <v>3</v>
      </c>
      <c r="AD196" s="349">
        <v>1479</v>
      </c>
      <c r="AE196" s="349">
        <v>23</v>
      </c>
      <c r="AF196" s="349">
        <v>1</v>
      </c>
      <c r="AG196" s="349">
        <v>24</v>
      </c>
    </row>
    <row r="197" spans="1:33" x14ac:dyDescent="0.2">
      <c r="A197" s="344" t="s">
        <v>448</v>
      </c>
      <c r="B197" s="350" t="s">
        <v>449</v>
      </c>
      <c r="C197" s="346">
        <v>13905</v>
      </c>
      <c r="D197" s="346">
        <v>18</v>
      </c>
      <c r="E197" s="346">
        <v>352</v>
      </c>
      <c r="F197" s="346">
        <v>3231</v>
      </c>
      <c r="G197" s="346">
        <v>623</v>
      </c>
      <c r="H197" s="346">
        <v>18129</v>
      </c>
      <c r="I197" s="345">
        <v>17506</v>
      </c>
      <c r="J197" s="345">
        <v>38</v>
      </c>
      <c r="K197" s="347">
        <v>77</v>
      </c>
      <c r="L197" s="347">
        <v>74.14</v>
      </c>
      <c r="M197" s="347">
        <v>4.41</v>
      </c>
      <c r="N197" s="347">
        <v>79.59</v>
      </c>
      <c r="O197" s="348">
        <v>12967</v>
      </c>
      <c r="P197" s="345">
        <v>71.099999999999994</v>
      </c>
      <c r="Q197" s="345">
        <v>64.39</v>
      </c>
      <c r="R197" s="345">
        <v>16.82</v>
      </c>
      <c r="S197" s="345">
        <v>87.51</v>
      </c>
      <c r="T197" s="345">
        <v>3494</v>
      </c>
      <c r="U197" s="345">
        <v>99.57</v>
      </c>
      <c r="V197" s="345">
        <v>737</v>
      </c>
      <c r="W197" s="345">
        <v>85.28</v>
      </c>
      <c r="X197" s="345">
        <v>30</v>
      </c>
      <c r="Y197" s="345">
        <v>0</v>
      </c>
      <c r="Z197" s="345">
        <v>52</v>
      </c>
      <c r="AA197" s="345">
        <v>9</v>
      </c>
      <c r="AB197" s="345">
        <v>5</v>
      </c>
      <c r="AC197" s="345">
        <v>3</v>
      </c>
      <c r="AD197" s="349">
        <v>13676</v>
      </c>
      <c r="AE197" s="349">
        <v>146</v>
      </c>
      <c r="AF197" s="349">
        <v>64</v>
      </c>
      <c r="AG197" s="349">
        <v>210</v>
      </c>
    </row>
    <row r="198" spans="1:33" x14ac:dyDescent="0.2">
      <c r="A198" s="344" t="s">
        <v>450</v>
      </c>
      <c r="B198" s="350" t="s">
        <v>451</v>
      </c>
      <c r="C198" s="346">
        <v>3818</v>
      </c>
      <c r="D198" s="346">
        <v>0</v>
      </c>
      <c r="E198" s="346">
        <v>538</v>
      </c>
      <c r="F198" s="346">
        <v>1042</v>
      </c>
      <c r="G198" s="346">
        <v>326</v>
      </c>
      <c r="H198" s="346">
        <v>5724</v>
      </c>
      <c r="I198" s="345">
        <v>5398</v>
      </c>
      <c r="J198" s="345">
        <v>22</v>
      </c>
      <c r="K198" s="347">
        <v>88.98</v>
      </c>
      <c r="L198" s="347">
        <v>88.12</v>
      </c>
      <c r="M198" s="347">
        <v>5.76</v>
      </c>
      <c r="N198" s="347">
        <v>93.46</v>
      </c>
      <c r="O198" s="348">
        <v>3537</v>
      </c>
      <c r="P198" s="345">
        <v>81.53</v>
      </c>
      <c r="Q198" s="345">
        <v>78.61</v>
      </c>
      <c r="R198" s="345">
        <v>36.56</v>
      </c>
      <c r="S198" s="345">
        <v>116.62</v>
      </c>
      <c r="T198" s="345">
        <v>865</v>
      </c>
      <c r="U198" s="345">
        <v>108.35</v>
      </c>
      <c r="V198" s="345">
        <v>193</v>
      </c>
      <c r="W198" s="345">
        <v>0</v>
      </c>
      <c r="X198" s="345">
        <v>0</v>
      </c>
      <c r="Y198" s="345">
        <v>0</v>
      </c>
      <c r="Z198" s="345">
        <v>1</v>
      </c>
      <c r="AA198" s="345">
        <v>2</v>
      </c>
      <c r="AB198" s="345">
        <v>2</v>
      </c>
      <c r="AC198" s="345">
        <v>13</v>
      </c>
      <c r="AD198" s="349">
        <v>3796</v>
      </c>
      <c r="AE198" s="349">
        <v>9</v>
      </c>
      <c r="AF198" s="349">
        <v>7</v>
      </c>
      <c r="AG198" s="349">
        <v>16</v>
      </c>
    </row>
    <row r="199" spans="1:33" x14ac:dyDescent="0.2">
      <c r="A199" s="344" t="s">
        <v>452</v>
      </c>
      <c r="B199" s="350" t="s">
        <v>453</v>
      </c>
      <c r="C199" s="346">
        <v>6421</v>
      </c>
      <c r="D199" s="346">
        <v>5</v>
      </c>
      <c r="E199" s="346">
        <v>1098</v>
      </c>
      <c r="F199" s="346">
        <v>2393</v>
      </c>
      <c r="G199" s="346">
        <v>402</v>
      </c>
      <c r="H199" s="346">
        <v>10319</v>
      </c>
      <c r="I199" s="345">
        <v>9917</v>
      </c>
      <c r="J199" s="345">
        <v>35</v>
      </c>
      <c r="K199" s="347">
        <v>84.42</v>
      </c>
      <c r="L199" s="347">
        <v>83.68</v>
      </c>
      <c r="M199" s="347">
        <v>5.94</v>
      </c>
      <c r="N199" s="347">
        <v>87.96</v>
      </c>
      <c r="O199" s="348">
        <v>5811</v>
      </c>
      <c r="P199" s="345">
        <v>81.38</v>
      </c>
      <c r="Q199" s="345">
        <v>76.48</v>
      </c>
      <c r="R199" s="345">
        <v>40.47</v>
      </c>
      <c r="S199" s="345">
        <v>119.14</v>
      </c>
      <c r="T199" s="345">
        <v>2693</v>
      </c>
      <c r="U199" s="345">
        <v>107.38</v>
      </c>
      <c r="V199" s="345">
        <v>126</v>
      </c>
      <c r="W199" s="345">
        <v>96.28</v>
      </c>
      <c r="X199" s="345">
        <v>44</v>
      </c>
      <c r="Y199" s="345">
        <v>0</v>
      </c>
      <c r="Z199" s="345">
        <v>8</v>
      </c>
      <c r="AA199" s="345">
        <v>41</v>
      </c>
      <c r="AB199" s="345">
        <v>2</v>
      </c>
      <c r="AC199" s="345">
        <v>23</v>
      </c>
      <c r="AD199" s="349">
        <v>6365</v>
      </c>
      <c r="AE199" s="349">
        <v>51</v>
      </c>
      <c r="AF199" s="349">
        <v>61</v>
      </c>
      <c r="AG199" s="349">
        <v>112</v>
      </c>
    </row>
    <row r="200" spans="1:33" x14ac:dyDescent="0.2">
      <c r="A200" s="344" t="s">
        <v>454</v>
      </c>
      <c r="B200" s="350" t="s">
        <v>455</v>
      </c>
      <c r="C200" s="346">
        <v>1863</v>
      </c>
      <c r="D200" s="346">
        <v>5</v>
      </c>
      <c r="E200" s="346">
        <v>121</v>
      </c>
      <c r="F200" s="346">
        <v>307</v>
      </c>
      <c r="G200" s="346">
        <v>267</v>
      </c>
      <c r="H200" s="346">
        <v>2563</v>
      </c>
      <c r="I200" s="345">
        <v>2296</v>
      </c>
      <c r="J200" s="345">
        <v>4</v>
      </c>
      <c r="K200" s="347">
        <v>96.27</v>
      </c>
      <c r="L200" s="347">
        <v>92.86</v>
      </c>
      <c r="M200" s="347">
        <v>6.07</v>
      </c>
      <c r="N200" s="347">
        <v>101.26</v>
      </c>
      <c r="O200" s="348">
        <v>1664</v>
      </c>
      <c r="P200" s="345">
        <v>86.07</v>
      </c>
      <c r="Q200" s="345">
        <v>83.84</v>
      </c>
      <c r="R200" s="345">
        <v>38.72</v>
      </c>
      <c r="S200" s="345">
        <v>123.94</v>
      </c>
      <c r="T200" s="345">
        <v>322</v>
      </c>
      <c r="U200" s="345">
        <v>111.85</v>
      </c>
      <c r="V200" s="345">
        <v>149</v>
      </c>
      <c r="W200" s="345">
        <v>185.13</v>
      </c>
      <c r="X200" s="345">
        <v>4</v>
      </c>
      <c r="Y200" s="345">
        <v>0</v>
      </c>
      <c r="Z200" s="345">
        <v>2</v>
      </c>
      <c r="AA200" s="345">
        <v>0</v>
      </c>
      <c r="AB200" s="345">
        <v>8</v>
      </c>
      <c r="AC200" s="345">
        <v>14</v>
      </c>
      <c r="AD200" s="349">
        <v>1856</v>
      </c>
      <c r="AE200" s="349">
        <v>19</v>
      </c>
      <c r="AF200" s="349">
        <v>3</v>
      </c>
      <c r="AG200" s="349">
        <v>22</v>
      </c>
    </row>
    <row r="201" spans="1:33" x14ac:dyDescent="0.2">
      <c r="A201" s="344" t="s">
        <v>456</v>
      </c>
      <c r="B201" s="350" t="s">
        <v>457</v>
      </c>
      <c r="C201" s="346">
        <v>412</v>
      </c>
      <c r="D201" s="346">
        <v>0</v>
      </c>
      <c r="E201" s="346">
        <v>38</v>
      </c>
      <c r="F201" s="346">
        <v>94</v>
      </c>
      <c r="G201" s="346">
        <v>101</v>
      </c>
      <c r="H201" s="346">
        <v>645</v>
      </c>
      <c r="I201" s="345">
        <v>544</v>
      </c>
      <c r="J201" s="345">
        <v>0</v>
      </c>
      <c r="K201" s="347">
        <v>91.81</v>
      </c>
      <c r="L201" s="347">
        <v>91.49</v>
      </c>
      <c r="M201" s="347">
        <v>5.32</v>
      </c>
      <c r="N201" s="347">
        <v>94.48</v>
      </c>
      <c r="O201" s="348">
        <v>311</v>
      </c>
      <c r="P201" s="345">
        <v>99.81</v>
      </c>
      <c r="Q201" s="345">
        <v>73.8</v>
      </c>
      <c r="R201" s="345">
        <v>30.11</v>
      </c>
      <c r="S201" s="345">
        <v>129.91</v>
      </c>
      <c r="T201" s="345">
        <v>132</v>
      </c>
      <c r="U201" s="345">
        <v>96.98</v>
      </c>
      <c r="V201" s="345">
        <v>34</v>
      </c>
      <c r="W201" s="345">
        <v>0</v>
      </c>
      <c r="X201" s="345">
        <v>0</v>
      </c>
      <c r="Y201" s="345">
        <v>0</v>
      </c>
      <c r="Z201" s="345">
        <v>0</v>
      </c>
      <c r="AA201" s="345">
        <v>0</v>
      </c>
      <c r="AB201" s="345">
        <v>0</v>
      </c>
      <c r="AC201" s="345">
        <v>5</v>
      </c>
      <c r="AD201" s="349">
        <v>377</v>
      </c>
      <c r="AE201" s="349">
        <v>1</v>
      </c>
      <c r="AF201" s="349">
        <v>0</v>
      </c>
      <c r="AG201" s="349">
        <v>1</v>
      </c>
    </row>
    <row r="202" spans="1:33" x14ac:dyDescent="0.2">
      <c r="A202" s="344" t="s">
        <v>458</v>
      </c>
      <c r="B202" s="350" t="s">
        <v>459</v>
      </c>
      <c r="C202" s="346">
        <v>17275</v>
      </c>
      <c r="D202" s="346">
        <v>0</v>
      </c>
      <c r="E202" s="346">
        <v>416</v>
      </c>
      <c r="F202" s="346">
        <v>1144</v>
      </c>
      <c r="G202" s="346">
        <v>105</v>
      </c>
      <c r="H202" s="346">
        <v>18940</v>
      </c>
      <c r="I202" s="345">
        <v>18835</v>
      </c>
      <c r="J202" s="345">
        <v>353</v>
      </c>
      <c r="K202" s="347">
        <v>83.28</v>
      </c>
      <c r="L202" s="347">
        <v>82.96</v>
      </c>
      <c r="M202" s="347">
        <v>1.78</v>
      </c>
      <c r="N202" s="347">
        <v>84.11</v>
      </c>
      <c r="O202" s="348">
        <v>15589</v>
      </c>
      <c r="P202" s="345">
        <v>77.14</v>
      </c>
      <c r="Q202" s="345">
        <v>73.73</v>
      </c>
      <c r="R202" s="345">
        <v>26.06</v>
      </c>
      <c r="S202" s="345">
        <v>100.76</v>
      </c>
      <c r="T202" s="345">
        <v>1519</v>
      </c>
      <c r="U202" s="345">
        <v>102.98</v>
      </c>
      <c r="V202" s="345">
        <v>1226</v>
      </c>
      <c r="W202" s="345">
        <v>86.38</v>
      </c>
      <c r="X202" s="345">
        <v>16</v>
      </c>
      <c r="Y202" s="345">
        <v>23</v>
      </c>
      <c r="Z202" s="345">
        <v>74</v>
      </c>
      <c r="AA202" s="345">
        <v>30</v>
      </c>
      <c r="AB202" s="345">
        <v>5</v>
      </c>
      <c r="AC202" s="345">
        <v>3</v>
      </c>
      <c r="AD202" s="349">
        <v>16677</v>
      </c>
      <c r="AE202" s="349">
        <v>72</v>
      </c>
      <c r="AF202" s="349">
        <v>109</v>
      </c>
      <c r="AG202" s="349">
        <v>181</v>
      </c>
    </row>
    <row r="203" spans="1:33" x14ac:dyDescent="0.2">
      <c r="A203" s="344" t="s">
        <v>460</v>
      </c>
      <c r="B203" s="350" t="s">
        <v>461</v>
      </c>
      <c r="C203" s="346">
        <v>3143</v>
      </c>
      <c r="D203" s="346">
        <v>597</v>
      </c>
      <c r="E203" s="346">
        <v>536</v>
      </c>
      <c r="F203" s="346">
        <v>862</v>
      </c>
      <c r="G203" s="346">
        <v>696</v>
      </c>
      <c r="H203" s="346">
        <v>5834</v>
      </c>
      <c r="I203" s="345">
        <v>5138</v>
      </c>
      <c r="J203" s="345">
        <v>9</v>
      </c>
      <c r="K203" s="347">
        <v>112.5</v>
      </c>
      <c r="L203" s="347">
        <v>109.11</v>
      </c>
      <c r="M203" s="347">
        <v>8.17</v>
      </c>
      <c r="N203" s="347">
        <v>118.76</v>
      </c>
      <c r="O203" s="348">
        <v>2900</v>
      </c>
      <c r="P203" s="345">
        <v>101.31</v>
      </c>
      <c r="Q203" s="345">
        <v>98.44</v>
      </c>
      <c r="R203" s="345">
        <v>44.5</v>
      </c>
      <c r="S203" s="345">
        <v>144.66</v>
      </c>
      <c r="T203" s="345">
        <v>1346</v>
      </c>
      <c r="U203" s="345">
        <v>160.25</v>
      </c>
      <c r="V203" s="345">
        <v>32</v>
      </c>
      <c r="W203" s="345">
        <v>0</v>
      </c>
      <c r="X203" s="345">
        <v>0</v>
      </c>
      <c r="Y203" s="345">
        <v>0</v>
      </c>
      <c r="Z203" s="345">
        <v>1</v>
      </c>
      <c r="AA203" s="345">
        <v>0</v>
      </c>
      <c r="AB203" s="345">
        <v>8</v>
      </c>
      <c r="AC203" s="345">
        <v>28</v>
      </c>
      <c r="AD203" s="349">
        <v>3142</v>
      </c>
      <c r="AE203" s="349">
        <v>14</v>
      </c>
      <c r="AF203" s="349">
        <v>11</v>
      </c>
      <c r="AG203" s="349">
        <v>25</v>
      </c>
    </row>
    <row r="204" spans="1:33" x14ac:dyDescent="0.2">
      <c r="A204" s="344" t="s">
        <v>462</v>
      </c>
      <c r="B204" s="350" t="s">
        <v>463</v>
      </c>
      <c r="C204" s="346">
        <v>3010</v>
      </c>
      <c r="D204" s="346">
        <v>0</v>
      </c>
      <c r="E204" s="346">
        <v>166</v>
      </c>
      <c r="F204" s="346">
        <v>1370</v>
      </c>
      <c r="G204" s="346">
        <v>5</v>
      </c>
      <c r="H204" s="346">
        <v>4551</v>
      </c>
      <c r="I204" s="345">
        <v>4546</v>
      </c>
      <c r="J204" s="345">
        <v>4</v>
      </c>
      <c r="K204" s="347">
        <v>76.489999999999995</v>
      </c>
      <c r="L204" s="347">
        <v>76.489999999999995</v>
      </c>
      <c r="M204" s="347">
        <v>1.94</v>
      </c>
      <c r="N204" s="347">
        <v>78.13</v>
      </c>
      <c r="O204" s="348">
        <v>2850</v>
      </c>
      <c r="P204" s="345">
        <v>71.83</v>
      </c>
      <c r="Q204" s="345">
        <v>67.989999999999995</v>
      </c>
      <c r="R204" s="345">
        <v>7.86</v>
      </c>
      <c r="S204" s="345">
        <v>79.66</v>
      </c>
      <c r="T204" s="345">
        <v>1448</v>
      </c>
      <c r="U204" s="345">
        <v>93.56</v>
      </c>
      <c r="V204" s="345">
        <v>158</v>
      </c>
      <c r="W204" s="345">
        <v>0</v>
      </c>
      <c r="X204" s="345">
        <v>0</v>
      </c>
      <c r="Y204" s="345">
        <v>0</v>
      </c>
      <c r="Z204" s="345">
        <v>33</v>
      </c>
      <c r="AA204" s="345">
        <v>2</v>
      </c>
      <c r="AB204" s="345">
        <v>0</v>
      </c>
      <c r="AC204" s="345">
        <v>0</v>
      </c>
      <c r="AD204" s="349">
        <v>3009</v>
      </c>
      <c r="AE204" s="349">
        <v>29</v>
      </c>
      <c r="AF204" s="349">
        <v>6</v>
      </c>
      <c r="AG204" s="349">
        <v>35</v>
      </c>
    </row>
    <row r="205" spans="1:33" x14ac:dyDescent="0.2">
      <c r="A205" s="344" t="s">
        <v>464</v>
      </c>
      <c r="B205" s="350" t="s">
        <v>465</v>
      </c>
      <c r="C205" s="346">
        <v>12839</v>
      </c>
      <c r="D205" s="346">
        <v>40</v>
      </c>
      <c r="E205" s="346">
        <v>736</v>
      </c>
      <c r="F205" s="346">
        <v>2096</v>
      </c>
      <c r="G205" s="346">
        <v>872</v>
      </c>
      <c r="H205" s="346">
        <v>16583</v>
      </c>
      <c r="I205" s="345">
        <v>15711</v>
      </c>
      <c r="J205" s="345">
        <v>23</v>
      </c>
      <c r="K205" s="347">
        <v>86.54</v>
      </c>
      <c r="L205" s="347">
        <v>86.88</v>
      </c>
      <c r="M205" s="347">
        <v>4.2300000000000004</v>
      </c>
      <c r="N205" s="347">
        <v>88.56</v>
      </c>
      <c r="O205" s="348">
        <v>11388</v>
      </c>
      <c r="P205" s="345">
        <v>84.8</v>
      </c>
      <c r="Q205" s="345">
        <v>83.04</v>
      </c>
      <c r="R205" s="345">
        <v>29.31</v>
      </c>
      <c r="S205" s="345">
        <v>112.45</v>
      </c>
      <c r="T205" s="345">
        <v>2578</v>
      </c>
      <c r="U205" s="345">
        <v>102.79</v>
      </c>
      <c r="V205" s="345">
        <v>1193</v>
      </c>
      <c r="W205" s="345">
        <v>191.97</v>
      </c>
      <c r="X205" s="345">
        <v>100</v>
      </c>
      <c r="Y205" s="345">
        <v>0</v>
      </c>
      <c r="Z205" s="345">
        <v>51</v>
      </c>
      <c r="AA205" s="345">
        <v>10</v>
      </c>
      <c r="AB205" s="345">
        <v>59</v>
      </c>
      <c r="AC205" s="345">
        <v>18</v>
      </c>
      <c r="AD205" s="349">
        <v>12839</v>
      </c>
      <c r="AE205" s="349">
        <v>122</v>
      </c>
      <c r="AF205" s="349">
        <v>12</v>
      </c>
      <c r="AG205" s="349">
        <v>134</v>
      </c>
    </row>
    <row r="206" spans="1:33" x14ac:dyDescent="0.2">
      <c r="A206" s="344" t="s">
        <v>466</v>
      </c>
      <c r="B206" s="350" t="s">
        <v>467</v>
      </c>
      <c r="C206" s="346">
        <v>20225</v>
      </c>
      <c r="D206" s="346">
        <v>0</v>
      </c>
      <c r="E206" s="346">
        <v>470</v>
      </c>
      <c r="F206" s="346">
        <v>1545</v>
      </c>
      <c r="G206" s="346">
        <v>901</v>
      </c>
      <c r="H206" s="346">
        <v>23141</v>
      </c>
      <c r="I206" s="345">
        <v>22240</v>
      </c>
      <c r="J206" s="345">
        <v>5</v>
      </c>
      <c r="K206" s="347">
        <v>73.959999999999994</v>
      </c>
      <c r="L206" s="347">
        <v>76.94</v>
      </c>
      <c r="M206" s="347">
        <v>5.66</v>
      </c>
      <c r="N206" s="347">
        <v>77.44</v>
      </c>
      <c r="O206" s="348">
        <v>18537</v>
      </c>
      <c r="P206" s="345">
        <v>68.41</v>
      </c>
      <c r="Q206" s="345">
        <v>69.5</v>
      </c>
      <c r="R206" s="345">
        <v>33.659999999999997</v>
      </c>
      <c r="S206" s="345">
        <v>101.36</v>
      </c>
      <c r="T206" s="345">
        <v>1909</v>
      </c>
      <c r="U206" s="345">
        <v>104.13</v>
      </c>
      <c r="V206" s="345">
        <v>1267</v>
      </c>
      <c r="W206" s="345">
        <v>0</v>
      </c>
      <c r="X206" s="345">
        <v>0</v>
      </c>
      <c r="Y206" s="345">
        <v>111</v>
      </c>
      <c r="Z206" s="345">
        <v>87</v>
      </c>
      <c r="AA206" s="345">
        <v>48</v>
      </c>
      <c r="AB206" s="345">
        <v>42</v>
      </c>
      <c r="AC206" s="345">
        <v>23</v>
      </c>
      <c r="AD206" s="349">
        <v>19808</v>
      </c>
      <c r="AE206" s="349">
        <v>70</v>
      </c>
      <c r="AF206" s="349">
        <v>239</v>
      </c>
      <c r="AG206" s="349">
        <v>309</v>
      </c>
    </row>
    <row r="207" spans="1:33" x14ac:dyDescent="0.2">
      <c r="A207" s="344" t="s">
        <v>468</v>
      </c>
      <c r="B207" s="350" t="s">
        <v>469</v>
      </c>
      <c r="C207" s="346">
        <v>4737</v>
      </c>
      <c r="D207" s="346">
        <v>6</v>
      </c>
      <c r="E207" s="346">
        <v>482</v>
      </c>
      <c r="F207" s="346">
        <v>832</v>
      </c>
      <c r="G207" s="346">
        <v>774</v>
      </c>
      <c r="H207" s="346">
        <v>6831</v>
      </c>
      <c r="I207" s="345">
        <v>6057</v>
      </c>
      <c r="J207" s="345">
        <v>3</v>
      </c>
      <c r="K207" s="347">
        <v>99.17</v>
      </c>
      <c r="L207" s="347">
        <v>99.34</v>
      </c>
      <c r="M207" s="347">
        <v>8.18</v>
      </c>
      <c r="N207" s="347">
        <v>105.76</v>
      </c>
      <c r="O207" s="348">
        <v>3754</v>
      </c>
      <c r="P207" s="345">
        <v>84.29</v>
      </c>
      <c r="Q207" s="345">
        <v>81.849999999999994</v>
      </c>
      <c r="R207" s="345">
        <v>28.31</v>
      </c>
      <c r="S207" s="345">
        <v>110.14</v>
      </c>
      <c r="T207" s="345">
        <v>633</v>
      </c>
      <c r="U207" s="345">
        <v>123.51</v>
      </c>
      <c r="V207" s="345">
        <v>529</v>
      </c>
      <c r="W207" s="345">
        <v>169.32</v>
      </c>
      <c r="X207" s="345">
        <v>154</v>
      </c>
      <c r="Y207" s="345">
        <v>0</v>
      </c>
      <c r="Z207" s="345">
        <v>1</v>
      </c>
      <c r="AA207" s="345">
        <v>5</v>
      </c>
      <c r="AB207" s="345">
        <v>17</v>
      </c>
      <c r="AC207" s="345">
        <v>8</v>
      </c>
      <c r="AD207" s="349">
        <v>4564</v>
      </c>
      <c r="AE207" s="349">
        <v>42</v>
      </c>
      <c r="AF207" s="349">
        <v>14</v>
      </c>
      <c r="AG207" s="349">
        <v>56</v>
      </c>
    </row>
    <row r="208" spans="1:33" x14ac:dyDescent="0.2">
      <c r="A208" s="344" t="s">
        <v>470</v>
      </c>
      <c r="B208" s="350" t="s">
        <v>471</v>
      </c>
      <c r="C208" s="346">
        <v>9755</v>
      </c>
      <c r="D208" s="346">
        <v>7</v>
      </c>
      <c r="E208" s="346">
        <v>370</v>
      </c>
      <c r="F208" s="346">
        <v>1176</v>
      </c>
      <c r="G208" s="346">
        <v>364</v>
      </c>
      <c r="H208" s="346">
        <v>11672</v>
      </c>
      <c r="I208" s="345">
        <v>11308</v>
      </c>
      <c r="J208" s="345">
        <v>9</v>
      </c>
      <c r="K208" s="347">
        <v>78.739999999999995</v>
      </c>
      <c r="L208" s="347">
        <v>76.680000000000007</v>
      </c>
      <c r="M208" s="347">
        <v>5.96</v>
      </c>
      <c r="N208" s="347">
        <v>81.2</v>
      </c>
      <c r="O208" s="348">
        <v>9344</v>
      </c>
      <c r="P208" s="345">
        <v>76.55</v>
      </c>
      <c r="Q208" s="345">
        <v>69.02</v>
      </c>
      <c r="R208" s="345">
        <v>31.59</v>
      </c>
      <c r="S208" s="345">
        <v>102.51</v>
      </c>
      <c r="T208" s="345">
        <v>1503</v>
      </c>
      <c r="U208" s="345">
        <v>99.78</v>
      </c>
      <c r="V208" s="345">
        <v>392</v>
      </c>
      <c r="W208" s="345">
        <v>0</v>
      </c>
      <c r="X208" s="345">
        <v>0</v>
      </c>
      <c r="Y208" s="345">
        <v>1</v>
      </c>
      <c r="Z208" s="345">
        <v>40</v>
      </c>
      <c r="AA208" s="345">
        <v>15</v>
      </c>
      <c r="AB208" s="345">
        <v>0</v>
      </c>
      <c r="AC208" s="345">
        <v>6</v>
      </c>
      <c r="AD208" s="349">
        <v>9735</v>
      </c>
      <c r="AE208" s="349">
        <v>33</v>
      </c>
      <c r="AF208" s="349">
        <v>58</v>
      </c>
      <c r="AG208" s="349">
        <v>91</v>
      </c>
    </row>
    <row r="209" spans="1:33" x14ac:dyDescent="0.2">
      <c r="A209" s="344" t="s">
        <v>472</v>
      </c>
      <c r="B209" s="350" t="s">
        <v>473</v>
      </c>
      <c r="C209" s="346">
        <v>3457</v>
      </c>
      <c r="D209" s="346">
        <v>48</v>
      </c>
      <c r="E209" s="346">
        <v>318</v>
      </c>
      <c r="F209" s="346">
        <v>512</v>
      </c>
      <c r="G209" s="346">
        <v>936</v>
      </c>
      <c r="H209" s="346">
        <v>5271</v>
      </c>
      <c r="I209" s="345">
        <v>4335</v>
      </c>
      <c r="J209" s="345">
        <v>27</v>
      </c>
      <c r="K209" s="347">
        <v>118.87</v>
      </c>
      <c r="L209" s="347">
        <v>117.66</v>
      </c>
      <c r="M209" s="347">
        <v>8.44</v>
      </c>
      <c r="N209" s="347">
        <v>126.78</v>
      </c>
      <c r="O209" s="348">
        <v>2823</v>
      </c>
      <c r="P209" s="345">
        <v>109.51</v>
      </c>
      <c r="Q209" s="345">
        <v>105.3</v>
      </c>
      <c r="R209" s="345">
        <v>63.38</v>
      </c>
      <c r="S209" s="345">
        <v>169.18</v>
      </c>
      <c r="T209" s="345">
        <v>701</v>
      </c>
      <c r="U209" s="345">
        <v>150.61000000000001</v>
      </c>
      <c r="V209" s="345">
        <v>178</v>
      </c>
      <c r="W209" s="345">
        <v>152.84</v>
      </c>
      <c r="X209" s="345">
        <v>43</v>
      </c>
      <c r="Y209" s="345">
        <v>23</v>
      </c>
      <c r="Z209" s="345">
        <v>6</v>
      </c>
      <c r="AA209" s="345">
        <v>0</v>
      </c>
      <c r="AB209" s="345">
        <v>15</v>
      </c>
      <c r="AC209" s="345">
        <v>56</v>
      </c>
      <c r="AD209" s="349">
        <v>3308</v>
      </c>
      <c r="AE209" s="349">
        <v>10</v>
      </c>
      <c r="AF209" s="349">
        <v>6</v>
      </c>
      <c r="AG209" s="349">
        <v>16</v>
      </c>
    </row>
    <row r="210" spans="1:33" x14ac:dyDescent="0.2">
      <c r="A210" s="344" t="s">
        <v>474</v>
      </c>
      <c r="B210" s="350" t="s">
        <v>475</v>
      </c>
      <c r="C210" s="346">
        <v>3334</v>
      </c>
      <c r="D210" s="346">
        <v>0</v>
      </c>
      <c r="E210" s="346">
        <v>549</v>
      </c>
      <c r="F210" s="346">
        <v>926</v>
      </c>
      <c r="G210" s="346">
        <v>583</v>
      </c>
      <c r="H210" s="346">
        <v>5392</v>
      </c>
      <c r="I210" s="345">
        <v>4809</v>
      </c>
      <c r="J210" s="345">
        <v>15</v>
      </c>
      <c r="K210" s="347">
        <v>129.59</v>
      </c>
      <c r="L210" s="347">
        <v>123.62</v>
      </c>
      <c r="M210" s="347">
        <v>10.73</v>
      </c>
      <c r="N210" s="347">
        <v>135.5</v>
      </c>
      <c r="O210" s="348">
        <v>2966</v>
      </c>
      <c r="P210" s="345">
        <v>101.23</v>
      </c>
      <c r="Q210" s="345">
        <v>99</v>
      </c>
      <c r="R210" s="345">
        <v>43.45</v>
      </c>
      <c r="S210" s="345">
        <v>143.91</v>
      </c>
      <c r="T210" s="345">
        <v>1293</v>
      </c>
      <c r="U210" s="345">
        <v>157.41999999999999</v>
      </c>
      <c r="V210" s="345">
        <v>104</v>
      </c>
      <c r="W210" s="345">
        <v>131.80000000000001</v>
      </c>
      <c r="X210" s="345">
        <v>55</v>
      </c>
      <c r="Y210" s="345">
        <v>0</v>
      </c>
      <c r="Z210" s="345">
        <v>6</v>
      </c>
      <c r="AA210" s="345">
        <v>0</v>
      </c>
      <c r="AB210" s="345">
        <v>7</v>
      </c>
      <c r="AC210" s="345">
        <v>39</v>
      </c>
      <c r="AD210" s="349">
        <v>3214</v>
      </c>
      <c r="AE210" s="349">
        <v>8</v>
      </c>
      <c r="AF210" s="349">
        <v>10</v>
      </c>
      <c r="AG210" s="349">
        <v>18</v>
      </c>
    </row>
    <row r="211" spans="1:33" x14ac:dyDescent="0.2">
      <c r="A211" s="344" t="s">
        <v>476</v>
      </c>
      <c r="B211" s="350" t="s">
        <v>477</v>
      </c>
      <c r="C211" s="346">
        <v>11420</v>
      </c>
      <c r="D211" s="346">
        <v>4</v>
      </c>
      <c r="E211" s="346">
        <v>181</v>
      </c>
      <c r="F211" s="346">
        <v>554</v>
      </c>
      <c r="G211" s="346">
        <v>225</v>
      </c>
      <c r="H211" s="346">
        <v>12384</v>
      </c>
      <c r="I211" s="345">
        <v>12159</v>
      </c>
      <c r="J211" s="345">
        <v>266</v>
      </c>
      <c r="K211" s="347">
        <v>87.33</v>
      </c>
      <c r="L211" s="347">
        <v>87.63</v>
      </c>
      <c r="M211" s="347">
        <v>5.92</v>
      </c>
      <c r="N211" s="347">
        <v>90.28</v>
      </c>
      <c r="O211" s="348">
        <v>11109</v>
      </c>
      <c r="P211" s="345">
        <v>81.03</v>
      </c>
      <c r="Q211" s="345">
        <v>76.55</v>
      </c>
      <c r="R211" s="345">
        <v>37.28</v>
      </c>
      <c r="S211" s="345">
        <v>117.6</v>
      </c>
      <c r="T211" s="345">
        <v>680</v>
      </c>
      <c r="U211" s="345">
        <v>106.79</v>
      </c>
      <c r="V211" s="345">
        <v>183</v>
      </c>
      <c r="W211" s="345">
        <v>0</v>
      </c>
      <c r="X211" s="345">
        <v>0</v>
      </c>
      <c r="Y211" s="345">
        <v>0</v>
      </c>
      <c r="Z211" s="345">
        <v>31</v>
      </c>
      <c r="AA211" s="345">
        <v>0</v>
      </c>
      <c r="AB211" s="345">
        <v>33</v>
      </c>
      <c r="AC211" s="345">
        <v>8</v>
      </c>
      <c r="AD211" s="349">
        <v>11420</v>
      </c>
      <c r="AE211" s="349">
        <v>155</v>
      </c>
      <c r="AF211" s="349">
        <v>228</v>
      </c>
      <c r="AG211" s="349">
        <v>383</v>
      </c>
    </row>
    <row r="212" spans="1:33" x14ac:dyDescent="0.2">
      <c r="A212" s="344" t="s">
        <v>478</v>
      </c>
      <c r="B212" s="350" t="s">
        <v>479</v>
      </c>
      <c r="C212" s="346">
        <v>1664</v>
      </c>
      <c r="D212" s="346">
        <v>0</v>
      </c>
      <c r="E212" s="346">
        <v>132</v>
      </c>
      <c r="F212" s="346">
        <v>137</v>
      </c>
      <c r="G212" s="346">
        <v>149</v>
      </c>
      <c r="H212" s="346">
        <v>2082</v>
      </c>
      <c r="I212" s="345">
        <v>1933</v>
      </c>
      <c r="J212" s="345">
        <v>0</v>
      </c>
      <c r="K212" s="347">
        <v>87.16</v>
      </c>
      <c r="L212" s="347">
        <v>85.37</v>
      </c>
      <c r="M212" s="347">
        <v>4.49</v>
      </c>
      <c r="N212" s="347">
        <v>91.06</v>
      </c>
      <c r="O212" s="348">
        <v>1077</v>
      </c>
      <c r="P212" s="345">
        <v>94.43</v>
      </c>
      <c r="Q212" s="345">
        <v>85.04</v>
      </c>
      <c r="R212" s="345">
        <v>44.05</v>
      </c>
      <c r="S212" s="345">
        <v>134.76</v>
      </c>
      <c r="T212" s="345">
        <v>213</v>
      </c>
      <c r="U212" s="345">
        <v>109.9</v>
      </c>
      <c r="V212" s="345">
        <v>156</v>
      </c>
      <c r="W212" s="345">
        <v>142.18</v>
      </c>
      <c r="X212" s="345">
        <v>1</v>
      </c>
      <c r="Y212" s="345">
        <v>44</v>
      </c>
      <c r="Z212" s="345">
        <v>0</v>
      </c>
      <c r="AA212" s="345">
        <v>0</v>
      </c>
      <c r="AB212" s="345">
        <v>6</v>
      </c>
      <c r="AC212" s="345">
        <v>5</v>
      </c>
      <c r="AD212" s="349">
        <v>1304</v>
      </c>
      <c r="AE212" s="349">
        <v>5</v>
      </c>
      <c r="AF212" s="349">
        <v>0</v>
      </c>
      <c r="AG212" s="349">
        <v>5</v>
      </c>
    </row>
    <row r="213" spans="1:33" x14ac:dyDescent="0.2">
      <c r="A213" s="344" t="s">
        <v>480</v>
      </c>
      <c r="B213" s="350" t="s">
        <v>481</v>
      </c>
      <c r="C213" s="346">
        <v>6021</v>
      </c>
      <c r="D213" s="346">
        <v>240</v>
      </c>
      <c r="E213" s="346">
        <v>397</v>
      </c>
      <c r="F213" s="346">
        <v>626</v>
      </c>
      <c r="G213" s="346">
        <v>694</v>
      </c>
      <c r="H213" s="346">
        <v>7978</v>
      </c>
      <c r="I213" s="345">
        <v>7284</v>
      </c>
      <c r="J213" s="345">
        <v>10</v>
      </c>
      <c r="K213" s="347">
        <v>118.17</v>
      </c>
      <c r="L213" s="347">
        <v>118.6</v>
      </c>
      <c r="M213" s="347">
        <v>3.79</v>
      </c>
      <c r="N213" s="347">
        <v>121.78</v>
      </c>
      <c r="O213" s="348">
        <v>5295</v>
      </c>
      <c r="P213" s="345">
        <v>104.96</v>
      </c>
      <c r="Q213" s="345">
        <v>99.48</v>
      </c>
      <c r="R213" s="345">
        <v>20.190000000000001</v>
      </c>
      <c r="S213" s="345">
        <v>123.3</v>
      </c>
      <c r="T213" s="345">
        <v>656</v>
      </c>
      <c r="U213" s="345">
        <v>138.63999999999999</v>
      </c>
      <c r="V213" s="345">
        <v>591</v>
      </c>
      <c r="W213" s="345">
        <v>185.34</v>
      </c>
      <c r="X213" s="345">
        <v>89</v>
      </c>
      <c r="Y213" s="345">
        <v>0</v>
      </c>
      <c r="Z213" s="345">
        <v>32</v>
      </c>
      <c r="AA213" s="345">
        <v>0</v>
      </c>
      <c r="AB213" s="345">
        <v>32</v>
      </c>
      <c r="AC213" s="345">
        <v>22</v>
      </c>
      <c r="AD213" s="349">
        <v>6021</v>
      </c>
      <c r="AE213" s="349">
        <v>27</v>
      </c>
      <c r="AF213" s="349">
        <v>14</v>
      </c>
      <c r="AG213" s="349">
        <v>41</v>
      </c>
    </row>
    <row r="214" spans="1:33" x14ac:dyDescent="0.2">
      <c r="A214" s="344" t="s">
        <v>482</v>
      </c>
      <c r="B214" s="350" t="s">
        <v>483</v>
      </c>
      <c r="C214" s="346">
        <v>1154</v>
      </c>
      <c r="D214" s="346">
        <v>0</v>
      </c>
      <c r="E214" s="346">
        <v>89</v>
      </c>
      <c r="F214" s="346">
        <v>715</v>
      </c>
      <c r="G214" s="346">
        <v>186</v>
      </c>
      <c r="H214" s="346">
        <v>2144</v>
      </c>
      <c r="I214" s="345">
        <v>1958</v>
      </c>
      <c r="J214" s="345">
        <v>5</v>
      </c>
      <c r="K214" s="347">
        <v>88.56</v>
      </c>
      <c r="L214" s="347">
        <v>88.42</v>
      </c>
      <c r="M214" s="347">
        <v>3.24</v>
      </c>
      <c r="N214" s="347">
        <v>90.79</v>
      </c>
      <c r="O214" s="348">
        <v>969</v>
      </c>
      <c r="P214" s="345">
        <v>77.510000000000005</v>
      </c>
      <c r="Q214" s="345">
        <v>74.84</v>
      </c>
      <c r="R214" s="345">
        <v>13.32</v>
      </c>
      <c r="S214" s="345">
        <v>89.81</v>
      </c>
      <c r="T214" s="345">
        <v>781</v>
      </c>
      <c r="U214" s="345">
        <v>110.58</v>
      </c>
      <c r="V214" s="345">
        <v>169</v>
      </c>
      <c r="W214" s="345">
        <v>104.31</v>
      </c>
      <c r="X214" s="345">
        <v>6</v>
      </c>
      <c r="Y214" s="345">
        <v>0</v>
      </c>
      <c r="Z214" s="345">
        <v>6</v>
      </c>
      <c r="AA214" s="345">
        <v>0</v>
      </c>
      <c r="AB214" s="345">
        <v>11</v>
      </c>
      <c r="AC214" s="345">
        <v>4</v>
      </c>
      <c r="AD214" s="349">
        <v>1154</v>
      </c>
      <c r="AE214" s="349">
        <v>6</v>
      </c>
      <c r="AF214" s="349">
        <v>8</v>
      </c>
      <c r="AG214" s="349">
        <v>14</v>
      </c>
    </row>
    <row r="215" spans="1:33" x14ac:dyDescent="0.2">
      <c r="A215" s="344" t="s">
        <v>484</v>
      </c>
      <c r="B215" s="350" t="s">
        <v>485</v>
      </c>
      <c r="C215" s="346">
        <v>8694</v>
      </c>
      <c r="D215" s="346">
        <v>9</v>
      </c>
      <c r="E215" s="346">
        <v>306</v>
      </c>
      <c r="F215" s="346">
        <v>840</v>
      </c>
      <c r="G215" s="346">
        <v>562</v>
      </c>
      <c r="H215" s="346">
        <v>10411</v>
      </c>
      <c r="I215" s="345">
        <v>9849</v>
      </c>
      <c r="J215" s="345">
        <v>29</v>
      </c>
      <c r="K215" s="347">
        <v>119.1</v>
      </c>
      <c r="L215" s="347">
        <v>134.96</v>
      </c>
      <c r="M215" s="347">
        <v>9.33</v>
      </c>
      <c r="N215" s="347">
        <v>125.28</v>
      </c>
      <c r="O215" s="348">
        <v>8175</v>
      </c>
      <c r="P215" s="345">
        <v>114.81</v>
      </c>
      <c r="Q215" s="345">
        <v>114.54</v>
      </c>
      <c r="R215" s="345">
        <v>28.5</v>
      </c>
      <c r="S215" s="345">
        <v>141.4</v>
      </c>
      <c r="T215" s="345">
        <v>1091</v>
      </c>
      <c r="U215" s="345">
        <v>189.93</v>
      </c>
      <c r="V215" s="345">
        <v>422</v>
      </c>
      <c r="W215" s="345">
        <v>202.32</v>
      </c>
      <c r="X215" s="345">
        <v>7</v>
      </c>
      <c r="Y215" s="345">
        <v>0</v>
      </c>
      <c r="Z215" s="345">
        <v>23</v>
      </c>
      <c r="AA215" s="345">
        <v>50</v>
      </c>
      <c r="AB215" s="345">
        <v>6</v>
      </c>
      <c r="AC215" s="345">
        <v>20</v>
      </c>
      <c r="AD215" s="349">
        <v>8604</v>
      </c>
      <c r="AE215" s="349">
        <v>12</v>
      </c>
      <c r="AF215" s="349">
        <v>39</v>
      </c>
      <c r="AG215" s="349">
        <v>51</v>
      </c>
    </row>
    <row r="216" spans="1:33" x14ac:dyDescent="0.2">
      <c r="A216" s="344" t="s">
        <v>486</v>
      </c>
      <c r="B216" s="350" t="s">
        <v>487</v>
      </c>
      <c r="C216" s="346">
        <v>583</v>
      </c>
      <c r="D216" s="346">
        <v>4</v>
      </c>
      <c r="E216" s="346">
        <v>84</v>
      </c>
      <c r="F216" s="346">
        <v>97</v>
      </c>
      <c r="G216" s="346">
        <v>51</v>
      </c>
      <c r="H216" s="346">
        <v>819</v>
      </c>
      <c r="I216" s="345">
        <v>768</v>
      </c>
      <c r="J216" s="345">
        <v>0</v>
      </c>
      <c r="K216" s="347">
        <v>91.66</v>
      </c>
      <c r="L216" s="347">
        <v>91.36</v>
      </c>
      <c r="M216" s="347">
        <v>3.48</v>
      </c>
      <c r="N216" s="347">
        <v>94.11</v>
      </c>
      <c r="O216" s="348">
        <v>503</v>
      </c>
      <c r="P216" s="345">
        <v>108.88</v>
      </c>
      <c r="Q216" s="345">
        <v>99.65</v>
      </c>
      <c r="R216" s="345">
        <v>50.59</v>
      </c>
      <c r="S216" s="345">
        <v>159.47</v>
      </c>
      <c r="T216" s="345">
        <v>131</v>
      </c>
      <c r="U216" s="345">
        <v>104.47</v>
      </c>
      <c r="V216" s="345">
        <v>56</v>
      </c>
      <c r="W216" s="345">
        <v>166.78</v>
      </c>
      <c r="X216" s="345">
        <v>40</v>
      </c>
      <c r="Y216" s="345">
        <v>0</v>
      </c>
      <c r="Z216" s="345">
        <v>0</v>
      </c>
      <c r="AA216" s="345">
        <v>0</v>
      </c>
      <c r="AB216" s="345">
        <v>0</v>
      </c>
      <c r="AC216" s="345">
        <v>0</v>
      </c>
      <c r="AD216" s="349">
        <v>583</v>
      </c>
      <c r="AE216" s="349">
        <v>4</v>
      </c>
      <c r="AF216" s="349">
        <v>5</v>
      </c>
      <c r="AG216" s="349">
        <v>9</v>
      </c>
    </row>
    <row r="217" spans="1:33" x14ac:dyDescent="0.2">
      <c r="A217" s="344" t="s">
        <v>488</v>
      </c>
      <c r="B217" s="350" t="s">
        <v>489</v>
      </c>
      <c r="C217" s="346">
        <v>18868</v>
      </c>
      <c r="D217" s="346">
        <v>0</v>
      </c>
      <c r="E217" s="346">
        <v>525</v>
      </c>
      <c r="F217" s="346">
        <v>1979</v>
      </c>
      <c r="G217" s="346">
        <v>141</v>
      </c>
      <c r="H217" s="346">
        <v>21513</v>
      </c>
      <c r="I217" s="345">
        <v>21372</v>
      </c>
      <c r="J217" s="345">
        <v>26</v>
      </c>
      <c r="K217" s="347">
        <v>75.599999999999994</v>
      </c>
      <c r="L217" s="347">
        <v>78.540000000000006</v>
      </c>
      <c r="M217" s="347">
        <v>4.1900000000000004</v>
      </c>
      <c r="N217" s="347">
        <v>79.25</v>
      </c>
      <c r="O217" s="348">
        <v>17919</v>
      </c>
      <c r="P217" s="345">
        <v>73.5</v>
      </c>
      <c r="Q217" s="345">
        <v>70.459999999999994</v>
      </c>
      <c r="R217" s="345">
        <v>29.3</v>
      </c>
      <c r="S217" s="345">
        <v>101.31</v>
      </c>
      <c r="T217" s="345">
        <v>2437</v>
      </c>
      <c r="U217" s="345">
        <v>95.74</v>
      </c>
      <c r="V217" s="345">
        <v>858</v>
      </c>
      <c r="W217" s="345">
        <v>0</v>
      </c>
      <c r="X217" s="345">
        <v>0</v>
      </c>
      <c r="Y217" s="345">
        <v>0</v>
      </c>
      <c r="Z217" s="345">
        <v>112</v>
      </c>
      <c r="AA217" s="345">
        <v>3</v>
      </c>
      <c r="AB217" s="345">
        <v>0</v>
      </c>
      <c r="AC217" s="345">
        <v>9</v>
      </c>
      <c r="AD217" s="349">
        <v>18801</v>
      </c>
      <c r="AE217" s="349">
        <v>290</v>
      </c>
      <c r="AF217" s="349">
        <v>55</v>
      </c>
      <c r="AG217" s="349">
        <v>345</v>
      </c>
    </row>
    <row r="218" spans="1:33" x14ac:dyDescent="0.2">
      <c r="A218" s="344" t="s">
        <v>490</v>
      </c>
      <c r="B218" s="350" t="s">
        <v>491</v>
      </c>
      <c r="C218" s="346">
        <v>2053</v>
      </c>
      <c r="D218" s="346">
        <v>0</v>
      </c>
      <c r="E218" s="346">
        <v>44</v>
      </c>
      <c r="F218" s="346">
        <v>717</v>
      </c>
      <c r="G218" s="346">
        <v>209</v>
      </c>
      <c r="H218" s="346">
        <v>3023</v>
      </c>
      <c r="I218" s="345">
        <v>2814</v>
      </c>
      <c r="J218" s="345">
        <v>7</v>
      </c>
      <c r="K218" s="347">
        <v>99.85</v>
      </c>
      <c r="L218" s="347">
        <v>101.66</v>
      </c>
      <c r="M218" s="347">
        <v>7.19</v>
      </c>
      <c r="N218" s="347">
        <v>102</v>
      </c>
      <c r="O218" s="348">
        <v>1799</v>
      </c>
      <c r="P218" s="345">
        <v>85.29</v>
      </c>
      <c r="Q218" s="345">
        <v>86.26</v>
      </c>
      <c r="R218" s="345">
        <v>35.69</v>
      </c>
      <c r="S218" s="345">
        <v>120.83</v>
      </c>
      <c r="T218" s="345">
        <v>757</v>
      </c>
      <c r="U218" s="345">
        <v>138.35</v>
      </c>
      <c r="V218" s="345">
        <v>253</v>
      </c>
      <c r="W218" s="345">
        <v>0</v>
      </c>
      <c r="X218" s="345">
        <v>0</v>
      </c>
      <c r="Y218" s="345">
        <v>0</v>
      </c>
      <c r="Z218" s="345">
        <v>3</v>
      </c>
      <c r="AA218" s="345">
        <v>1</v>
      </c>
      <c r="AB218" s="345">
        <v>14</v>
      </c>
      <c r="AC218" s="345">
        <v>0</v>
      </c>
      <c r="AD218" s="349">
        <v>2053</v>
      </c>
      <c r="AE218" s="349">
        <v>3</v>
      </c>
      <c r="AF218" s="349">
        <v>3</v>
      </c>
      <c r="AG218" s="349">
        <v>6</v>
      </c>
    </row>
    <row r="219" spans="1:33" x14ac:dyDescent="0.2">
      <c r="A219" s="344" t="s">
        <v>492</v>
      </c>
      <c r="B219" s="350" t="s">
        <v>493</v>
      </c>
      <c r="C219" s="346">
        <v>4198</v>
      </c>
      <c r="D219" s="346">
        <v>0</v>
      </c>
      <c r="E219" s="346">
        <v>64</v>
      </c>
      <c r="F219" s="346">
        <v>400</v>
      </c>
      <c r="G219" s="346">
        <v>30</v>
      </c>
      <c r="H219" s="346">
        <v>4692</v>
      </c>
      <c r="I219" s="345">
        <v>4662</v>
      </c>
      <c r="J219" s="345">
        <v>15</v>
      </c>
      <c r="K219" s="347">
        <v>75.260000000000005</v>
      </c>
      <c r="L219" s="347">
        <v>75.290000000000006</v>
      </c>
      <c r="M219" s="347">
        <v>5.48</v>
      </c>
      <c r="N219" s="347">
        <v>75.8</v>
      </c>
      <c r="O219" s="348">
        <v>3919</v>
      </c>
      <c r="P219" s="345">
        <v>81.98</v>
      </c>
      <c r="Q219" s="345">
        <v>79.11</v>
      </c>
      <c r="R219" s="345">
        <v>29.9</v>
      </c>
      <c r="S219" s="345">
        <v>107.94</v>
      </c>
      <c r="T219" s="345">
        <v>433</v>
      </c>
      <c r="U219" s="345">
        <v>92.85</v>
      </c>
      <c r="V219" s="345">
        <v>276</v>
      </c>
      <c r="W219" s="345">
        <v>0</v>
      </c>
      <c r="X219" s="345">
        <v>0</v>
      </c>
      <c r="Y219" s="345">
        <v>0</v>
      </c>
      <c r="Z219" s="345">
        <v>17</v>
      </c>
      <c r="AA219" s="345">
        <v>2</v>
      </c>
      <c r="AB219" s="345">
        <v>1</v>
      </c>
      <c r="AC219" s="345">
        <v>0</v>
      </c>
      <c r="AD219" s="349">
        <v>4198</v>
      </c>
      <c r="AE219" s="349">
        <v>22</v>
      </c>
      <c r="AF219" s="349">
        <v>9</v>
      </c>
      <c r="AG219" s="349">
        <v>31</v>
      </c>
    </row>
    <row r="220" spans="1:33" x14ac:dyDescent="0.2">
      <c r="A220" s="344" t="s">
        <v>494</v>
      </c>
      <c r="B220" s="350" t="s">
        <v>495</v>
      </c>
      <c r="C220" s="346">
        <v>3559</v>
      </c>
      <c r="D220" s="346">
        <v>0</v>
      </c>
      <c r="E220" s="346">
        <v>120</v>
      </c>
      <c r="F220" s="346">
        <v>684</v>
      </c>
      <c r="G220" s="346">
        <v>169</v>
      </c>
      <c r="H220" s="346">
        <v>4532</v>
      </c>
      <c r="I220" s="345">
        <v>4363</v>
      </c>
      <c r="J220" s="345">
        <v>29</v>
      </c>
      <c r="K220" s="347">
        <v>97.53</v>
      </c>
      <c r="L220" s="347">
        <v>95.32</v>
      </c>
      <c r="M220" s="347">
        <v>2.94</v>
      </c>
      <c r="N220" s="347">
        <v>99.94</v>
      </c>
      <c r="O220" s="348">
        <v>3284</v>
      </c>
      <c r="P220" s="345">
        <v>85.72</v>
      </c>
      <c r="Q220" s="345">
        <v>79.239999999999995</v>
      </c>
      <c r="R220" s="345">
        <v>32.54</v>
      </c>
      <c r="S220" s="345">
        <v>114.33</v>
      </c>
      <c r="T220" s="345">
        <v>653</v>
      </c>
      <c r="U220" s="345">
        <v>121.84</v>
      </c>
      <c r="V220" s="345">
        <v>258</v>
      </c>
      <c r="W220" s="345">
        <v>0</v>
      </c>
      <c r="X220" s="345">
        <v>0</v>
      </c>
      <c r="Y220" s="345">
        <v>13</v>
      </c>
      <c r="Z220" s="345">
        <v>5</v>
      </c>
      <c r="AA220" s="345">
        <v>11</v>
      </c>
      <c r="AB220" s="345">
        <v>12</v>
      </c>
      <c r="AC220" s="345">
        <v>0</v>
      </c>
      <c r="AD220" s="349">
        <v>3542</v>
      </c>
      <c r="AE220" s="349">
        <v>46</v>
      </c>
      <c r="AF220" s="349">
        <v>3</v>
      </c>
      <c r="AG220" s="349">
        <v>49</v>
      </c>
    </row>
    <row r="221" spans="1:33" x14ac:dyDescent="0.2">
      <c r="A221" s="344" t="s">
        <v>496</v>
      </c>
      <c r="B221" s="350" t="s">
        <v>497</v>
      </c>
      <c r="C221" s="346">
        <v>3317</v>
      </c>
      <c r="D221" s="346">
        <v>0</v>
      </c>
      <c r="E221" s="346">
        <v>349</v>
      </c>
      <c r="F221" s="346">
        <v>915</v>
      </c>
      <c r="G221" s="346">
        <v>258</v>
      </c>
      <c r="H221" s="346">
        <v>4839</v>
      </c>
      <c r="I221" s="345">
        <v>4581</v>
      </c>
      <c r="J221" s="345">
        <v>4</v>
      </c>
      <c r="K221" s="347">
        <v>81.53</v>
      </c>
      <c r="L221" s="347">
        <v>80.790000000000006</v>
      </c>
      <c r="M221" s="347">
        <v>7.75</v>
      </c>
      <c r="N221" s="347">
        <v>85.55</v>
      </c>
      <c r="O221" s="348">
        <v>2958</v>
      </c>
      <c r="P221" s="345">
        <v>81.099999999999994</v>
      </c>
      <c r="Q221" s="345">
        <v>73.84</v>
      </c>
      <c r="R221" s="345">
        <v>30.5</v>
      </c>
      <c r="S221" s="345">
        <v>109.32</v>
      </c>
      <c r="T221" s="345">
        <v>1229</v>
      </c>
      <c r="U221" s="345">
        <v>97.38</v>
      </c>
      <c r="V221" s="345">
        <v>244</v>
      </c>
      <c r="W221" s="345">
        <v>90.3</v>
      </c>
      <c r="X221" s="345">
        <v>5</v>
      </c>
      <c r="Y221" s="345">
        <v>0</v>
      </c>
      <c r="Z221" s="345">
        <v>0</v>
      </c>
      <c r="AA221" s="345">
        <v>12</v>
      </c>
      <c r="AB221" s="345">
        <v>23</v>
      </c>
      <c r="AC221" s="345">
        <v>4</v>
      </c>
      <c r="AD221" s="349">
        <v>3290</v>
      </c>
      <c r="AE221" s="349">
        <v>31</v>
      </c>
      <c r="AF221" s="349">
        <v>15</v>
      </c>
      <c r="AG221" s="349">
        <v>46</v>
      </c>
    </row>
    <row r="222" spans="1:33" x14ac:dyDescent="0.2">
      <c r="A222" s="344" t="s">
        <v>498</v>
      </c>
      <c r="B222" s="350" t="s">
        <v>499</v>
      </c>
      <c r="C222" s="346">
        <v>2218</v>
      </c>
      <c r="D222" s="346">
        <v>4</v>
      </c>
      <c r="E222" s="346">
        <v>52</v>
      </c>
      <c r="F222" s="346">
        <v>241</v>
      </c>
      <c r="G222" s="346">
        <v>469</v>
      </c>
      <c r="H222" s="346">
        <v>2984</v>
      </c>
      <c r="I222" s="345">
        <v>2515</v>
      </c>
      <c r="J222" s="345">
        <v>11</v>
      </c>
      <c r="K222" s="347">
        <v>98.78</v>
      </c>
      <c r="L222" s="347">
        <v>97.67</v>
      </c>
      <c r="M222" s="347">
        <v>4.8600000000000003</v>
      </c>
      <c r="N222" s="347">
        <v>102.32</v>
      </c>
      <c r="O222" s="348">
        <v>2056</v>
      </c>
      <c r="P222" s="345">
        <v>82.65</v>
      </c>
      <c r="Q222" s="345">
        <v>84.89</v>
      </c>
      <c r="R222" s="345">
        <v>32.909999999999997</v>
      </c>
      <c r="S222" s="345">
        <v>113.48</v>
      </c>
      <c r="T222" s="345">
        <v>205</v>
      </c>
      <c r="U222" s="345">
        <v>114.71</v>
      </c>
      <c r="V222" s="345">
        <v>111</v>
      </c>
      <c r="W222" s="345">
        <v>184.68</v>
      </c>
      <c r="X222" s="345">
        <v>62</v>
      </c>
      <c r="Y222" s="345">
        <v>0</v>
      </c>
      <c r="Z222" s="345">
        <v>3</v>
      </c>
      <c r="AA222" s="345">
        <v>4</v>
      </c>
      <c r="AB222" s="345">
        <v>57</v>
      </c>
      <c r="AC222" s="345">
        <v>10</v>
      </c>
      <c r="AD222" s="349">
        <v>2181</v>
      </c>
      <c r="AE222" s="349">
        <v>16</v>
      </c>
      <c r="AF222" s="349">
        <v>8</v>
      </c>
      <c r="AG222" s="349">
        <v>24</v>
      </c>
    </row>
    <row r="223" spans="1:33" x14ac:dyDescent="0.2">
      <c r="A223" s="344" t="s">
        <v>500</v>
      </c>
      <c r="B223" s="350" t="s">
        <v>501</v>
      </c>
      <c r="C223" s="346">
        <v>1109</v>
      </c>
      <c r="D223" s="346">
        <v>23</v>
      </c>
      <c r="E223" s="346">
        <v>67</v>
      </c>
      <c r="F223" s="346">
        <v>278</v>
      </c>
      <c r="G223" s="346">
        <v>256</v>
      </c>
      <c r="H223" s="346">
        <v>1733</v>
      </c>
      <c r="I223" s="345">
        <v>1477</v>
      </c>
      <c r="J223" s="345">
        <v>23</v>
      </c>
      <c r="K223" s="347">
        <v>121.19</v>
      </c>
      <c r="L223" s="347">
        <v>119.17</v>
      </c>
      <c r="M223" s="347">
        <v>7.39</v>
      </c>
      <c r="N223" s="347">
        <v>126.84</v>
      </c>
      <c r="O223" s="348">
        <v>885</v>
      </c>
      <c r="P223" s="345">
        <v>111.44</v>
      </c>
      <c r="Q223" s="345">
        <v>106.79</v>
      </c>
      <c r="R223" s="345">
        <v>28.43</v>
      </c>
      <c r="S223" s="345">
        <v>138.22</v>
      </c>
      <c r="T223" s="345">
        <v>326</v>
      </c>
      <c r="U223" s="345">
        <v>204.48</v>
      </c>
      <c r="V223" s="345">
        <v>46</v>
      </c>
      <c r="W223" s="345">
        <v>131.06</v>
      </c>
      <c r="X223" s="345">
        <v>20</v>
      </c>
      <c r="Y223" s="345">
        <v>0</v>
      </c>
      <c r="Z223" s="345">
        <v>0</v>
      </c>
      <c r="AA223" s="345">
        <v>1</v>
      </c>
      <c r="AB223" s="345">
        <v>77</v>
      </c>
      <c r="AC223" s="345">
        <v>7</v>
      </c>
      <c r="AD223" s="349">
        <v>1025</v>
      </c>
      <c r="AE223" s="349">
        <v>2</v>
      </c>
      <c r="AF223" s="349">
        <v>2</v>
      </c>
      <c r="AG223" s="349">
        <v>4</v>
      </c>
    </row>
    <row r="224" spans="1:33" x14ac:dyDescent="0.2">
      <c r="A224" s="344" t="s">
        <v>502</v>
      </c>
      <c r="B224" s="350" t="s">
        <v>503</v>
      </c>
      <c r="C224" s="346">
        <v>2654</v>
      </c>
      <c r="D224" s="346">
        <v>0</v>
      </c>
      <c r="E224" s="346">
        <v>59</v>
      </c>
      <c r="F224" s="346">
        <v>1380</v>
      </c>
      <c r="G224" s="346">
        <v>248</v>
      </c>
      <c r="H224" s="346">
        <v>4341</v>
      </c>
      <c r="I224" s="345">
        <v>4093</v>
      </c>
      <c r="J224" s="345">
        <v>12</v>
      </c>
      <c r="K224" s="347">
        <v>95.69</v>
      </c>
      <c r="L224" s="347">
        <v>101.36</v>
      </c>
      <c r="M224" s="347">
        <v>3.98</v>
      </c>
      <c r="N224" s="347">
        <v>96.93</v>
      </c>
      <c r="O224" s="348">
        <v>2517</v>
      </c>
      <c r="P224" s="345">
        <v>90.61</v>
      </c>
      <c r="Q224" s="345">
        <v>90.73</v>
      </c>
      <c r="R224" s="345">
        <v>11.08</v>
      </c>
      <c r="S224" s="345">
        <v>99.13</v>
      </c>
      <c r="T224" s="345">
        <v>1426</v>
      </c>
      <c r="U224" s="345">
        <v>105.72</v>
      </c>
      <c r="V224" s="345">
        <v>77</v>
      </c>
      <c r="W224" s="345">
        <v>0</v>
      </c>
      <c r="X224" s="345">
        <v>0</v>
      </c>
      <c r="Y224" s="345">
        <v>0</v>
      </c>
      <c r="Z224" s="345">
        <v>18</v>
      </c>
      <c r="AA224" s="345">
        <v>1</v>
      </c>
      <c r="AB224" s="345">
        <v>2</v>
      </c>
      <c r="AC224" s="345">
        <v>12</v>
      </c>
      <c r="AD224" s="349">
        <v>2642</v>
      </c>
      <c r="AE224" s="349">
        <v>13</v>
      </c>
      <c r="AF224" s="349">
        <v>3</v>
      </c>
      <c r="AG224" s="349">
        <v>16</v>
      </c>
    </row>
    <row r="225" spans="1:33" x14ac:dyDescent="0.2">
      <c r="A225" s="344" t="s">
        <v>504</v>
      </c>
      <c r="B225" s="350" t="s">
        <v>505</v>
      </c>
      <c r="C225" s="346">
        <v>5189</v>
      </c>
      <c r="D225" s="346">
        <v>0</v>
      </c>
      <c r="E225" s="346">
        <v>184</v>
      </c>
      <c r="F225" s="346">
        <v>720</v>
      </c>
      <c r="G225" s="346">
        <v>565</v>
      </c>
      <c r="H225" s="346">
        <v>6658</v>
      </c>
      <c r="I225" s="345">
        <v>6093</v>
      </c>
      <c r="J225" s="345">
        <v>24</v>
      </c>
      <c r="K225" s="347">
        <v>112</v>
      </c>
      <c r="L225" s="347">
        <v>111.17</v>
      </c>
      <c r="M225" s="347">
        <v>8.14</v>
      </c>
      <c r="N225" s="347">
        <v>116.68</v>
      </c>
      <c r="O225" s="348">
        <v>4600</v>
      </c>
      <c r="P225" s="345">
        <v>89.75</v>
      </c>
      <c r="Q225" s="345">
        <v>91.38</v>
      </c>
      <c r="R225" s="345">
        <v>32.68</v>
      </c>
      <c r="S225" s="345">
        <v>119.62</v>
      </c>
      <c r="T225" s="345">
        <v>895</v>
      </c>
      <c r="U225" s="345">
        <v>142.88999999999999</v>
      </c>
      <c r="V225" s="345">
        <v>471</v>
      </c>
      <c r="W225" s="345">
        <v>132.19999999999999</v>
      </c>
      <c r="X225" s="345">
        <v>9</v>
      </c>
      <c r="Y225" s="345">
        <v>10</v>
      </c>
      <c r="Z225" s="345">
        <v>8</v>
      </c>
      <c r="AA225" s="345">
        <v>0</v>
      </c>
      <c r="AB225" s="345">
        <v>24</v>
      </c>
      <c r="AC225" s="345">
        <v>37</v>
      </c>
      <c r="AD225" s="349">
        <v>5168</v>
      </c>
      <c r="AE225" s="349">
        <v>16</v>
      </c>
      <c r="AF225" s="349">
        <v>43</v>
      </c>
      <c r="AG225" s="349">
        <v>59</v>
      </c>
    </row>
    <row r="226" spans="1:33" x14ac:dyDescent="0.2">
      <c r="A226" s="344" t="s">
        <v>506</v>
      </c>
      <c r="B226" s="350" t="s">
        <v>507</v>
      </c>
      <c r="C226" s="346">
        <v>1260</v>
      </c>
      <c r="D226" s="346">
        <v>0</v>
      </c>
      <c r="E226" s="346">
        <v>34</v>
      </c>
      <c r="F226" s="346">
        <v>520</v>
      </c>
      <c r="G226" s="346">
        <v>148</v>
      </c>
      <c r="H226" s="346">
        <v>1962</v>
      </c>
      <c r="I226" s="345">
        <v>1814</v>
      </c>
      <c r="J226" s="345">
        <v>5</v>
      </c>
      <c r="K226" s="347">
        <v>91.4</v>
      </c>
      <c r="L226" s="347">
        <v>100.21</v>
      </c>
      <c r="M226" s="347">
        <v>5.1100000000000003</v>
      </c>
      <c r="N226" s="347">
        <v>93.14</v>
      </c>
      <c r="O226" s="348">
        <v>1133</v>
      </c>
      <c r="P226" s="345">
        <v>80.959999999999994</v>
      </c>
      <c r="Q226" s="345">
        <v>89.13</v>
      </c>
      <c r="R226" s="345">
        <v>22.56</v>
      </c>
      <c r="S226" s="345">
        <v>90.17</v>
      </c>
      <c r="T226" s="345">
        <v>495</v>
      </c>
      <c r="U226" s="345">
        <v>104.47</v>
      </c>
      <c r="V226" s="345">
        <v>58</v>
      </c>
      <c r="W226" s="345">
        <v>0</v>
      </c>
      <c r="X226" s="345">
        <v>0</v>
      </c>
      <c r="Y226" s="345">
        <v>0</v>
      </c>
      <c r="Z226" s="345">
        <v>5</v>
      </c>
      <c r="AA226" s="345">
        <v>0</v>
      </c>
      <c r="AB226" s="345">
        <v>12</v>
      </c>
      <c r="AC226" s="345">
        <v>10</v>
      </c>
      <c r="AD226" s="349">
        <v>1203</v>
      </c>
      <c r="AE226" s="349">
        <v>9</v>
      </c>
      <c r="AF226" s="349">
        <v>3</v>
      </c>
      <c r="AG226" s="349">
        <v>12</v>
      </c>
    </row>
    <row r="227" spans="1:33" x14ac:dyDescent="0.2">
      <c r="A227" s="344" t="s">
        <v>508</v>
      </c>
      <c r="B227" s="350" t="s">
        <v>509</v>
      </c>
      <c r="C227" s="346">
        <v>2013</v>
      </c>
      <c r="D227" s="346">
        <v>18</v>
      </c>
      <c r="E227" s="346">
        <v>39</v>
      </c>
      <c r="F227" s="346">
        <v>1058</v>
      </c>
      <c r="G227" s="346">
        <v>46</v>
      </c>
      <c r="H227" s="346">
        <v>3174</v>
      </c>
      <c r="I227" s="345">
        <v>3128</v>
      </c>
      <c r="J227" s="345">
        <v>6</v>
      </c>
      <c r="K227" s="347">
        <v>91.93</v>
      </c>
      <c r="L227" s="347">
        <v>88.43</v>
      </c>
      <c r="M227" s="347">
        <v>4.76</v>
      </c>
      <c r="N227" s="347">
        <v>93.22</v>
      </c>
      <c r="O227" s="348">
        <v>1600</v>
      </c>
      <c r="P227" s="345">
        <v>82.43</v>
      </c>
      <c r="Q227" s="345">
        <v>78.180000000000007</v>
      </c>
      <c r="R227" s="345">
        <v>9.6</v>
      </c>
      <c r="S227" s="345">
        <v>89.49</v>
      </c>
      <c r="T227" s="345">
        <v>826</v>
      </c>
      <c r="U227" s="345">
        <v>100.09</v>
      </c>
      <c r="V227" s="345">
        <v>374</v>
      </c>
      <c r="W227" s="345">
        <v>92.43</v>
      </c>
      <c r="X227" s="345">
        <v>247</v>
      </c>
      <c r="Y227" s="345">
        <v>0</v>
      </c>
      <c r="Z227" s="345">
        <v>7</v>
      </c>
      <c r="AA227" s="345">
        <v>4</v>
      </c>
      <c r="AB227" s="345">
        <v>1</v>
      </c>
      <c r="AC227" s="345">
        <v>0</v>
      </c>
      <c r="AD227" s="349">
        <v>2007</v>
      </c>
      <c r="AE227" s="349">
        <v>12</v>
      </c>
      <c r="AF227" s="349">
        <v>4</v>
      </c>
      <c r="AG227" s="349">
        <v>16</v>
      </c>
    </row>
    <row r="228" spans="1:33" x14ac:dyDescent="0.2">
      <c r="A228" s="344" t="s">
        <v>510</v>
      </c>
      <c r="B228" s="350" t="s">
        <v>511</v>
      </c>
      <c r="C228" s="346">
        <v>27400</v>
      </c>
      <c r="D228" s="346">
        <v>0</v>
      </c>
      <c r="E228" s="346">
        <v>520</v>
      </c>
      <c r="F228" s="346">
        <v>2292</v>
      </c>
      <c r="G228" s="346">
        <v>196</v>
      </c>
      <c r="H228" s="346">
        <v>30408</v>
      </c>
      <c r="I228" s="345">
        <v>30212</v>
      </c>
      <c r="J228" s="345">
        <v>1863</v>
      </c>
      <c r="K228" s="347">
        <v>78.36</v>
      </c>
      <c r="L228" s="347">
        <v>79.2</v>
      </c>
      <c r="M228" s="347">
        <v>7.28</v>
      </c>
      <c r="N228" s="347">
        <v>81.7</v>
      </c>
      <c r="O228" s="348">
        <v>26085</v>
      </c>
      <c r="P228" s="345">
        <v>78.290000000000006</v>
      </c>
      <c r="Q228" s="345">
        <v>72.849999999999994</v>
      </c>
      <c r="R228" s="345">
        <v>27.1</v>
      </c>
      <c r="S228" s="345">
        <v>105.12</v>
      </c>
      <c r="T228" s="345">
        <v>2512</v>
      </c>
      <c r="U228" s="345">
        <v>104.7</v>
      </c>
      <c r="V228" s="345">
        <v>1109</v>
      </c>
      <c r="W228" s="345">
        <v>164.61</v>
      </c>
      <c r="X228" s="345">
        <v>75</v>
      </c>
      <c r="Y228" s="345">
        <v>2</v>
      </c>
      <c r="Z228" s="345">
        <v>64</v>
      </c>
      <c r="AA228" s="345">
        <v>16</v>
      </c>
      <c r="AB228" s="345">
        <v>15</v>
      </c>
      <c r="AC228" s="345">
        <v>6</v>
      </c>
      <c r="AD228" s="349">
        <v>27292</v>
      </c>
      <c r="AE228" s="349">
        <v>151</v>
      </c>
      <c r="AF228" s="349">
        <v>311</v>
      </c>
      <c r="AG228" s="349">
        <v>462</v>
      </c>
    </row>
    <row r="229" spans="1:33" x14ac:dyDescent="0.2">
      <c r="A229" s="344" t="s">
        <v>512</v>
      </c>
      <c r="B229" s="350" t="s">
        <v>513</v>
      </c>
      <c r="C229" s="346">
        <v>5465</v>
      </c>
      <c r="D229" s="346">
        <v>2</v>
      </c>
      <c r="E229" s="346">
        <v>444</v>
      </c>
      <c r="F229" s="346">
        <v>1043</v>
      </c>
      <c r="G229" s="346">
        <v>599</v>
      </c>
      <c r="H229" s="346">
        <v>7553</v>
      </c>
      <c r="I229" s="345">
        <v>6954</v>
      </c>
      <c r="J229" s="345">
        <v>1</v>
      </c>
      <c r="K229" s="347">
        <v>89.2</v>
      </c>
      <c r="L229" s="347">
        <v>89.4</v>
      </c>
      <c r="M229" s="347">
        <v>6.82</v>
      </c>
      <c r="N229" s="347">
        <v>94.42</v>
      </c>
      <c r="O229" s="348">
        <v>4404</v>
      </c>
      <c r="P229" s="345">
        <v>83.43</v>
      </c>
      <c r="Q229" s="345">
        <v>82.78</v>
      </c>
      <c r="R229" s="345">
        <v>39.659999999999997</v>
      </c>
      <c r="S229" s="345">
        <v>122.78</v>
      </c>
      <c r="T229" s="345">
        <v>1180</v>
      </c>
      <c r="U229" s="345">
        <v>116.09</v>
      </c>
      <c r="V229" s="345">
        <v>547</v>
      </c>
      <c r="W229" s="345">
        <v>144.29</v>
      </c>
      <c r="X229" s="345">
        <v>92</v>
      </c>
      <c r="Y229" s="345">
        <v>0</v>
      </c>
      <c r="Z229" s="345">
        <v>4</v>
      </c>
      <c r="AA229" s="345">
        <v>0</v>
      </c>
      <c r="AB229" s="345">
        <v>3</v>
      </c>
      <c r="AC229" s="345">
        <v>30</v>
      </c>
      <c r="AD229" s="349">
        <v>5199</v>
      </c>
      <c r="AE229" s="349">
        <v>40</v>
      </c>
      <c r="AF229" s="349">
        <v>19</v>
      </c>
      <c r="AG229" s="349">
        <v>59</v>
      </c>
    </row>
    <row r="230" spans="1:33" x14ac:dyDescent="0.2">
      <c r="A230" s="344" t="s">
        <v>514</v>
      </c>
      <c r="B230" s="350" t="s">
        <v>515</v>
      </c>
      <c r="C230" s="346">
        <v>5848</v>
      </c>
      <c r="D230" s="346">
        <v>12</v>
      </c>
      <c r="E230" s="346">
        <v>152</v>
      </c>
      <c r="F230" s="346">
        <v>592</v>
      </c>
      <c r="G230" s="346">
        <v>253</v>
      </c>
      <c r="H230" s="346">
        <v>6857</v>
      </c>
      <c r="I230" s="345">
        <v>6604</v>
      </c>
      <c r="J230" s="345">
        <v>83</v>
      </c>
      <c r="K230" s="347">
        <v>84.65</v>
      </c>
      <c r="L230" s="347">
        <v>84.48</v>
      </c>
      <c r="M230" s="347">
        <v>2.83</v>
      </c>
      <c r="N230" s="347">
        <v>85.73</v>
      </c>
      <c r="O230" s="348">
        <v>5666</v>
      </c>
      <c r="P230" s="345">
        <v>84.93</v>
      </c>
      <c r="Q230" s="345">
        <v>82.41</v>
      </c>
      <c r="R230" s="345">
        <v>26.21</v>
      </c>
      <c r="S230" s="345">
        <v>110.62</v>
      </c>
      <c r="T230" s="345">
        <v>615</v>
      </c>
      <c r="U230" s="345">
        <v>106.67</v>
      </c>
      <c r="V230" s="345">
        <v>186</v>
      </c>
      <c r="W230" s="345">
        <v>158.77000000000001</v>
      </c>
      <c r="X230" s="345">
        <v>64</v>
      </c>
      <c r="Y230" s="345">
        <v>0</v>
      </c>
      <c r="Z230" s="345">
        <v>13</v>
      </c>
      <c r="AA230" s="345">
        <v>0</v>
      </c>
      <c r="AB230" s="345">
        <v>11</v>
      </c>
      <c r="AC230" s="345">
        <v>3</v>
      </c>
      <c r="AD230" s="349">
        <v>5845</v>
      </c>
      <c r="AE230" s="349">
        <v>35</v>
      </c>
      <c r="AF230" s="349">
        <v>63</v>
      </c>
      <c r="AG230" s="349">
        <v>98</v>
      </c>
    </row>
    <row r="231" spans="1:33" x14ac:dyDescent="0.2">
      <c r="A231" s="344" t="s">
        <v>516</v>
      </c>
      <c r="B231" s="350" t="s">
        <v>517</v>
      </c>
      <c r="C231" s="346">
        <v>2677</v>
      </c>
      <c r="D231" s="346">
        <v>32</v>
      </c>
      <c r="E231" s="346">
        <v>241</v>
      </c>
      <c r="F231" s="346">
        <v>102</v>
      </c>
      <c r="G231" s="346">
        <v>213</v>
      </c>
      <c r="H231" s="346">
        <v>3265</v>
      </c>
      <c r="I231" s="345">
        <v>3052</v>
      </c>
      <c r="J231" s="345">
        <v>0</v>
      </c>
      <c r="K231" s="347">
        <v>92.42</v>
      </c>
      <c r="L231" s="347">
        <v>89.6</v>
      </c>
      <c r="M231" s="347">
        <v>3.79</v>
      </c>
      <c r="N231" s="347">
        <v>95.58</v>
      </c>
      <c r="O231" s="348">
        <v>1617</v>
      </c>
      <c r="P231" s="345">
        <v>72.959999999999994</v>
      </c>
      <c r="Q231" s="345">
        <v>69.47</v>
      </c>
      <c r="R231" s="345">
        <v>36.869999999999997</v>
      </c>
      <c r="S231" s="345">
        <v>107.44</v>
      </c>
      <c r="T231" s="345">
        <v>200</v>
      </c>
      <c r="U231" s="345">
        <v>110.76</v>
      </c>
      <c r="V231" s="345">
        <v>326</v>
      </c>
      <c r="W231" s="345">
        <v>0</v>
      </c>
      <c r="X231" s="345">
        <v>0</v>
      </c>
      <c r="Y231" s="345">
        <v>88</v>
      </c>
      <c r="Z231" s="345">
        <v>0</v>
      </c>
      <c r="AA231" s="345">
        <v>0</v>
      </c>
      <c r="AB231" s="345">
        <v>3</v>
      </c>
      <c r="AC231" s="345">
        <v>2</v>
      </c>
      <c r="AD231" s="349">
        <v>1867</v>
      </c>
      <c r="AE231" s="349">
        <v>72</v>
      </c>
      <c r="AF231" s="349">
        <v>1</v>
      </c>
      <c r="AG231" s="349">
        <v>73</v>
      </c>
    </row>
    <row r="232" spans="1:33" x14ac:dyDescent="0.2">
      <c r="A232" s="344" t="s">
        <v>518</v>
      </c>
      <c r="B232" s="350" t="s">
        <v>519</v>
      </c>
      <c r="C232" s="346">
        <v>15914</v>
      </c>
      <c r="D232" s="346">
        <v>0</v>
      </c>
      <c r="E232" s="346">
        <v>1514</v>
      </c>
      <c r="F232" s="346">
        <v>1586</v>
      </c>
      <c r="G232" s="346">
        <v>580</v>
      </c>
      <c r="H232" s="346">
        <v>19594</v>
      </c>
      <c r="I232" s="345">
        <v>19014</v>
      </c>
      <c r="J232" s="345">
        <v>103</v>
      </c>
      <c r="K232" s="347">
        <v>86.64</v>
      </c>
      <c r="L232" s="347">
        <v>92.19</v>
      </c>
      <c r="M232" s="347">
        <v>9.39</v>
      </c>
      <c r="N232" s="347">
        <v>89.98</v>
      </c>
      <c r="O232" s="348">
        <v>14954</v>
      </c>
      <c r="P232" s="345">
        <v>78.53</v>
      </c>
      <c r="Q232" s="345">
        <v>79.8</v>
      </c>
      <c r="R232" s="345">
        <v>28.63</v>
      </c>
      <c r="S232" s="345">
        <v>106.43</v>
      </c>
      <c r="T232" s="345">
        <v>2906</v>
      </c>
      <c r="U232" s="345">
        <v>98.87</v>
      </c>
      <c r="V232" s="345">
        <v>522</v>
      </c>
      <c r="W232" s="345">
        <v>0</v>
      </c>
      <c r="X232" s="345">
        <v>0</v>
      </c>
      <c r="Y232" s="345">
        <v>0</v>
      </c>
      <c r="Z232" s="345">
        <v>3</v>
      </c>
      <c r="AA232" s="345">
        <v>33</v>
      </c>
      <c r="AB232" s="345">
        <v>8</v>
      </c>
      <c r="AC232" s="345">
        <v>7</v>
      </c>
      <c r="AD232" s="349">
        <v>15552</v>
      </c>
      <c r="AE232" s="349">
        <v>154</v>
      </c>
      <c r="AF232" s="349">
        <v>389</v>
      </c>
      <c r="AG232" s="349">
        <v>543</v>
      </c>
    </row>
    <row r="233" spans="1:33" x14ac:dyDescent="0.2">
      <c r="A233" s="344" t="s">
        <v>520</v>
      </c>
      <c r="B233" s="350" t="s">
        <v>521</v>
      </c>
      <c r="C233" s="346">
        <v>1282</v>
      </c>
      <c r="D233" s="346">
        <v>0</v>
      </c>
      <c r="E233" s="346">
        <v>41</v>
      </c>
      <c r="F233" s="346">
        <v>194</v>
      </c>
      <c r="G233" s="346">
        <v>202</v>
      </c>
      <c r="H233" s="346">
        <v>1719</v>
      </c>
      <c r="I233" s="345">
        <v>1517</v>
      </c>
      <c r="J233" s="345">
        <v>0</v>
      </c>
      <c r="K233" s="347">
        <v>90.16</v>
      </c>
      <c r="L233" s="347">
        <v>89.66</v>
      </c>
      <c r="M233" s="347">
        <v>6.02</v>
      </c>
      <c r="N233" s="347">
        <v>94.31</v>
      </c>
      <c r="O233" s="348">
        <v>1112</v>
      </c>
      <c r="P233" s="345">
        <v>101.16</v>
      </c>
      <c r="Q233" s="345">
        <v>91.65</v>
      </c>
      <c r="R233" s="345">
        <v>36.21</v>
      </c>
      <c r="S233" s="345">
        <v>134.91</v>
      </c>
      <c r="T233" s="345">
        <v>235</v>
      </c>
      <c r="U233" s="345">
        <v>97.76</v>
      </c>
      <c r="V233" s="345">
        <v>85</v>
      </c>
      <c r="W233" s="345">
        <v>0</v>
      </c>
      <c r="X233" s="345">
        <v>0</v>
      </c>
      <c r="Y233" s="345">
        <v>0</v>
      </c>
      <c r="Z233" s="345">
        <v>1</v>
      </c>
      <c r="AA233" s="345">
        <v>5</v>
      </c>
      <c r="AB233" s="345">
        <v>3</v>
      </c>
      <c r="AC233" s="345">
        <v>4</v>
      </c>
      <c r="AD233" s="349">
        <v>1262</v>
      </c>
      <c r="AE233" s="349">
        <v>21</v>
      </c>
      <c r="AF233" s="349">
        <v>2</v>
      </c>
      <c r="AG233" s="349">
        <v>23</v>
      </c>
    </row>
    <row r="234" spans="1:33" x14ac:dyDescent="0.2">
      <c r="A234" s="344" t="s">
        <v>522</v>
      </c>
      <c r="B234" s="350" t="s">
        <v>523</v>
      </c>
      <c r="C234" s="346">
        <v>5280</v>
      </c>
      <c r="D234" s="346">
        <v>3</v>
      </c>
      <c r="E234" s="346">
        <v>91</v>
      </c>
      <c r="F234" s="346">
        <v>1125</v>
      </c>
      <c r="G234" s="346">
        <v>682</v>
      </c>
      <c r="H234" s="346">
        <v>7181</v>
      </c>
      <c r="I234" s="345">
        <v>6499</v>
      </c>
      <c r="J234" s="345">
        <v>121</v>
      </c>
      <c r="K234" s="347">
        <v>109.64</v>
      </c>
      <c r="L234" s="347">
        <v>104.49</v>
      </c>
      <c r="M234" s="347">
        <v>3.7</v>
      </c>
      <c r="N234" s="347">
        <v>112</v>
      </c>
      <c r="O234" s="348">
        <v>5109</v>
      </c>
      <c r="P234" s="345">
        <v>91.02</v>
      </c>
      <c r="Q234" s="345">
        <v>86.19</v>
      </c>
      <c r="R234" s="345">
        <v>20.28</v>
      </c>
      <c r="S234" s="345">
        <v>110.75</v>
      </c>
      <c r="T234" s="345">
        <v>1017</v>
      </c>
      <c r="U234" s="345">
        <v>148.43</v>
      </c>
      <c r="V234" s="345">
        <v>131</v>
      </c>
      <c r="W234" s="345">
        <v>126.74</v>
      </c>
      <c r="X234" s="345">
        <v>41</v>
      </c>
      <c r="Y234" s="345">
        <v>0</v>
      </c>
      <c r="Z234" s="345">
        <v>9</v>
      </c>
      <c r="AA234" s="345">
        <v>11</v>
      </c>
      <c r="AB234" s="345">
        <v>8</v>
      </c>
      <c r="AC234" s="345">
        <v>20</v>
      </c>
      <c r="AD234" s="349">
        <v>5265</v>
      </c>
      <c r="AE234" s="349">
        <v>15</v>
      </c>
      <c r="AF234" s="349">
        <v>26</v>
      </c>
      <c r="AG234" s="349">
        <v>41</v>
      </c>
    </row>
    <row r="235" spans="1:33" x14ac:dyDescent="0.2">
      <c r="A235" s="344" t="s">
        <v>524</v>
      </c>
      <c r="B235" s="350" t="s">
        <v>525</v>
      </c>
      <c r="C235" s="346">
        <v>15172</v>
      </c>
      <c r="D235" s="346">
        <v>59</v>
      </c>
      <c r="E235" s="346">
        <v>1089</v>
      </c>
      <c r="F235" s="346">
        <v>1248</v>
      </c>
      <c r="G235" s="346">
        <v>399</v>
      </c>
      <c r="H235" s="346">
        <v>17967</v>
      </c>
      <c r="I235" s="345">
        <v>17568</v>
      </c>
      <c r="J235" s="345">
        <v>20</v>
      </c>
      <c r="K235" s="347">
        <v>79.430000000000007</v>
      </c>
      <c r="L235" s="347">
        <v>79.959999999999994</v>
      </c>
      <c r="M235" s="347">
        <v>7.56</v>
      </c>
      <c r="N235" s="347">
        <v>81.78</v>
      </c>
      <c r="O235" s="348">
        <v>13819</v>
      </c>
      <c r="P235" s="345">
        <v>82.43</v>
      </c>
      <c r="Q235" s="345">
        <v>77.94</v>
      </c>
      <c r="R235" s="345">
        <v>47.24</v>
      </c>
      <c r="S235" s="345">
        <v>128.38</v>
      </c>
      <c r="T235" s="345">
        <v>2057</v>
      </c>
      <c r="U235" s="345">
        <v>95.94</v>
      </c>
      <c r="V235" s="345">
        <v>1075</v>
      </c>
      <c r="W235" s="345">
        <v>103.68</v>
      </c>
      <c r="X235" s="345">
        <v>19</v>
      </c>
      <c r="Y235" s="345">
        <v>219</v>
      </c>
      <c r="Z235" s="345">
        <v>37</v>
      </c>
      <c r="AA235" s="345">
        <v>26</v>
      </c>
      <c r="AB235" s="345">
        <v>0</v>
      </c>
      <c r="AC235" s="345">
        <v>16</v>
      </c>
      <c r="AD235" s="349">
        <v>15059</v>
      </c>
      <c r="AE235" s="349">
        <v>105</v>
      </c>
      <c r="AF235" s="349">
        <v>134</v>
      </c>
      <c r="AG235" s="349">
        <v>239</v>
      </c>
    </row>
    <row r="236" spans="1:33" x14ac:dyDescent="0.2">
      <c r="A236" s="344" t="s">
        <v>526</v>
      </c>
      <c r="B236" s="350" t="s">
        <v>527</v>
      </c>
      <c r="C236" s="346">
        <v>11325</v>
      </c>
      <c r="D236" s="346">
        <v>43</v>
      </c>
      <c r="E236" s="346">
        <v>186</v>
      </c>
      <c r="F236" s="346">
        <v>2224</v>
      </c>
      <c r="G236" s="346">
        <v>509</v>
      </c>
      <c r="H236" s="346">
        <v>14287</v>
      </c>
      <c r="I236" s="345">
        <v>13778</v>
      </c>
      <c r="J236" s="345">
        <v>8</v>
      </c>
      <c r="K236" s="347">
        <v>88.37</v>
      </c>
      <c r="L236" s="347">
        <v>92.54</v>
      </c>
      <c r="M236" s="347">
        <v>3.1</v>
      </c>
      <c r="N236" s="347">
        <v>90.04</v>
      </c>
      <c r="O236" s="348">
        <v>10103</v>
      </c>
      <c r="P236" s="345">
        <v>80.91</v>
      </c>
      <c r="Q236" s="345">
        <v>82.73</v>
      </c>
      <c r="R236" s="345">
        <v>22.31</v>
      </c>
      <c r="S236" s="345">
        <v>97.67</v>
      </c>
      <c r="T236" s="345">
        <v>2329</v>
      </c>
      <c r="U236" s="345">
        <v>107.56</v>
      </c>
      <c r="V236" s="345">
        <v>658</v>
      </c>
      <c r="W236" s="345">
        <v>103.5</v>
      </c>
      <c r="X236" s="345">
        <v>11</v>
      </c>
      <c r="Y236" s="345">
        <v>339</v>
      </c>
      <c r="Z236" s="345">
        <v>23</v>
      </c>
      <c r="AA236" s="345">
        <v>8</v>
      </c>
      <c r="AB236" s="345">
        <v>13</v>
      </c>
      <c r="AC236" s="345">
        <v>9</v>
      </c>
      <c r="AD236" s="349">
        <v>10880</v>
      </c>
      <c r="AE236" s="349">
        <v>77</v>
      </c>
      <c r="AF236" s="349">
        <v>60</v>
      </c>
      <c r="AG236" s="349">
        <v>137</v>
      </c>
    </row>
    <row r="237" spans="1:33" x14ac:dyDescent="0.2">
      <c r="A237" s="344" t="s">
        <v>528</v>
      </c>
      <c r="B237" s="350" t="s">
        <v>529</v>
      </c>
      <c r="C237" s="346">
        <v>3467</v>
      </c>
      <c r="D237" s="346">
        <v>30</v>
      </c>
      <c r="E237" s="346">
        <v>334</v>
      </c>
      <c r="F237" s="346">
        <v>228</v>
      </c>
      <c r="G237" s="346">
        <v>463</v>
      </c>
      <c r="H237" s="346">
        <v>4522</v>
      </c>
      <c r="I237" s="345">
        <v>4059</v>
      </c>
      <c r="J237" s="345">
        <v>63</v>
      </c>
      <c r="K237" s="347">
        <v>120.36</v>
      </c>
      <c r="L237" s="347">
        <v>118.79</v>
      </c>
      <c r="M237" s="347">
        <v>6.68</v>
      </c>
      <c r="N237" s="347">
        <v>126.07</v>
      </c>
      <c r="O237" s="348">
        <v>3110</v>
      </c>
      <c r="P237" s="345">
        <v>97.9</v>
      </c>
      <c r="Q237" s="345">
        <v>97.85</v>
      </c>
      <c r="R237" s="345">
        <v>47.02</v>
      </c>
      <c r="S237" s="345">
        <v>141.79</v>
      </c>
      <c r="T237" s="345">
        <v>495</v>
      </c>
      <c r="U237" s="345">
        <v>144.99</v>
      </c>
      <c r="V237" s="345">
        <v>125</v>
      </c>
      <c r="W237" s="345">
        <v>0</v>
      </c>
      <c r="X237" s="345">
        <v>0</v>
      </c>
      <c r="Y237" s="345">
        <v>10</v>
      </c>
      <c r="Z237" s="345">
        <v>6</v>
      </c>
      <c r="AA237" s="345">
        <v>0</v>
      </c>
      <c r="AB237" s="345">
        <v>10</v>
      </c>
      <c r="AC237" s="345">
        <v>25</v>
      </c>
      <c r="AD237" s="349">
        <v>3299</v>
      </c>
      <c r="AE237" s="349">
        <v>14</v>
      </c>
      <c r="AF237" s="349">
        <v>4</v>
      </c>
      <c r="AG237" s="349">
        <v>18</v>
      </c>
    </row>
    <row r="238" spans="1:33" x14ac:dyDescent="0.2">
      <c r="A238" s="344" t="s">
        <v>530</v>
      </c>
      <c r="B238" s="350" t="s">
        <v>531</v>
      </c>
      <c r="C238" s="346">
        <v>2026</v>
      </c>
      <c r="D238" s="346">
        <v>0</v>
      </c>
      <c r="E238" s="346">
        <v>238</v>
      </c>
      <c r="F238" s="346">
        <v>563</v>
      </c>
      <c r="G238" s="346">
        <v>475</v>
      </c>
      <c r="H238" s="346">
        <v>3302</v>
      </c>
      <c r="I238" s="345">
        <v>2827</v>
      </c>
      <c r="J238" s="345">
        <v>0</v>
      </c>
      <c r="K238" s="347">
        <v>99.26</v>
      </c>
      <c r="L238" s="347">
        <v>98.38</v>
      </c>
      <c r="M238" s="347">
        <v>5</v>
      </c>
      <c r="N238" s="347">
        <v>103.13</v>
      </c>
      <c r="O238" s="348">
        <v>1743</v>
      </c>
      <c r="P238" s="345">
        <v>88.78</v>
      </c>
      <c r="Q238" s="345">
        <v>86.97</v>
      </c>
      <c r="R238" s="345">
        <v>49.93</v>
      </c>
      <c r="S238" s="345">
        <v>134.55000000000001</v>
      </c>
      <c r="T238" s="345">
        <v>481</v>
      </c>
      <c r="U238" s="345">
        <v>110.7</v>
      </c>
      <c r="V238" s="345">
        <v>247</v>
      </c>
      <c r="W238" s="345">
        <v>0</v>
      </c>
      <c r="X238" s="345">
        <v>0</v>
      </c>
      <c r="Y238" s="345">
        <v>0</v>
      </c>
      <c r="Z238" s="345">
        <v>2</v>
      </c>
      <c r="AA238" s="345">
        <v>1</v>
      </c>
      <c r="AB238" s="345">
        <v>14</v>
      </c>
      <c r="AC238" s="345">
        <v>11</v>
      </c>
      <c r="AD238" s="349">
        <v>2008</v>
      </c>
      <c r="AE238" s="349">
        <v>10</v>
      </c>
      <c r="AF238" s="349">
        <v>9</v>
      </c>
      <c r="AG238" s="349">
        <v>19</v>
      </c>
    </row>
    <row r="239" spans="1:33" x14ac:dyDescent="0.2">
      <c r="A239" s="344" t="s">
        <v>532</v>
      </c>
      <c r="B239" s="350" t="s">
        <v>533</v>
      </c>
      <c r="C239" s="345">
        <v>3772</v>
      </c>
      <c r="D239" s="345">
        <v>8</v>
      </c>
      <c r="E239" s="345">
        <v>367</v>
      </c>
      <c r="F239" s="345">
        <v>801</v>
      </c>
      <c r="G239" s="345">
        <v>348</v>
      </c>
      <c r="H239" s="345">
        <v>5296</v>
      </c>
      <c r="I239" s="345">
        <v>4948</v>
      </c>
      <c r="J239" s="345">
        <v>1</v>
      </c>
      <c r="K239" s="345">
        <v>96.21</v>
      </c>
      <c r="L239" s="347">
        <v>95.03</v>
      </c>
      <c r="M239" s="347">
        <v>3.75</v>
      </c>
      <c r="N239" s="347">
        <v>99.16</v>
      </c>
      <c r="O239" s="348">
        <v>3210</v>
      </c>
      <c r="P239" s="345">
        <v>86.46</v>
      </c>
      <c r="Q239" s="345">
        <v>85.25</v>
      </c>
      <c r="R239" s="345">
        <v>29.68</v>
      </c>
      <c r="S239" s="345">
        <v>115.16</v>
      </c>
      <c r="T239" s="345">
        <v>1030</v>
      </c>
      <c r="U239" s="345">
        <v>113.31</v>
      </c>
      <c r="V239" s="345">
        <v>189</v>
      </c>
      <c r="W239" s="345">
        <v>92.22</v>
      </c>
      <c r="X239" s="345">
        <v>1</v>
      </c>
      <c r="Y239" s="345">
        <v>51</v>
      </c>
      <c r="Z239" s="345">
        <v>5</v>
      </c>
      <c r="AA239" s="345">
        <v>11</v>
      </c>
      <c r="AB239" s="345">
        <v>11</v>
      </c>
      <c r="AC239" s="345">
        <v>3</v>
      </c>
      <c r="AD239" s="345">
        <v>3434</v>
      </c>
      <c r="AE239" s="345">
        <v>53</v>
      </c>
      <c r="AF239" s="345">
        <v>24</v>
      </c>
      <c r="AG239" s="345">
        <v>77</v>
      </c>
    </row>
    <row r="240" spans="1:33" x14ac:dyDescent="0.2">
      <c r="A240" s="344" t="s">
        <v>534</v>
      </c>
      <c r="B240" s="350" t="s">
        <v>535</v>
      </c>
      <c r="C240" s="346">
        <v>3001</v>
      </c>
      <c r="D240" s="346">
        <v>0</v>
      </c>
      <c r="E240" s="346">
        <v>332</v>
      </c>
      <c r="F240" s="346">
        <v>198</v>
      </c>
      <c r="G240" s="346">
        <v>1118</v>
      </c>
      <c r="H240" s="346">
        <v>4649</v>
      </c>
      <c r="I240" s="345">
        <v>3531</v>
      </c>
      <c r="J240" s="345">
        <v>13</v>
      </c>
      <c r="K240" s="347">
        <v>111.68</v>
      </c>
      <c r="L240" s="347">
        <v>112.71</v>
      </c>
      <c r="M240" s="347">
        <v>3.6</v>
      </c>
      <c r="N240" s="347">
        <v>114.35</v>
      </c>
      <c r="O240" s="348">
        <v>2285</v>
      </c>
      <c r="P240" s="345">
        <v>90.92</v>
      </c>
      <c r="Q240" s="345">
        <v>95.29</v>
      </c>
      <c r="R240" s="345">
        <v>65.31</v>
      </c>
      <c r="S240" s="345">
        <v>152.13999999999999</v>
      </c>
      <c r="T240" s="345">
        <v>287</v>
      </c>
      <c r="U240" s="345">
        <v>144.61000000000001</v>
      </c>
      <c r="V240" s="345">
        <v>305</v>
      </c>
      <c r="W240" s="345">
        <v>146.34</v>
      </c>
      <c r="X240" s="345">
        <v>17</v>
      </c>
      <c r="Y240" s="345">
        <v>10</v>
      </c>
      <c r="Z240" s="345">
        <v>4</v>
      </c>
      <c r="AA240" s="345">
        <v>5</v>
      </c>
      <c r="AB240" s="345">
        <v>96</v>
      </c>
      <c r="AC240" s="345">
        <v>38</v>
      </c>
      <c r="AD240" s="349">
        <v>2726</v>
      </c>
      <c r="AE240" s="349">
        <v>11</v>
      </c>
      <c r="AF240" s="349">
        <v>0</v>
      </c>
      <c r="AG240" s="349">
        <v>11</v>
      </c>
    </row>
    <row r="241" spans="1:33" x14ac:dyDescent="0.2">
      <c r="A241" s="344" t="s">
        <v>536</v>
      </c>
      <c r="B241" s="350" t="s">
        <v>537</v>
      </c>
      <c r="C241" s="346">
        <v>801</v>
      </c>
      <c r="D241" s="346">
        <v>0</v>
      </c>
      <c r="E241" s="346">
        <v>141</v>
      </c>
      <c r="F241" s="346">
        <v>37</v>
      </c>
      <c r="G241" s="346">
        <v>146</v>
      </c>
      <c r="H241" s="346">
        <v>1125</v>
      </c>
      <c r="I241" s="345">
        <v>979</v>
      </c>
      <c r="J241" s="345">
        <v>0</v>
      </c>
      <c r="K241" s="347">
        <v>93.23</v>
      </c>
      <c r="L241" s="347">
        <v>92.58</v>
      </c>
      <c r="M241" s="347">
        <v>4.16</v>
      </c>
      <c r="N241" s="347">
        <v>95.92</v>
      </c>
      <c r="O241" s="348">
        <v>765</v>
      </c>
      <c r="P241" s="345">
        <v>96.33</v>
      </c>
      <c r="Q241" s="345">
        <v>86.9</v>
      </c>
      <c r="R241" s="345">
        <v>45.88</v>
      </c>
      <c r="S241" s="345">
        <v>140.72999999999999</v>
      </c>
      <c r="T241" s="345">
        <v>155</v>
      </c>
      <c r="U241" s="345">
        <v>94.35</v>
      </c>
      <c r="V241" s="345">
        <v>68</v>
      </c>
      <c r="W241" s="345">
        <v>190.65</v>
      </c>
      <c r="X241" s="345">
        <v>16</v>
      </c>
      <c r="Y241" s="345">
        <v>0</v>
      </c>
      <c r="Z241" s="345">
        <v>1</v>
      </c>
      <c r="AA241" s="345">
        <v>6</v>
      </c>
      <c r="AB241" s="345">
        <v>18</v>
      </c>
      <c r="AC241" s="345">
        <v>1</v>
      </c>
      <c r="AD241" s="349">
        <v>792</v>
      </c>
      <c r="AE241" s="349">
        <v>9</v>
      </c>
      <c r="AF241" s="349">
        <v>3</v>
      </c>
      <c r="AG241" s="349">
        <v>12</v>
      </c>
    </row>
    <row r="242" spans="1:33" x14ac:dyDescent="0.2">
      <c r="A242" s="344" t="s">
        <v>538</v>
      </c>
      <c r="B242" s="350" t="s">
        <v>539</v>
      </c>
      <c r="C242" s="346">
        <v>9752</v>
      </c>
      <c r="D242" s="346">
        <v>8</v>
      </c>
      <c r="E242" s="346">
        <v>244</v>
      </c>
      <c r="F242" s="346">
        <v>1787</v>
      </c>
      <c r="G242" s="346">
        <v>472</v>
      </c>
      <c r="H242" s="346">
        <v>12263</v>
      </c>
      <c r="I242" s="345">
        <v>11791</v>
      </c>
      <c r="J242" s="345">
        <v>0</v>
      </c>
      <c r="K242" s="347">
        <v>101.34</v>
      </c>
      <c r="L242" s="347">
        <v>113.56</v>
      </c>
      <c r="M242" s="347">
        <v>4.21</v>
      </c>
      <c r="N242" s="347">
        <v>103.54</v>
      </c>
      <c r="O242" s="348">
        <v>8998</v>
      </c>
      <c r="P242" s="345">
        <v>88.27</v>
      </c>
      <c r="Q242" s="345">
        <v>100.65</v>
      </c>
      <c r="R242" s="345">
        <v>19.3</v>
      </c>
      <c r="S242" s="345">
        <v>107.46</v>
      </c>
      <c r="T242" s="345">
        <v>1856</v>
      </c>
      <c r="U242" s="345">
        <v>121.42</v>
      </c>
      <c r="V242" s="345">
        <v>265</v>
      </c>
      <c r="W242" s="345">
        <v>173.75</v>
      </c>
      <c r="X242" s="345">
        <v>73</v>
      </c>
      <c r="Y242" s="345">
        <v>0</v>
      </c>
      <c r="Z242" s="345">
        <v>51</v>
      </c>
      <c r="AA242" s="345">
        <v>2</v>
      </c>
      <c r="AB242" s="345">
        <v>76</v>
      </c>
      <c r="AC242" s="345">
        <v>10</v>
      </c>
      <c r="AD242" s="349">
        <v>9317</v>
      </c>
      <c r="AE242" s="349">
        <v>107</v>
      </c>
      <c r="AF242" s="349">
        <v>21</v>
      </c>
      <c r="AG242" s="349">
        <v>128</v>
      </c>
    </row>
    <row r="243" spans="1:33" x14ac:dyDescent="0.2">
      <c r="A243" s="344" t="s">
        <v>540</v>
      </c>
      <c r="B243" s="350" t="s">
        <v>541</v>
      </c>
      <c r="C243" s="346">
        <v>3526</v>
      </c>
      <c r="D243" s="346">
        <v>0</v>
      </c>
      <c r="E243" s="346">
        <v>76</v>
      </c>
      <c r="F243" s="346">
        <v>778</v>
      </c>
      <c r="G243" s="346">
        <v>394</v>
      </c>
      <c r="H243" s="346">
        <v>4774</v>
      </c>
      <c r="I243" s="345">
        <v>4380</v>
      </c>
      <c r="J243" s="345">
        <v>1</v>
      </c>
      <c r="K243" s="347">
        <v>94.25</v>
      </c>
      <c r="L243" s="347">
        <v>91.16</v>
      </c>
      <c r="M243" s="347">
        <v>1.96</v>
      </c>
      <c r="N243" s="347">
        <v>96.11</v>
      </c>
      <c r="O243" s="348">
        <v>3135</v>
      </c>
      <c r="P243" s="345">
        <v>81.17</v>
      </c>
      <c r="Q243" s="345">
        <v>75.84</v>
      </c>
      <c r="R243" s="345">
        <v>20.420000000000002</v>
      </c>
      <c r="S243" s="345">
        <v>101.32</v>
      </c>
      <c r="T243" s="345">
        <v>781</v>
      </c>
      <c r="U243" s="345">
        <v>123.57</v>
      </c>
      <c r="V243" s="345">
        <v>152</v>
      </c>
      <c r="W243" s="345">
        <v>0</v>
      </c>
      <c r="X243" s="345">
        <v>0</v>
      </c>
      <c r="Y243" s="345">
        <v>0</v>
      </c>
      <c r="Z243" s="345">
        <v>10</v>
      </c>
      <c r="AA243" s="345">
        <v>1</v>
      </c>
      <c r="AB243" s="345">
        <v>19</v>
      </c>
      <c r="AC243" s="345">
        <v>10</v>
      </c>
      <c r="AD243" s="349">
        <v>3279</v>
      </c>
      <c r="AE243" s="349">
        <v>6</v>
      </c>
      <c r="AF243" s="349">
        <v>8</v>
      </c>
      <c r="AG243" s="349">
        <v>14</v>
      </c>
    </row>
    <row r="244" spans="1:33" x14ac:dyDescent="0.2">
      <c r="A244" s="344" t="s">
        <v>542</v>
      </c>
      <c r="B244" s="350" t="s">
        <v>543</v>
      </c>
      <c r="C244" s="346">
        <v>925</v>
      </c>
      <c r="D244" s="346">
        <v>0</v>
      </c>
      <c r="E244" s="346">
        <v>70</v>
      </c>
      <c r="F244" s="346">
        <v>0</v>
      </c>
      <c r="G244" s="346">
        <v>193</v>
      </c>
      <c r="H244" s="346">
        <v>1188</v>
      </c>
      <c r="I244" s="345">
        <v>995</v>
      </c>
      <c r="J244" s="345">
        <v>0</v>
      </c>
      <c r="K244" s="347">
        <v>85.43</v>
      </c>
      <c r="L244" s="347">
        <v>86.78</v>
      </c>
      <c r="M244" s="347">
        <v>3.64</v>
      </c>
      <c r="N244" s="347">
        <v>88.33</v>
      </c>
      <c r="O244" s="348">
        <v>760</v>
      </c>
      <c r="P244" s="345">
        <v>91.47</v>
      </c>
      <c r="Q244" s="345">
        <v>65.3</v>
      </c>
      <c r="R244" s="345">
        <v>48.43</v>
      </c>
      <c r="S244" s="345">
        <v>139.9</v>
      </c>
      <c r="T244" s="345">
        <v>62</v>
      </c>
      <c r="U244" s="345">
        <v>107.05</v>
      </c>
      <c r="V244" s="345">
        <v>95</v>
      </c>
      <c r="W244" s="345">
        <v>0</v>
      </c>
      <c r="X244" s="345">
        <v>0</v>
      </c>
      <c r="Y244" s="345">
        <v>0</v>
      </c>
      <c r="Z244" s="345">
        <v>0</v>
      </c>
      <c r="AA244" s="345">
        <v>1</v>
      </c>
      <c r="AB244" s="345">
        <v>16</v>
      </c>
      <c r="AC244" s="345">
        <v>7</v>
      </c>
      <c r="AD244" s="349">
        <v>860</v>
      </c>
      <c r="AE244" s="349">
        <v>7</v>
      </c>
      <c r="AF244" s="349">
        <v>1</v>
      </c>
      <c r="AG244" s="349">
        <v>8</v>
      </c>
    </row>
    <row r="245" spans="1:33" x14ac:dyDescent="0.2">
      <c r="A245" s="344" t="s">
        <v>544</v>
      </c>
      <c r="B245" s="350" t="s">
        <v>545</v>
      </c>
      <c r="C245" s="346">
        <v>1474</v>
      </c>
      <c r="D245" s="346">
        <v>0</v>
      </c>
      <c r="E245" s="346">
        <v>198</v>
      </c>
      <c r="F245" s="346">
        <v>331</v>
      </c>
      <c r="G245" s="346">
        <v>417</v>
      </c>
      <c r="H245" s="346">
        <v>2420</v>
      </c>
      <c r="I245" s="345">
        <v>2003</v>
      </c>
      <c r="J245" s="345">
        <v>4</v>
      </c>
      <c r="K245" s="347">
        <v>88.16</v>
      </c>
      <c r="L245" s="347">
        <v>88.51</v>
      </c>
      <c r="M245" s="347">
        <v>4.33</v>
      </c>
      <c r="N245" s="347">
        <v>91.83</v>
      </c>
      <c r="O245" s="348">
        <v>1264</v>
      </c>
      <c r="P245" s="345">
        <v>86.36</v>
      </c>
      <c r="Q245" s="345">
        <v>73.47</v>
      </c>
      <c r="R245" s="345">
        <v>32.200000000000003</v>
      </c>
      <c r="S245" s="345">
        <v>116.03</v>
      </c>
      <c r="T245" s="345">
        <v>381</v>
      </c>
      <c r="U245" s="345">
        <v>107.56</v>
      </c>
      <c r="V245" s="345">
        <v>55</v>
      </c>
      <c r="W245" s="345">
        <v>0</v>
      </c>
      <c r="X245" s="345">
        <v>0</v>
      </c>
      <c r="Y245" s="345">
        <v>0</v>
      </c>
      <c r="Z245" s="345">
        <v>1</v>
      </c>
      <c r="AA245" s="345">
        <v>1</v>
      </c>
      <c r="AB245" s="345">
        <v>24</v>
      </c>
      <c r="AC245" s="345">
        <v>9</v>
      </c>
      <c r="AD245" s="349">
        <v>1419</v>
      </c>
      <c r="AE245" s="349">
        <v>9</v>
      </c>
      <c r="AF245" s="349">
        <v>1</v>
      </c>
      <c r="AG245" s="349">
        <v>10</v>
      </c>
    </row>
    <row r="246" spans="1:33" x14ac:dyDescent="0.2">
      <c r="A246" s="344" t="s">
        <v>546</v>
      </c>
      <c r="B246" s="350" t="s">
        <v>547</v>
      </c>
      <c r="C246" s="346">
        <v>3718</v>
      </c>
      <c r="D246" s="346">
        <v>66</v>
      </c>
      <c r="E246" s="346">
        <v>181</v>
      </c>
      <c r="F246" s="346">
        <v>624</v>
      </c>
      <c r="G246" s="346">
        <v>103</v>
      </c>
      <c r="H246" s="346">
        <v>4692</v>
      </c>
      <c r="I246" s="345">
        <v>4589</v>
      </c>
      <c r="J246" s="345">
        <v>168</v>
      </c>
      <c r="K246" s="347">
        <v>92.01</v>
      </c>
      <c r="L246" s="347">
        <v>92.63</v>
      </c>
      <c r="M246" s="347">
        <v>4.84</v>
      </c>
      <c r="N246" s="347">
        <v>93.17</v>
      </c>
      <c r="O246" s="348">
        <v>3582</v>
      </c>
      <c r="P246" s="345">
        <v>78.5</v>
      </c>
      <c r="Q246" s="345">
        <v>78.150000000000006</v>
      </c>
      <c r="R246" s="345">
        <v>44.54</v>
      </c>
      <c r="S246" s="345">
        <v>122.47</v>
      </c>
      <c r="T246" s="345">
        <v>704</v>
      </c>
      <c r="U246" s="345">
        <v>114.81</v>
      </c>
      <c r="V246" s="345">
        <v>165</v>
      </c>
      <c r="W246" s="345">
        <v>192.12</v>
      </c>
      <c r="X246" s="345">
        <v>8</v>
      </c>
      <c r="Y246" s="345">
        <v>0</v>
      </c>
      <c r="Z246" s="345">
        <v>27</v>
      </c>
      <c r="AA246" s="345">
        <v>0</v>
      </c>
      <c r="AB246" s="345">
        <v>2</v>
      </c>
      <c r="AC246" s="345">
        <v>1</v>
      </c>
      <c r="AD246" s="349">
        <v>3683</v>
      </c>
      <c r="AE246" s="349">
        <v>32</v>
      </c>
      <c r="AF246" s="349">
        <v>9</v>
      </c>
      <c r="AG246" s="349">
        <v>41</v>
      </c>
    </row>
    <row r="247" spans="1:33" x14ac:dyDescent="0.2">
      <c r="A247" s="344" t="s">
        <v>548</v>
      </c>
      <c r="B247" s="350" t="s">
        <v>549</v>
      </c>
      <c r="C247" s="346">
        <v>5576</v>
      </c>
      <c r="D247" s="346">
        <v>0</v>
      </c>
      <c r="E247" s="346">
        <v>211</v>
      </c>
      <c r="F247" s="346">
        <v>929</v>
      </c>
      <c r="G247" s="346">
        <v>495</v>
      </c>
      <c r="H247" s="346">
        <v>7211</v>
      </c>
      <c r="I247" s="345">
        <v>6716</v>
      </c>
      <c r="J247" s="345">
        <v>8</v>
      </c>
      <c r="K247" s="347">
        <v>88.28</v>
      </c>
      <c r="L247" s="347">
        <v>90.12</v>
      </c>
      <c r="M247" s="347">
        <v>4.5599999999999996</v>
      </c>
      <c r="N247" s="347">
        <v>89.4</v>
      </c>
      <c r="O247" s="348">
        <v>4778</v>
      </c>
      <c r="P247" s="345">
        <v>85.51</v>
      </c>
      <c r="Q247" s="345">
        <v>80.47</v>
      </c>
      <c r="R247" s="345">
        <v>28.22</v>
      </c>
      <c r="S247" s="345">
        <v>113.68</v>
      </c>
      <c r="T247" s="345">
        <v>1107</v>
      </c>
      <c r="U247" s="345">
        <v>112.23</v>
      </c>
      <c r="V247" s="345">
        <v>712</v>
      </c>
      <c r="W247" s="345">
        <v>0</v>
      </c>
      <c r="X247" s="345">
        <v>0</v>
      </c>
      <c r="Y247" s="345">
        <v>0</v>
      </c>
      <c r="Z247" s="345">
        <v>21</v>
      </c>
      <c r="AA247" s="345">
        <v>5</v>
      </c>
      <c r="AB247" s="345">
        <v>11</v>
      </c>
      <c r="AC247" s="345">
        <v>8</v>
      </c>
      <c r="AD247" s="349">
        <v>5576</v>
      </c>
      <c r="AE247" s="349">
        <v>8</v>
      </c>
      <c r="AF247" s="349">
        <v>22</v>
      </c>
      <c r="AG247" s="349">
        <v>30</v>
      </c>
    </row>
    <row r="248" spans="1:33" x14ac:dyDescent="0.2">
      <c r="A248" s="344" t="s">
        <v>550</v>
      </c>
      <c r="B248" s="350" t="s">
        <v>551</v>
      </c>
      <c r="C248" s="346">
        <v>5587</v>
      </c>
      <c r="D248" s="346">
        <v>0</v>
      </c>
      <c r="E248" s="346">
        <v>181</v>
      </c>
      <c r="F248" s="346">
        <v>870</v>
      </c>
      <c r="G248" s="346">
        <v>533</v>
      </c>
      <c r="H248" s="346">
        <v>7171</v>
      </c>
      <c r="I248" s="345">
        <v>6638</v>
      </c>
      <c r="J248" s="345">
        <v>5</v>
      </c>
      <c r="K248" s="347">
        <v>111.17</v>
      </c>
      <c r="L248" s="347">
        <v>111.69</v>
      </c>
      <c r="M248" s="347">
        <v>4.3499999999999996</v>
      </c>
      <c r="N248" s="347">
        <v>112.51</v>
      </c>
      <c r="O248" s="348">
        <v>5216</v>
      </c>
      <c r="P248" s="345">
        <v>92.44</v>
      </c>
      <c r="Q248" s="345">
        <v>90.35</v>
      </c>
      <c r="R248" s="345">
        <v>20.05</v>
      </c>
      <c r="S248" s="345">
        <v>111.93</v>
      </c>
      <c r="T248" s="345">
        <v>930</v>
      </c>
      <c r="U248" s="345">
        <v>153.79</v>
      </c>
      <c r="V248" s="345">
        <v>146</v>
      </c>
      <c r="W248" s="345">
        <v>0</v>
      </c>
      <c r="X248" s="345">
        <v>0</v>
      </c>
      <c r="Y248" s="345">
        <v>0</v>
      </c>
      <c r="Z248" s="345">
        <v>6</v>
      </c>
      <c r="AA248" s="345">
        <v>1</v>
      </c>
      <c r="AB248" s="345">
        <v>50</v>
      </c>
      <c r="AC248" s="345">
        <v>14</v>
      </c>
      <c r="AD248" s="349">
        <v>5404</v>
      </c>
      <c r="AE248" s="349">
        <v>14</v>
      </c>
      <c r="AF248" s="349">
        <v>16</v>
      </c>
      <c r="AG248" s="349">
        <v>30</v>
      </c>
    </row>
    <row r="249" spans="1:33" x14ac:dyDescent="0.2">
      <c r="A249" s="344" t="s">
        <v>552</v>
      </c>
      <c r="B249" s="350" t="s">
        <v>553</v>
      </c>
      <c r="C249" s="346">
        <v>3748</v>
      </c>
      <c r="D249" s="346">
        <v>3</v>
      </c>
      <c r="E249" s="346">
        <v>196</v>
      </c>
      <c r="F249" s="346">
        <v>1123</v>
      </c>
      <c r="G249" s="346">
        <v>230</v>
      </c>
      <c r="H249" s="346">
        <v>5300</v>
      </c>
      <c r="I249" s="345">
        <v>5070</v>
      </c>
      <c r="J249" s="345">
        <v>39</v>
      </c>
      <c r="K249" s="347">
        <v>87.7</v>
      </c>
      <c r="L249" s="347">
        <v>87.98</v>
      </c>
      <c r="M249" s="347">
        <v>2.78</v>
      </c>
      <c r="N249" s="347">
        <v>90.37</v>
      </c>
      <c r="O249" s="348">
        <v>3558</v>
      </c>
      <c r="P249" s="345">
        <v>85.91</v>
      </c>
      <c r="Q249" s="345">
        <v>79.41</v>
      </c>
      <c r="R249" s="345">
        <v>22.56</v>
      </c>
      <c r="S249" s="345">
        <v>108.25</v>
      </c>
      <c r="T249" s="345">
        <v>1292</v>
      </c>
      <c r="U249" s="345">
        <v>104.26</v>
      </c>
      <c r="V249" s="345">
        <v>181</v>
      </c>
      <c r="W249" s="345">
        <v>0</v>
      </c>
      <c r="X249" s="345">
        <v>0</v>
      </c>
      <c r="Y249" s="345">
        <v>0</v>
      </c>
      <c r="Z249" s="345">
        <v>5</v>
      </c>
      <c r="AA249" s="345">
        <v>1</v>
      </c>
      <c r="AB249" s="345">
        <v>13</v>
      </c>
      <c r="AC249" s="345">
        <v>4</v>
      </c>
      <c r="AD249" s="349">
        <v>3748</v>
      </c>
      <c r="AE249" s="349">
        <v>26</v>
      </c>
      <c r="AF249" s="349">
        <v>3</v>
      </c>
      <c r="AG249" s="349">
        <v>29</v>
      </c>
    </row>
    <row r="250" spans="1:33" x14ac:dyDescent="0.2">
      <c r="A250" s="344" t="s">
        <v>554</v>
      </c>
      <c r="B250" s="350" t="s">
        <v>555</v>
      </c>
      <c r="C250" s="346">
        <v>8975</v>
      </c>
      <c r="D250" s="346">
        <v>22</v>
      </c>
      <c r="E250" s="346">
        <v>336</v>
      </c>
      <c r="F250" s="346">
        <v>1698</v>
      </c>
      <c r="G250" s="346">
        <v>544</v>
      </c>
      <c r="H250" s="346">
        <v>11575</v>
      </c>
      <c r="I250" s="345">
        <v>11031</v>
      </c>
      <c r="J250" s="345">
        <v>1</v>
      </c>
      <c r="K250" s="347">
        <v>92.48</v>
      </c>
      <c r="L250" s="347">
        <v>88.34</v>
      </c>
      <c r="M250" s="347">
        <v>4.2</v>
      </c>
      <c r="N250" s="347">
        <v>93.68</v>
      </c>
      <c r="O250" s="348">
        <v>8383</v>
      </c>
      <c r="P250" s="345">
        <v>84.4</v>
      </c>
      <c r="Q250" s="345">
        <v>76.930000000000007</v>
      </c>
      <c r="R250" s="345">
        <v>26.39</v>
      </c>
      <c r="S250" s="345">
        <v>110.35</v>
      </c>
      <c r="T250" s="345">
        <v>2010</v>
      </c>
      <c r="U250" s="345">
        <v>113.54</v>
      </c>
      <c r="V250" s="345">
        <v>303</v>
      </c>
      <c r="W250" s="345">
        <v>109.7</v>
      </c>
      <c r="X250" s="345">
        <v>15</v>
      </c>
      <c r="Y250" s="345">
        <v>12</v>
      </c>
      <c r="Z250" s="345">
        <v>26</v>
      </c>
      <c r="AA250" s="345">
        <v>3</v>
      </c>
      <c r="AB250" s="345">
        <v>16</v>
      </c>
      <c r="AC250" s="345">
        <v>15</v>
      </c>
      <c r="AD250" s="349">
        <v>8882</v>
      </c>
      <c r="AE250" s="349">
        <v>63</v>
      </c>
      <c r="AF250" s="349">
        <v>22</v>
      </c>
      <c r="AG250" s="349">
        <v>85</v>
      </c>
    </row>
    <row r="251" spans="1:33" x14ac:dyDescent="0.2">
      <c r="A251" s="344" t="s">
        <v>556</v>
      </c>
      <c r="B251" s="350" t="s">
        <v>557</v>
      </c>
      <c r="C251" s="346">
        <v>4306</v>
      </c>
      <c r="D251" s="346">
        <v>0</v>
      </c>
      <c r="E251" s="346">
        <v>717</v>
      </c>
      <c r="F251" s="346">
        <v>1502</v>
      </c>
      <c r="G251" s="346">
        <v>219</v>
      </c>
      <c r="H251" s="346">
        <v>6744</v>
      </c>
      <c r="I251" s="345">
        <v>6525</v>
      </c>
      <c r="J251" s="345">
        <v>0</v>
      </c>
      <c r="K251" s="347">
        <v>90.19</v>
      </c>
      <c r="L251" s="347">
        <v>89.45</v>
      </c>
      <c r="M251" s="347">
        <v>3.3</v>
      </c>
      <c r="N251" s="347">
        <v>91.28</v>
      </c>
      <c r="O251" s="348">
        <v>4257</v>
      </c>
      <c r="P251" s="345">
        <v>83.45</v>
      </c>
      <c r="Q251" s="345">
        <v>85.39</v>
      </c>
      <c r="R251" s="345">
        <v>11.42</v>
      </c>
      <c r="S251" s="345">
        <v>87.89</v>
      </c>
      <c r="T251" s="345">
        <v>2113</v>
      </c>
      <c r="U251" s="345">
        <v>107.76</v>
      </c>
      <c r="V251" s="345">
        <v>36</v>
      </c>
      <c r="W251" s="345">
        <v>130.15</v>
      </c>
      <c r="X251" s="345">
        <v>102</v>
      </c>
      <c r="Y251" s="345">
        <v>0</v>
      </c>
      <c r="Z251" s="345">
        <v>47</v>
      </c>
      <c r="AA251" s="345">
        <v>0</v>
      </c>
      <c r="AB251" s="345">
        <v>30</v>
      </c>
      <c r="AC251" s="345">
        <v>5</v>
      </c>
      <c r="AD251" s="349">
        <v>4306</v>
      </c>
      <c r="AE251" s="349">
        <v>32</v>
      </c>
      <c r="AF251" s="349">
        <v>12</v>
      </c>
      <c r="AG251" s="349">
        <v>44</v>
      </c>
    </row>
    <row r="252" spans="1:33" x14ac:dyDescent="0.2">
      <c r="A252" s="344" t="s">
        <v>558</v>
      </c>
      <c r="B252" s="350" t="s">
        <v>559</v>
      </c>
      <c r="C252" s="346">
        <v>3626</v>
      </c>
      <c r="D252" s="346">
        <v>5</v>
      </c>
      <c r="E252" s="346">
        <v>371</v>
      </c>
      <c r="F252" s="346">
        <v>705</v>
      </c>
      <c r="G252" s="346">
        <v>235</v>
      </c>
      <c r="H252" s="346">
        <v>4942</v>
      </c>
      <c r="I252" s="345">
        <v>4707</v>
      </c>
      <c r="J252" s="345">
        <v>167</v>
      </c>
      <c r="K252" s="347">
        <v>81.08</v>
      </c>
      <c r="L252" s="347">
        <v>78.7</v>
      </c>
      <c r="M252" s="347">
        <v>2.8</v>
      </c>
      <c r="N252" s="347">
        <v>82.96</v>
      </c>
      <c r="O252" s="348">
        <v>3206</v>
      </c>
      <c r="P252" s="345">
        <v>84.29</v>
      </c>
      <c r="Q252" s="345">
        <v>74.69</v>
      </c>
      <c r="R252" s="345">
        <v>39.42</v>
      </c>
      <c r="S252" s="345">
        <v>123.71</v>
      </c>
      <c r="T252" s="345">
        <v>976</v>
      </c>
      <c r="U252" s="345">
        <v>102.34</v>
      </c>
      <c r="V252" s="345">
        <v>336</v>
      </c>
      <c r="W252" s="345">
        <v>98.29</v>
      </c>
      <c r="X252" s="345">
        <v>25</v>
      </c>
      <c r="Y252" s="345">
        <v>1</v>
      </c>
      <c r="Z252" s="345">
        <v>2</v>
      </c>
      <c r="AA252" s="345">
        <v>8</v>
      </c>
      <c r="AB252" s="345">
        <v>1</v>
      </c>
      <c r="AC252" s="345">
        <v>0</v>
      </c>
      <c r="AD252" s="349">
        <v>3534</v>
      </c>
      <c r="AE252" s="349">
        <v>72</v>
      </c>
      <c r="AF252" s="349">
        <v>9</v>
      </c>
      <c r="AG252" s="349">
        <v>81</v>
      </c>
    </row>
    <row r="253" spans="1:33" x14ac:dyDescent="0.2">
      <c r="A253" s="344" t="s">
        <v>560</v>
      </c>
      <c r="B253" s="350" t="s">
        <v>561</v>
      </c>
      <c r="C253" s="346">
        <v>5490</v>
      </c>
      <c r="D253" s="346">
        <v>58</v>
      </c>
      <c r="E253" s="346">
        <v>929</v>
      </c>
      <c r="F253" s="346">
        <v>1020</v>
      </c>
      <c r="G253" s="346">
        <v>945</v>
      </c>
      <c r="H253" s="346">
        <v>8442</v>
      </c>
      <c r="I253" s="345">
        <v>7497</v>
      </c>
      <c r="J253" s="345">
        <v>3</v>
      </c>
      <c r="K253" s="347">
        <v>105.66</v>
      </c>
      <c r="L253" s="347">
        <v>106.37</v>
      </c>
      <c r="M253" s="347">
        <v>6.31</v>
      </c>
      <c r="N253" s="347">
        <v>111.17</v>
      </c>
      <c r="O253" s="348">
        <v>4548</v>
      </c>
      <c r="P253" s="345">
        <v>87.85</v>
      </c>
      <c r="Q253" s="345">
        <v>86.61</v>
      </c>
      <c r="R253" s="345">
        <v>36.82</v>
      </c>
      <c r="S253" s="345">
        <v>122.18</v>
      </c>
      <c r="T253" s="345">
        <v>1707</v>
      </c>
      <c r="U253" s="345">
        <v>142.27000000000001</v>
      </c>
      <c r="V253" s="345">
        <v>481</v>
      </c>
      <c r="W253" s="345">
        <v>0</v>
      </c>
      <c r="X253" s="345">
        <v>0</v>
      </c>
      <c r="Y253" s="345">
        <v>210</v>
      </c>
      <c r="Z253" s="345">
        <v>0</v>
      </c>
      <c r="AA253" s="345">
        <v>20</v>
      </c>
      <c r="AB253" s="345">
        <v>53</v>
      </c>
      <c r="AC253" s="345">
        <v>31</v>
      </c>
      <c r="AD253" s="349">
        <v>5371</v>
      </c>
      <c r="AE253" s="349">
        <v>56</v>
      </c>
      <c r="AF253" s="349">
        <v>28</v>
      </c>
      <c r="AG253" s="349">
        <v>84</v>
      </c>
    </row>
    <row r="254" spans="1:33" x14ac:dyDescent="0.2">
      <c r="A254" s="344" t="s">
        <v>562</v>
      </c>
      <c r="B254" s="350" t="s">
        <v>563</v>
      </c>
      <c r="C254" s="346">
        <v>2653</v>
      </c>
      <c r="D254" s="346">
        <v>1</v>
      </c>
      <c r="E254" s="346">
        <v>351</v>
      </c>
      <c r="F254" s="346">
        <v>325</v>
      </c>
      <c r="G254" s="346">
        <v>268</v>
      </c>
      <c r="H254" s="346">
        <v>3598</v>
      </c>
      <c r="I254" s="345">
        <v>3330</v>
      </c>
      <c r="J254" s="345">
        <v>40</v>
      </c>
      <c r="K254" s="347">
        <v>97.28</v>
      </c>
      <c r="L254" s="347">
        <v>97.29</v>
      </c>
      <c r="M254" s="347">
        <v>11.13</v>
      </c>
      <c r="N254" s="347">
        <v>106.27</v>
      </c>
      <c r="O254" s="348">
        <v>2501</v>
      </c>
      <c r="P254" s="345">
        <v>88.47</v>
      </c>
      <c r="Q254" s="345">
        <v>86.37</v>
      </c>
      <c r="R254" s="345">
        <v>50.86</v>
      </c>
      <c r="S254" s="345">
        <v>137.96</v>
      </c>
      <c r="T254" s="345">
        <v>487</v>
      </c>
      <c r="U254" s="345">
        <v>144.71</v>
      </c>
      <c r="V254" s="345">
        <v>136</v>
      </c>
      <c r="W254" s="345">
        <v>0</v>
      </c>
      <c r="X254" s="345">
        <v>0</v>
      </c>
      <c r="Y254" s="345">
        <v>0</v>
      </c>
      <c r="Z254" s="345">
        <v>1</v>
      </c>
      <c r="AA254" s="345">
        <v>2</v>
      </c>
      <c r="AB254" s="345">
        <v>7</v>
      </c>
      <c r="AC254" s="345">
        <v>6</v>
      </c>
      <c r="AD254" s="349">
        <v>2653</v>
      </c>
      <c r="AE254" s="349">
        <v>8</v>
      </c>
      <c r="AF254" s="349">
        <v>1</v>
      </c>
      <c r="AG254" s="349">
        <v>9</v>
      </c>
    </row>
    <row r="255" spans="1:33" x14ac:dyDescent="0.2">
      <c r="A255" s="344" t="s">
        <v>564</v>
      </c>
      <c r="B255" s="350" t="s">
        <v>565</v>
      </c>
      <c r="C255" s="346">
        <v>14411</v>
      </c>
      <c r="D255" s="346">
        <v>107</v>
      </c>
      <c r="E255" s="346">
        <v>1583</v>
      </c>
      <c r="F255" s="346">
        <v>665</v>
      </c>
      <c r="G255" s="346">
        <v>2578</v>
      </c>
      <c r="H255" s="346">
        <v>19344</v>
      </c>
      <c r="I255" s="345">
        <v>16766</v>
      </c>
      <c r="J255" s="345">
        <v>53</v>
      </c>
      <c r="K255" s="347">
        <v>120.92</v>
      </c>
      <c r="L255" s="347">
        <v>123.53</v>
      </c>
      <c r="M255" s="347">
        <v>10.27</v>
      </c>
      <c r="N255" s="347">
        <v>128.61000000000001</v>
      </c>
      <c r="O255" s="348">
        <v>11882</v>
      </c>
      <c r="P255" s="345">
        <v>104.22</v>
      </c>
      <c r="Q255" s="345">
        <v>103.55</v>
      </c>
      <c r="R255" s="345">
        <v>50.38</v>
      </c>
      <c r="S255" s="345">
        <v>150.9</v>
      </c>
      <c r="T255" s="345">
        <v>1970</v>
      </c>
      <c r="U255" s="345">
        <v>203.89</v>
      </c>
      <c r="V255" s="345">
        <v>659</v>
      </c>
      <c r="W255" s="345">
        <v>193.54</v>
      </c>
      <c r="X255" s="345">
        <v>23</v>
      </c>
      <c r="Y255" s="345">
        <v>0</v>
      </c>
      <c r="Z255" s="345">
        <v>7</v>
      </c>
      <c r="AA255" s="345">
        <v>26</v>
      </c>
      <c r="AB255" s="345">
        <v>253</v>
      </c>
      <c r="AC255" s="345">
        <v>127</v>
      </c>
      <c r="AD255" s="349">
        <v>13528</v>
      </c>
      <c r="AE255" s="349">
        <v>91</v>
      </c>
      <c r="AF255" s="349">
        <v>176</v>
      </c>
      <c r="AG255" s="349">
        <v>267</v>
      </c>
    </row>
    <row r="256" spans="1:33" x14ac:dyDescent="0.2">
      <c r="A256" s="344" t="s">
        <v>566</v>
      </c>
      <c r="B256" s="350" t="s">
        <v>567</v>
      </c>
      <c r="C256" s="346">
        <v>4834</v>
      </c>
      <c r="D256" s="346">
        <v>178</v>
      </c>
      <c r="E256" s="346">
        <v>153</v>
      </c>
      <c r="F256" s="346">
        <v>338</v>
      </c>
      <c r="G256" s="346">
        <v>397</v>
      </c>
      <c r="H256" s="346">
        <v>5900</v>
      </c>
      <c r="I256" s="345">
        <v>5503</v>
      </c>
      <c r="J256" s="345">
        <v>42</v>
      </c>
      <c r="K256" s="347">
        <v>116.65</v>
      </c>
      <c r="L256" s="347">
        <v>112.03</v>
      </c>
      <c r="M256" s="347">
        <v>4.91</v>
      </c>
      <c r="N256" s="347">
        <v>120.98</v>
      </c>
      <c r="O256" s="348">
        <v>4774</v>
      </c>
      <c r="P256" s="345">
        <v>107.73</v>
      </c>
      <c r="Q256" s="345">
        <v>102.3</v>
      </c>
      <c r="R256" s="345">
        <v>61.21</v>
      </c>
      <c r="S256" s="345">
        <v>164.08</v>
      </c>
      <c r="T256" s="345">
        <v>390</v>
      </c>
      <c r="U256" s="345">
        <v>159.96</v>
      </c>
      <c r="V256" s="345">
        <v>21</v>
      </c>
      <c r="W256" s="345">
        <v>126.96</v>
      </c>
      <c r="X256" s="345">
        <v>8</v>
      </c>
      <c r="Y256" s="345">
        <v>0</v>
      </c>
      <c r="Z256" s="345">
        <v>5</v>
      </c>
      <c r="AA256" s="345">
        <v>0</v>
      </c>
      <c r="AB256" s="345">
        <v>5</v>
      </c>
      <c r="AC256" s="345">
        <v>9</v>
      </c>
      <c r="AD256" s="349">
        <v>4812</v>
      </c>
      <c r="AE256" s="349">
        <v>22</v>
      </c>
      <c r="AF256" s="349">
        <v>20</v>
      </c>
      <c r="AG256" s="349">
        <v>42</v>
      </c>
    </row>
    <row r="257" spans="1:33" x14ac:dyDescent="0.2">
      <c r="A257" s="344" t="s">
        <v>568</v>
      </c>
      <c r="B257" s="350" t="s">
        <v>569</v>
      </c>
      <c r="C257" s="346">
        <v>1909</v>
      </c>
      <c r="D257" s="346">
        <v>8</v>
      </c>
      <c r="E257" s="346">
        <v>239</v>
      </c>
      <c r="F257" s="346">
        <v>143</v>
      </c>
      <c r="G257" s="346">
        <v>214</v>
      </c>
      <c r="H257" s="346">
        <v>2513</v>
      </c>
      <c r="I257" s="345">
        <v>2299</v>
      </c>
      <c r="J257" s="345">
        <v>0</v>
      </c>
      <c r="K257" s="347">
        <v>121.4</v>
      </c>
      <c r="L257" s="347">
        <v>118.26</v>
      </c>
      <c r="M257" s="347">
        <v>7.02</v>
      </c>
      <c r="N257" s="347">
        <v>127.69</v>
      </c>
      <c r="O257" s="348">
        <v>1612</v>
      </c>
      <c r="P257" s="345">
        <v>99.02</v>
      </c>
      <c r="Q257" s="345">
        <v>95.14</v>
      </c>
      <c r="R257" s="345">
        <v>36.909999999999997</v>
      </c>
      <c r="S257" s="345">
        <v>132.72999999999999</v>
      </c>
      <c r="T257" s="345">
        <v>312</v>
      </c>
      <c r="U257" s="345">
        <v>183.13</v>
      </c>
      <c r="V257" s="345">
        <v>94</v>
      </c>
      <c r="W257" s="345">
        <v>196.33</v>
      </c>
      <c r="X257" s="345">
        <v>36</v>
      </c>
      <c r="Y257" s="345">
        <v>0</v>
      </c>
      <c r="Z257" s="345">
        <v>1</v>
      </c>
      <c r="AA257" s="345">
        <v>0</v>
      </c>
      <c r="AB257" s="345">
        <v>20</v>
      </c>
      <c r="AC257" s="345">
        <v>29</v>
      </c>
      <c r="AD257" s="349">
        <v>1904</v>
      </c>
      <c r="AE257" s="349">
        <v>29</v>
      </c>
      <c r="AF257" s="349">
        <v>1</v>
      </c>
      <c r="AG257" s="349">
        <v>30</v>
      </c>
    </row>
    <row r="258" spans="1:33" x14ac:dyDescent="0.2">
      <c r="A258" s="344" t="s">
        <v>570</v>
      </c>
      <c r="B258" s="350" t="s">
        <v>571</v>
      </c>
      <c r="C258" s="346">
        <v>14708</v>
      </c>
      <c r="D258" s="346">
        <v>2</v>
      </c>
      <c r="E258" s="346">
        <v>605</v>
      </c>
      <c r="F258" s="346">
        <v>2070</v>
      </c>
      <c r="G258" s="346">
        <v>477</v>
      </c>
      <c r="H258" s="346">
        <v>17862</v>
      </c>
      <c r="I258" s="345">
        <v>17385</v>
      </c>
      <c r="J258" s="345">
        <v>2</v>
      </c>
      <c r="K258" s="347">
        <v>88.95</v>
      </c>
      <c r="L258" s="347">
        <v>86.57</v>
      </c>
      <c r="M258" s="347">
        <v>1.77</v>
      </c>
      <c r="N258" s="347">
        <v>90.55</v>
      </c>
      <c r="O258" s="348">
        <v>13930</v>
      </c>
      <c r="P258" s="345">
        <v>84.99</v>
      </c>
      <c r="Q258" s="345">
        <v>80.98</v>
      </c>
      <c r="R258" s="345">
        <v>25.17</v>
      </c>
      <c r="S258" s="345">
        <v>109.28</v>
      </c>
      <c r="T258" s="345">
        <v>2473</v>
      </c>
      <c r="U258" s="345">
        <v>101.49</v>
      </c>
      <c r="V258" s="345">
        <v>708</v>
      </c>
      <c r="W258" s="345">
        <v>97.49</v>
      </c>
      <c r="X258" s="345">
        <v>4</v>
      </c>
      <c r="Y258" s="345">
        <v>0</v>
      </c>
      <c r="Z258" s="345">
        <v>57</v>
      </c>
      <c r="AA258" s="345">
        <v>20</v>
      </c>
      <c r="AB258" s="345">
        <v>26</v>
      </c>
      <c r="AC258" s="345">
        <v>11</v>
      </c>
      <c r="AD258" s="349">
        <v>14664</v>
      </c>
      <c r="AE258" s="349">
        <v>155</v>
      </c>
      <c r="AF258" s="349">
        <v>147</v>
      </c>
      <c r="AG258" s="349">
        <v>302</v>
      </c>
    </row>
    <row r="259" spans="1:33" x14ac:dyDescent="0.2">
      <c r="A259" s="344" t="s">
        <v>572</v>
      </c>
      <c r="B259" s="350" t="s">
        <v>573</v>
      </c>
      <c r="C259" s="346">
        <v>5696</v>
      </c>
      <c r="D259" s="346">
        <v>0</v>
      </c>
      <c r="E259" s="346">
        <v>248</v>
      </c>
      <c r="F259" s="346">
        <v>1727</v>
      </c>
      <c r="G259" s="346">
        <v>248</v>
      </c>
      <c r="H259" s="346">
        <v>7919</v>
      </c>
      <c r="I259" s="345">
        <v>7671</v>
      </c>
      <c r="J259" s="345">
        <v>0</v>
      </c>
      <c r="K259" s="347">
        <v>82.95</v>
      </c>
      <c r="L259" s="347">
        <v>83.59</v>
      </c>
      <c r="M259" s="347">
        <v>3.93</v>
      </c>
      <c r="N259" s="347">
        <v>85.13</v>
      </c>
      <c r="O259" s="348">
        <v>5487</v>
      </c>
      <c r="P259" s="345">
        <v>74.709999999999994</v>
      </c>
      <c r="Q259" s="345">
        <v>74.760000000000005</v>
      </c>
      <c r="R259" s="345">
        <v>17.399999999999999</v>
      </c>
      <c r="S259" s="345">
        <v>91.12</v>
      </c>
      <c r="T259" s="345">
        <v>1826</v>
      </c>
      <c r="U259" s="345">
        <v>100.04</v>
      </c>
      <c r="V259" s="345">
        <v>202</v>
      </c>
      <c r="W259" s="345">
        <v>160.94999999999999</v>
      </c>
      <c r="X259" s="345">
        <v>116</v>
      </c>
      <c r="Y259" s="345">
        <v>46</v>
      </c>
      <c r="Z259" s="345">
        <v>20</v>
      </c>
      <c r="AA259" s="345">
        <v>0</v>
      </c>
      <c r="AB259" s="345">
        <v>0</v>
      </c>
      <c r="AC259" s="345">
        <v>19</v>
      </c>
      <c r="AD259" s="349">
        <v>5696</v>
      </c>
      <c r="AE259" s="349">
        <v>53</v>
      </c>
      <c r="AF259" s="349">
        <v>16</v>
      </c>
      <c r="AG259" s="349">
        <v>69</v>
      </c>
    </row>
    <row r="260" spans="1:33" x14ac:dyDescent="0.2">
      <c r="A260" s="344" t="s">
        <v>574</v>
      </c>
      <c r="B260" s="350" t="s">
        <v>575</v>
      </c>
      <c r="C260" s="346">
        <v>2645</v>
      </c>
      <c r="D260" s="346">
        <v>1</v>
      </c>
      <c r="E260" s="346">
        <v>114</v>
      </c>
      <c r="F260" s="346">
        <v>984</v>
      </c>
      <c r="G260" s="346">
        <v>62</v>
      </c>
      <c r="H260" s="346">
        <v>3806</v>
      </c>
      <c r="I260" s="345">
        <v>3744</v>
      </c>
      <c r="J260" s="345">
        <v>16</v>
      </c>
      <c r="K260" s="347">
        <v>86.02</v>
      </c>
      <c r="L260" s="347">
        <v>87.02</v>
      </c>
      <c r="M260" s="347">
        <v>5.6</v>
      </c>
      <c r="N260" s="347">
        <v>87.27</v>
      </c>
      <c r="O260" s="348">
        <v>2410</v>
      </c>
      <c r="P260" s="345">
        <v>80.430000000000007</v>
      </c>
      <c r="Q260" s="345">
        <v>80.86</v>
      </c>
      <c r="R260" s="345">
        <v>15.42</v>
      </c>
      <c r="S260" s="345">
        <v>95.34</v>
      </c>
      <c r="T260" s="345">
        <v>1052</v>
      </c>
      <c r="U260" s="345">
        <v>93.91</v>
      </c>
      <c r="V260" s="345">
        <v>107</v>
      </c>
      <c r="W260" s="345">
        <v>120.64</v>
      </c>
      <c r="X260" s="345">
        <v>63</v>
      </c>
      <c r="Y260" s="345">
        <v>0</v>
      </c>
      <c r="Z260" s="345">
        <v>9</v>
      </c>
      <c r="AA260" s="345">
        <v>1</v>
      </c>
      <c r="AB260" s="345">
        <v>4</v>
      </c>
      <c r="AC260" s="345">
        <v>4</v>
      </c>
      <c r="AD260" s="349">
        <v>2495</v>
      </c>
      <c r="AE260" s="349">
        <v>19</v>
      </c>
      <c r="AF260" s="349">
        <v>9</v>
      </c>
      <c r="AG260" s="349">
        <v>28</v>
      </c>
    </row>
    <row r="261" spans="1:33" x14ac:dyDescent="0.2">
      <c r="A261" s="344" t="s">
        <v>576</v>
      </c>
      <c r="B261" s="350" t="s">
        <v>577</v>
      </c>
      <c r="C261" s="346">
        <v>1624</v>
      </c>
      <c r="D261" s="346">
        <v>0</v>
      </c>
      <c r="E261" s="346">
        <v>98</v>
      </c>
      <c r="F261" s="346">
        <v>312</v>
      </c>
      <c r="G261" s="346">
        <v>327</v>
      </c>
      <c r="H261" s="346">
        <v>2361</v>
      </c>
      <c r="I261" s="345">
        <v>2034</v>
      </c>
      <c r="J261" s="345">
        <v>6</v>
      </c>
      <c r="K261" s="347">
        <v>113.45</v>
      </c>
      <c r="L261" s="347">
        <v>112.36</v>
      </c>
      <c r="M261" s="347">
        <v>5.62</v>
      </c>
      <c r="N261" s="347">
        <v>118.67</v>
      </c>
      <c r="O261" s="348">
        <v>1391</v>
      </c>
      <c r="P261" s="345">
        <v>92.34</v>
      </c>
      <c r="Q261" s="345">
        <v>88.99</v>
      </c>
      <c r="R261" s="345">
        <v>31.25</v>
      </c>
      <c r="S261" s="345">
        <v>123.59</v>
      </c>
      <c r="T261" s="345">
        <v>385</v>
      </c>
      <c r="U261" s="345">
        <v>129.08000000000001</v>
      </c>
      <c r="V261" s="345">
        <v>81</v>
      </c>
      <c r="W261" s="345">
        <v>0</v>
      </c>
      <c r="X261" s="345">
        <v>0</v>
      </c>
      <c r="Y261" s="345">
        <v>14</v>
      </c>
      <c r="Z261" s="345">
        <v>0</v>
      </c>
      <c r="AA261" s="345">
        <v>0</v>
      </c>
      <c r="AB261" s="345">
        <v>1</v>
      </c>
      <c r="AC261" s="345">
        <v>11</v>
      </c>
      <c r="AD261" s="349">
        <v>1520</v>
      </c>
      <c r="AE261" s="349">
        <v>16</v>
      </c>
      <c r="AF261" s="349">
        <v>2</v>
      </c>
      <c r="AG261" s="349">
        <v>18</v>
      </c>
    </row>
    <row r="262" spans="1:33" x14ac:dyDescent="0.2">
      <c r="A262" s="344" t="s">
        <v>578</v>
      </c>
      <c r="B262" s="350" t="s">
        <v>579</v>
      </c>
      <c r="C262" s="346">
        <v>4230</v>
      </c>
      <c r="D262" s="346">
        <v>4</v>
      </c>
      <c r="E262" s="346">
        <v>388</v>
      </c>
      <c r="F262" s="346">
        <v>1479</v>
      </c>
      <c r="G262" s="346">
        <v>867</v>
      </c>
      <c r="H262" s="346">
        <v>6968</v>
      </c>
      <c r="I262" s="345">
        <v>6101</v>
      </c>
      <c r="J262" s="345">
        <v>10</v>
      </c>
      <c r="K262" s="347">
        <v>84.02</v>
      </c>
      <c r="L262" s="347">
        <v>83.81</v>
      </c>
      <c r="M262" s="347">
        <v>7.01</v>
      </c>
      <c r="N262" s="347">
        <v>87.9</v>
      </c>
      <c r="O262" s="348">
        <v>3724</v>
      </c>
      <c r="P262" s="345">
        <v>81.55</v>
      </c>
      <c r="Q262" s="345">
        <v>77.77</v>
      </c>
      <c r="R262" s="345">
        <v>26.88</v>
      </c>
      <c r="S262" s="345">
        <v>107.74</v>
      </c>
      <c r="T262" s="345">
        <v>1802</v>
      </c>
      <c r="U262" s="345">
        <v>112.46</v>
      </c>
      <c r="V262" s="345">
        <v>356</v>
      </c>
      <c r="W262" s="345">
        <v>149.47</v>
      </c>
      <c r="X262" s="345">
        <v>39</v>
      </c>
      <c r="Y262" s="345">
        <v>43</v>
      </c>
      <c r="Z262" s="345">
        <v>5</v>
      </c>
      <c r="AA262" s="345">
        <v>1</v>
      </c>
      <c r="AB262" s="345">
        <v>41</v>
      </c>
      <c r="AC262" s="345">
        <v>8</v>
      </c>
      <c r="AD262" s="349">
        <v>4027</v>
      </c>
      <c r="AE262" s="349">
        <v>9</v>
      </c>
      <c r="AF262" s="349">
        <v>4</v>
      </c>
      <c r="AG262" s="349">
        <v>13</v>
      </c>
    </row>
    <row r="263" spans="1:33" x14ac:dyDescent="0.2">
      <c r="A263" s="344" t="s">
        <v>580</v>
      </c>
      <c r="B263" s="350" t="s">
        <v>581</v>
      </c>
      <c r="C263" s="346">
        <v>12893</v>
      </c>
      <c r="D263" s="346">
        <v>5</v>
      </c>
      <c r="E263" s="346">
        <v>221</v>
      </c>
      <c r="F263" s="346">
        <v>811</v>
      </c>
      <c r="G263" s="346">
        <v>154</v>
      </c>
      <c r="H263" s="346">
        <v>14084</v>
      </c>
      <c r="I263" s="345">
        <v>13930</v>
      </c>
      <c r="J263" s="345">
        <v>13</v>
      </c>
      <c r="K263" s="347">
        <v>81.05</v>
      </c>
      <c r="L263" s="347">
        <v>86.68</v>
      </c>
      <c r="M263" s="347">
        <v>8.35</v>
      </c>
      <c r="N263" s="347">
        <v>83.54</v>
      </c>
      <c r="O263" s="348">
        <v>11708</v>
      </c>
      <c r="P263" s="345">
        <v>84.3</v>
      </c>
      <c r="Q263" s="345">
        <v>78.63</v>
      </c>
      <c r="R263" s="345">
        <v>39.36</v>
      </c>
      <c r="S263" s="345">
        <v>123.31</v>
      </c>
      <c r="T263" s="345">
        <v>1000</v>
      </c>
      <c r="U263" s="345">
        <v>97.58</v>
      </c>
      <c r="V263" s="345">
        <v>1131</v>
      </c>
      <c r="W263" s="345">
        <v>106.16</v>
      </c>
      <c r="X263" s="345">
        <v>4</v>
      </c>
      <c r="Y263" s="345">
        <v>11</v>
      </c>
      <c r="Z263" s="345">
        <v>47</v>
      </c>
      <c r="AA263" s="345">
        <v>3</v>
      </c>
      <c r="AB263" s="345">
        <v>3</v>
      </c>
      <c r="AC263" s="345">
        <v>2</v>
      </c>
      <c r="AD263" s="349">
        <v>12893</v>
      </c>
      <c r="AE263" s="349">
        <v>278</v>
      </c>
      <c r="AF263" s="349">
        <v>124</v>
      </c>
      <c r="AG263" s="349">
        <v>402</v>
      </c>
    </row>
    <row r="264" spans="1:33" x14ac:dyDescent="0.2">
      <c r="A264" s="344" t="s">
        <v>582</v>
      </c>
      <c r="B264" s="350" t="s">
        <v>583</v>
      </c>
      <c r="C264" s="346">
        <v>5858</v>
      </c>
      <c r="D264" s="346">
        <v>0</v>
      </c>
      <c r="E264" s="346">
        <v>716</v>
      </c>
      <c r="F264" s="346">
        <v>1034</v>
      </c>
      <c r="G264" s="346">
        <v>267</v>
      </c>
      <c r="H264" s="346">
        <v>7875</v>
      </c>
      <c r="I264" s="345">
        <v>7608</v>
      </c>
      <c r="J264" s="345">
        <v>16</v>
      </c>
      <c r="K264" s="347">
        <v>75.84</v>
      </c>
      <c r="L264" s="347">
        <v>76.86</v>
      </c>
      <c r="M264" s="347">
        <v>4.05</v>
      </c>
      <c r="N264" s="347">
        <v>78.55</v>
      </c>
      <c r="O264" s="348">
        <v>4979</v>
      </c>
      <c r="P264" s="345">
        <v>87.08</v>
      </c>
      <c r="Q264" s="345">
        <v>86.25</v>
      </c>
      <c r="R264" s="345">
        <v>47.57</v>
      </c>
      <c r="S264" s="345">
        <v>133.16</v>
      </c>
      <c r="T264" s="345">
        <v>1401</v>
      </c>
      <c r="U264" s="345">
        <v>94.7</v>
      </c>
      <c r="V264" s="345">
        <v>342</v>
      </c>
      <c r="W264" s="345">
        <v>156.86000000000001</v>
      </c>
      <c r="X264" s="345">
        <v>60</v>
      </c>
      <c r="Y264" s="345">
        <v>0</v>
      </c>
      <c r="Z264" s="345">
        <v>1</v>
      </c>
      <c r="AA264" s="345">
        <v>8</v>
      </c>
      <c r="AB264" s="345">
        <v>0</v>
      </c>
      <c r="AC264" s="345">
        <v>1</v>
      </c>
      <c r="AD264" s="349">
        <v>5327</v>
      </c>
      <c r="AE264" s="349">
        <v>37</v>
      </c>
      <c r="AF264" s="349">
        <v>17</v>
      </c>
      <c r="AG264" s="349">
        <v>54</v>
      </c>
    </row>
    <row r="265" spans="1:33" x14ac:dyDescent="0.2">
      <c r="A265" s="344" t="s">
        <v>584</v>
      </c>
      <c r="B265" s="350" t="s">
        <v>585</v>
      </c>
      <c r="C265" s="346">
        <v>6340</v>
      </c>
      <c r="D265" s="346">
        <v>2</v>
      </c>
      <c r="E265" s="346">
        <v>68</v>
      </c>
      <c r="F265" s="346">
        <v>660</v>
      </c>
      <c r="G265" s="346">
        <v>471</v>
      </c>
      <c r="H265" s="346">
        <v>7541</v>
      </c>
      <c r="I265" s="345">
        <v>7070</v>
      </c>
      <c r="J265" s="345">
        <v>7</v>
      </c>
      <c r="K265" s="347">
        <v>105.26</v>
      </c>
      <c r="L265" s="347">
        <v>100.36</v>
      </c>
      <c r="M265" s="347">
        <v>4.54</v>
      </c>
      <c r="N265" s="347">
        <v>106.56</v>
      </c>
      <c r="O265" s="348">
        <v>5826</v>
      </c>
      <c r="P265" s="345">
        <v>81.260000000000005</v>
      </c>
      <c r="Q265" s="345">
        <v>86.17</v>
      </c>
      <c r="R265" s="345">
        <v>28.82</v>
      </c>
      <c r="S265" s="345">
        <v>109.81</v>
      </c>
      <c r="T265" s="345">
        <v>635</v>
      </c>
      <c r="U265" s="345">
        <v>132.29</v>
      </c>
      <c r="V265" s="345">
        <v>164</v>
      </c>
      <c r="W265" s="345">
        <v>0</v>
      </c>
      <c r="X265" s="345">
        <v>0</v>
      </c>
      <c r="Y265" s="345">
        <v>10</v>
      </c>
      <c r="Z265" s="345">
        <v>11</v>
      </c>
      <c r="AA265" s="345">
        <v>18</v>
      </c>
      <c r="AB265" s="345">
        <v>19</v>
      </c>
      <c r="AC265" s="345">
        <v>11</v>
      </c>
      <c r="AD265" s="349">
        <v>5963</v>
      </c>
      <c r="AE265" s="349">
        <v>28</v>
      </c>
      <c r="AF265" s="349">
        <v>32</v>
      </c>
      <c r="AG265" s="349">
        <v>60</v>
      </c>
    </row>
    <row r="266" spans="1:33" x14ac:dyDescent="0.2">
      <c r="A266" s="344" t="s">
        <v>586</v>
      </c>
      <c r="B266" s="350" t="s">
        <v>587</v>
      </c>
      <c r="C266" s="346">
        <v>1250</v>
      </c>
      <c r="D266" s="346">
        <v>3</v>
      </c>
      <c r="E266" s="346">
        <v>116</v>
      </c>
      <c r="F266" s="346">
        <v>147</v>
      </c>
      <c r="G266" s="346">
        <v>281</v>
      </c>
      <c r="H266" s="346">
        <v>1797</v>
      </c>
      <c r="I266" s="345">
        <v>1516</v>
      </c>
      <c r="J266" s="345">
        <v>0</v>
      </c>
      <c r="K266" s="347">
        <v>99.01</v>
      </c>
      <c r="L266" s="347">
        <v>96.21</v>
      </c>
      <c r="M266" s="347">
        <v>4.72</v>
      </c>
      <c r="N266" s="347">
        <v>102.83</v>
      </c>
      <c r="O266" s="348">
        <v>1023</v>
      </c>
      <c r="P266" s="345">
        <v>81.53</v>
      </c>
      <c r="Q266" s="345">
        <v>80.25</v>
      </c>
      <c r="R266" s="345">
        <v>32.03</v>
      </c>
      <c r="S266" s="345">
        <v>110.51</v>
      </c>
      <c r="T266" s="345">
        <v>231</v>
      </c>
      <c r="U266" s="345">
        <v>122.28</v>
      </c>
      <c r="V266" s="345">
        <v>159</v>
      </c>
      <c r="W266" s="345">
        <v>0</v>
      </c>
      <c r="X266" s="345">
        <v>0</v>
      </c>
      <c r="Y266" s="345">
        <v>18</v>
      </c>
      <c r="Z266" s="345">
        <v>0</v>
      </c>
      <c r="AA266" s="345">
        <v>7</v>
      </c>
      <c r="AB266" s="345">
        <v>29</v>
      </c>
      <c r="AC266" s="345">
        <v>2</v>
      </c>
      <c r="AD266" s="349">
        <v>1193</v>
      </c>
      <c r="AE266" s="349">
        <v>7</v>
      </c>
      <c r="AF266" s="349">
        <v>1</v>
      </c>
      <c r="AG266" s="349">
        <v>8</v>
      </c>
    </row>
    <row r="267" spans="1:33" x14ac:dyDescent="0.2">
      <c r="A267" s="344" t="s">
        <v>588</v>
      </c>
      <c r="B267" s="350" t="s">
        <v>589</v>
      </c>
      <c r="C267" s="346">
        <v>31813</v>
      </c>
      <c r="D267" s="346">
        <v>38</v>
      </c>
      <c r="E267" s="346">
        <v>602</v>
      </c>
      <c r="F267" s="346">
        <v>1679</v>
      </c>
      <c r="G267" s="346">
        <v>308</v>
      </c>
      <c r="H267" s="346">
        <v>34440</v>
      </c>
      <c r="I267" s="345">
        <v>34132</v>
      </c>
      <c r="J267" s="345">
        <v>150</v>
      </c>
      <c r="K267" s="347">
        <v>79.45</v>
      </c>
      <c r="L267" s="347">
        <v>76.760000000000005</v>
      </c>
      <c r="M267" s="347">
        <v>4.55</v>
      </c>
      <c r="N267" s="347">
        <v>80.64</v>
      </c>
      <c r="O267" s="348">
        <v>30300</v>
      </c>
      <c r="P267" s="345">
        <v>73.89</v>
      </c>
      <c r="Q267" s="345">
        <v>72.010000000000005</v>
      </c>
      <c r="R267" s="345">
        <v>28.89</v>
      </c>
      <c r="S267" s="345">
        <v>100.96</v>
      </c>
      <c r="T267" s="345">
        <v>2023</v>
      </c>
      <c r="U267" s="345">
        <v>100.91</v>
      </c>
      <c r="V267" s="345">
        <v>1079</v>
      </c>
      <c r="W267" s="345">
        <v>149.07</v>
      </c>
      <c r="X267" s="345">
        <v>226</v>
      </c>
      <c r="Y267" s="345">
        <v>0</v>
      </c>
      <c r="Z267" s="345">
        <v>110</v>
      </c>
      <c r="AA267" s="345">
        <v>32</v>
      </c>
      <c r="AB267" s="345">
        <v>47</v>
      </c>
      <c r="AC267" s="345">
        <v>22</v>
      </c>
      <c r="AD267" s="349">
        <v>31380</v>
      </c>
      <c r="AE267" s="349">
        <v>326</v>
      </c>
      <c r="AF267" s="349">
        <v>107</v>
      </c>
      <c r="AG267" s="349">
        <v>433</v>
      </c>
    </row>
    <row r="268" spans="1:33" x14ac:dyDescent="0.2">
      <c r="A268" s="344" t="s">
        <v>590</v>
      </c>
      <c r="B268" s="350" t="s">
        <v>591</v>
      </c>
      <c r="C268" s="346">
        <v>2895</v>
      </c>
      <c r="D268" s="346">
        <v>0</v>
      </c>
      <c r="E268" s="346">
        <v>124</v>
      </c>
      <c r="F268" s="346">
        <v>307</v>
      </c>
      <c r="G268" s="346">
        <v>259</v>
      </c>
      <c r="H268" s="346">
        <v>3585</v>
      </c>
      <c r="I268" s="345">
        <v>3326</v>
      </c>
      <c r="J268" s="345">
        <v>313</v>
      </c>
      <c r="K268" s="347">
        <v>111.66</v>
      </c>
      <c r="L268" s="347">
        <v>113.95</v>
      </c>
      <c r="M268" s="347">
        <v>5.42</v>
      </c>
      <c r="N268" s="347">
        <v>116.78</v>
      </c>
      <c r="O268" s="348">
        <v>2891</v>
      </c>
      <c r="P268" s="345">
        <v>94.31</v>
      </c>
      <c r="Q268" s="345">
        <v>95.42</v>
      </c>
      <c r="R268" s="345">
        <v>21.94</v>
      </c>
      <c r="S268" s="345">
        <v>113.3</v>
      </c>
      <c r="T268" s="345">
        <v>400</v>
      </c>
      <c r="U268" s="345">
        <v>148.26</v>
      </c>
      <c r="V268" s="345">
        <v>3</v>
      </c>
      <c r="W268" s="345">
        <v>0</v>
      </c>
      <c r="X268" s="345">
        <v>0</v>
      </c>
      <c r="Y268" s="345">
        <v>0</v>
      </c>
      <c r="Z268" s="345">
        <v>5</v>
      </c>
      <c r="AA268" s="345">
        <v>0</v>
      </c>
      <c r="AB268" s="345">
        <v>0</v>
      </c>
      <c r="AC268" s="345">
        <v>12</v>
      </c>
      <c r="AD268" s="349">
        <v>2895</v>
      </c>
      <c r="AE268" s="349">
        <v>3</v>
      </c>
      <c r="AF268" s="349">
        <v>0</v>
      </c>
      <c r="AG268" s="349">
        <v>3</v>
      </c>
    </row>
    <row r="269" spans="1:33" x14ac:dyDescent="0.2">
      <c r="A269" s="344" t="s">
        <v>592</v>
      </c>
      <c r="B269" s="350" t="s">
        <v>593</v>
      </c>
      <c r="C269" s="346">
        <v>3832</v>
      </c>
      <c r="D269" s="346">
        <v>8</v>
      </c>
      <c r="E269" s="346">
        <v>323</v>
      </c>
      <c r="F269" s="346">
        <v>921</v>
      </c>
      <c r="G269" s="346">
        <v>557</v>
      </c>
      <c r="H269" s="346">
        <v>5641</v>
      </c>
      <c r="I269" s="345">
        <v>5084</v>
      </c>
      <c r="J269" s="345">
        <v>13</v>
      </c>
      <c r="K269" s="347">
        <v>118.95</v>
      </c>
      <c r="L269" s="347">
        <v>119.86</v>
      </c>
      <c r="M269" s="347">
        <v>7.54</v>
      </c>
      <c r="N269" s="347">
        <v>125.79</v>
      </c>
      <c r="O269" s="348">
        <v>3374</v>
      </c>
      <c r="P269" s="345">
        <v>107.45</v>
      </c>
      <c r="Q269" s="345">
        <v>103.8</v>
      </c>
      <c r="R269" s="345">
        <v>39.33</v>
      </c>
      <c r="S269" s="345">
        <v>145.44999999999999</v>
      </c>
      <c r="T269" s="345">
        <v>768</v>
      </c>
      <c r="U269" s="345">
        <v>172.2</v>
      </c>
      <c r="V269" s="345">
        <v>243</v>
      </c>
      <c r="W269" s="345">
        <v>210.05</v>
      </c>
      <c r="X269" s="345">
        <v>65</v>
      </c>
      <c r="Y269" s="345">
        <v>0</v>
      </c>
      <c r="Z269" s="345">
        <v>10</v>
      </c>
      <c r="AA269" s="345">
        <v>0</v>
      </c>
      <c r="AB269" s="345">
        <v>15</v>
      </c>
      <c r="AC269" s="345">
        <v>17</v>
      </c>
      <c r="AD269" s="349">
        <v>3680</v>
      </c>
      <c r="AE269" s="349">
        <v>19</v>
      </c>
      <c r="AF269" s="349">
        <v>15</v>
      </c>
      <c r="AG269" s="349">
        <v>34</v>
      </c>
    </row>
    <row r="270" spans="1:33" x14ac:dyDescent="0.2">
      <c r="A270" s="344" t="s">
        <v>594</v>
      </c>
      <c r="B270" s="350" t="s">
        <v>595</v>
      </c>
      <c r="C270" s="346">
        <v>7542</v>
      </c>
      <c r="D270" s="346">
        <v>0</v>
      </c>
      <c r="E270" s="346">
        <v>244</v>
      </c>
      <c r="F270" s="346">
        <v>443</v>
      </c>
      <c r="G270" s="346">
        <v>514</v>
      </c>
      <c r="H270" s="346">
        <v>8743</v>
      </c>
      <c r="I270" s="345">
        <v>8229</v>
      </c>
      <c r="J270" s="345">
        <v>0</v>
      </c>
      <c r="K270" s="347">
        <v>97.82</v>
      </c>
      <c r="L270" s="347">
        <v>97.85</v>
      </c>
      <c r="M270" s="347">
        <v>5.0199999999999996</v>
      </c>
      <c r="N270" s="347">
        <v>100.17</v>
      </c>
      <c r="O270" s="348">
        <v>6793</v>
      </c>
      <c r="P270" s="345">
        <v>85.88</v>
      </c>
      <c r="Q270" s="345">
        <v>90.71</v>
      </c>
      <c r="R270" s="345">
        <v>46.69</v>
      </c>
      <c r="S270" s="345">
        <v>131.94</v>
      </c>
      <c r="T270" s="345">
        <v>603</v>
      </c>
      <c r="U270" s="345">
        <v>122.85</v>
      </c>
      <c r="V270" s="345">
        <v>619</v>
      </c>
      <c r="W270" s="345">
        <v>0</v>
      </c>
      <c r="X270" s="345">
        <v>0</v>
      </c>
      <c r="Y270" s="345">
        <v>31</v>
      </c>
      <c r="Z270" s="345">
        <v>12</v>
      </c>
      <c r="AA270" s="345">
        <v>5</v>
      </c>
      <c r="AB270" s="345">
        <v>30</v>
      </c>
      <c r="AC270" s="345">
        <v>26</v>
      </c>
      <c r="AD270" s="349">
        <v>7475</v>
      </c>
      <c r="AE270" s="349">
        <v>24</v>
      </c>
      <c r="AF270" s="349">
        <v>76</v>
      </c>
      <c r="AG270" s="349">
        <v>100</v>
      </c>
    </row>
    <row r="271" spans="1:33" x14ac:dyDescent="0.2">
      <c r="A271" s="344" t="s">
        <v>596</v>
      </c>
      <c r="B271" s="350" t="s">
        <v>597</v>
      </c>
      <c r="C271" s="346">
        <v>3345</v>
      </c>
      <c r="D271" s="346">
        <v>0</v>
      </c>
      <c r="E271" s="346">
        <v>500</v>
      </c>
      <c r="F271" s="346">
        <v>999</v>
      </c>
      <c r="G271" s="346">
        <v>892</v>
      </c>
      <c r="H271" s="346">
        <v>5736</v>
      </c>
      <c r="I271" s="345">
        <v>4844</v>
      </c>
      <c r="J271" s="345">
        <v>1</v>
      </c>
      <c r="K271" s="347">
        <v>97.94</v>
      </c>
      <c r="L271" s="347">
        <v>96.57</v>
      </c>
      <c r="M271" s="347">
        <v>6.19</v>
      </c>
      <c r="N271" s="347">
        <v>102.86</v>
      </c>
      <c r="O271" s="348">
        <v>2816</v>
      </c>
      <c r="P271" s="345">
        <v>81.48</v>
      </c>
      <c r="Q271" s="345">
        <v>79.58</v>
      </c>
      <c r="R271" s="345">
        <v>38.409999999999997</v>
      </c>
      <c r="S271" s="345">
        <v>117.84</v>
      </c>
      <c r="T271" s="345">
        <v>1427</v>
      </c>
      <c r="U271" s="345">
        <v>124.4</v>
      </c>
      <c r="V271" s="345">
        <v>167</v>
      </c>
      <c r="W271" s="345">
        <v>144.63</v>
      </c>
      <c r="X271" s="345">
        <v>23</v>
      </c>
      <c r="Y271" s="345">
        <v>89</v>
      </c>
      <c r="Z271" s="345">
        <v>7</v>
      </c>
      <c r="AA271" s="345">
        <v>0</v>
      </c>
      <c r="AB271" s="345">
        <v>11</v>
      </c>
      <c r="AC271" s="345">
        <v>48</v>
      </c>
      <c r="AD271" s="349">
        <v>3106</v>
      </c>
      <c r="AE271" s="349">
        <v>7</v>
      </c>
      <c r="AF271" s="349">
        <v>3</v>
      </c>
      <c r="AG271" s="349">
        <v>10</v>
      </c>
    </row>
    <row r="272" spans="1:33" x14ac:dyDescent="0.2">
      <c r="A272" s="344" t="s">
        <v>598</v>
      </c>
      <c r="B272" s="350" t="s">
        <v>599</v>
      </c>
      <c r="C272" s="346">
        <v>19801</v>
      </c>
      <c r="D272" s="346">
        <v>0</v>
      </c>
      <c r="E272" s="346">
        <v>503</v>
      </c>
      <c r="F272" s="346">
        <v>1842</v>
      </c>
      <c r="G272" s="346">
        <v>170</v>
      </c>
      <c r="H272" s="346">
        <v>22316</v>
      </c>
      <c r="I272" s="345">
        <v>22146</v>
      </c>
      <c r="J272" s="345">
        <v>21</v>
      </c>
      <c r="K272" s="347">
        <v>82.7</v>
      </c>
      <c r="L272" s="347">
        <v>79.92</v>
      </c>
      <c r="M272" s="347">
        <v>3.35</v>
      </c>
      <c r="N272" s="347">
        <v>85.31</v>
      </c>
      <c r="O272" s="348">
        <v>17688</v>
      </c>
      <c r="P272" s="345">
        <v>78.92</v>
      </c>
      <c r="Q272" s="345">
        <v>72.790000000000006</v>
      </c>
      <c r="R272" s="345">
        <v>31.17</v>
      </c>
      <c r="S272" s="345">
        <v>106.11</v>
      </c>
      <c r="T272" s="345">
        <v>2260</v>
      </c>
      <c r="U272" s="345">
        <v>104.84</v>
      </c>
      <c r="V272" s="345">
        <v>1102</v>
      </c>
      <c r="W272" s="345">
        <v>0</v>
      </c>
      <c r="X272" s="345">
        <v>0</v>
      </c>
      <c r="Y272" s="345">
        <v>1</v>
      </c>
      <c r="Z272" s="345">
        <v>28</v>
      </c>
      <c r="AA272" s="345">
        <v>4</v>
      </c>
      <c r="AB272" s="345">
        <v>5</v>
      </c>
      <c r="AC272" s="345">
        <v>3</v>
      </c>
      <c r="AD272" s="349">
        <v>18830</v>
      </c>
      <c r="AE272" s="349">
        <v>52</v>
      </c>
      <c r="AF272" s="349">
        <v>117</v>
      </c>
      <c r="AG272" s="349">
        <v>169</v>
      </c>
    </row>
    <row r="273" spans="1:33" x14ac:dyDescent="0.2">
      <c r="A273" s="344" t="s">
        <v>600</v>
      </c>
      <c r="B273" s="350" t="s">
        <v>601</v>
      </c>
      <c r="C273" s="346">
        <v>1388</v>
      </c>
      <c r="D273" s="346">
        <v>0</v>
      </c>
      <c r="E273" s="346">
        <v>69</v>
      </c>
      <c r="F273" s="346">
        <v>177</v>
      </c>
      <c r="G273" s="346">
        <v>131</v>
      </c>
      <c r="H273" s="346">
        <v>1765</v>
      </c>
      <c r="I273" s="345">
        <v>1634</v>
      </c>
      <c r="J273" s="345">
        <v>1</v>
      </c>
      <c r="K273" s="347">
        <v>88.18</v>
      </c>
      <c r="L273" s="347">
        <v>87.34</v>
      </c>
      <c r="M273" s="347">
        <v>4.8</v>
      </c>
      <c r="N273" s="347">
        <v>92.1</v>
      </c>
      <c r="O273" s="348">
        <v>1257</v>
      </c>
      <c r="P273" s="345">
        <v>80.39</v>
      </c>
      <c r="Q273" s="345">
        <v>78.849999999999994</v>
      </c>
      <c r="R273" s="345">
        <v>30.97</v>
      </c>
      <c r="S273" s="345">
        <v>109.19</v>
      </c>
      <c r="T273" s="345">
        <v>214</v>
      </c>
      <c r="U273" s="345">
        <v>106.71</v>
      </c>
      <c r="V273" s="345">
        <v>102</v>
      </c>
      <c r="W273" s="345">
        <v>0</v>
      </c>
      <c r="X273" s="345">
        <v>0</v>
      </c>
      <c r="Y273" s="345">
        <v>0</v>
      </c>
      <c r="Z273" s="345">
        <v>1</v>
      </c>
      <c r="AA273" s="345">
        <v>4</v>
      </c>
      <c r="AB273" s="345">
        <v>6</v>
      </c>
      <c r="AC273" s="345">
        <v>11</v>
      </c>
      <c r="AD273" s="349">
        <v>1388</v>
      </c>
      <c r="AE273" s="349">
        <v>3</v>
      </c>
      <c r="AF273" s="349">
        <v>4</v>
      </c>
      <c r="AG273" s="349">
        <v>7</v>
      </c>
    </row>
    <row r="274" spans="1:33" x14ac:dyDescent="0.2">
      <c r="A274" s="344" t="s">
        <v>602</v>
      </c>
      <c r="B274" s="350" t="s">
        <v>603</v>
      </c>
      <c r="C274" s="346">
        <v>917</v>
      </c>
      <c r="D274" s="346">
        <v>0</v>
      </c>
      <c r="E274" s="346">
        <v>149</v>
      </c>
      <c r="F274" s="346">
        <v>59</v>
      </c>
      <c r="G274" s="346">
        <v>225</v>
      </c>
      <c r="H274" s="346">
        <v>1350</v>
      </c>
      <c r="I274" s="345">
        <v>1125</v>
      </c>
      <c r="J274" s="345">
        <v>0</v>
      </c>
      <c r="K274" s="347">
        <v>123.82</v>
      </c>
      <c r="L274" s="347">
        <v>122.22</v>
      </c>
      <c r="M274" s="347">
        <v>5.68</v>
      </c>
      <c r="N274" s="347">
        <v>129.32</v>
      </c>
      <c r="O274" s="348">
        <v>692</v>
      </c>
      <c r="P274" s="345">
        <v>103.22</v>
      </c>
      <c r="Q274" s="345">
        <v>103.07</v>
      </c>
      <c r="R274" s="345">
        <v>47.53</v>
      </c>
      <c r="S274" s="345">
        <v>149.29</v>
      </c>
      <c r="T274" s="345">
        <v>65</v>
      </c>
      <c r="U274" s="345">
        <v>167.41</v>
      </c>
      <c r="V274" s="345">
        <v>142</v>
      </c>
      <c r="W274" s="345">
        <v>148.05000000000001</v>
      </c>
      <c r="X274" s="345">
        <v>27</v>
      </c>
      <c r="Y274" s="345">
        <v>0</v>
      </c>
      <c r="Z274" s="345">
        <v>3</v>
      </c>
      <c r="AA274" s="345">
        <v>0</v>
      </c>
      <c r="AB274" s="345">
        <v>18</v>
      </c>
      <c r="AC274" s="345">
        <v>13</v>
      </c>
      <c r="AD274" s="349">
        <v>866</v>
      </c>
      <c r="AE274" s="349">
        <v>5</v>
      </c>
      <c r="AF274" s="349">
        <v>1</v>
      </c>
      <c r="AG274" s="349">
        <v>6</v>
      </c>
    </row>
    <row r="275" spans="1:33" x14ac:dyDescent="0.2">
      <c r="A275" s="344" t="s">
        <v>604</v>
      </c>
      <c r="B275" s="350" t="s">
        <v>605</v>
      </c>
      <c r="C275" s="346">
        <v>3947</v>
      </c>
      <c r="D275" s="346">
        <v>0</v>
      </c>
      <c r="E275" s="346">
        <v>126</v>
      </c>
      <c r="F275" s="346">
        <v>1379</v>
      </c>
      <c r="G275" s="346">
        <v>522</v>
      </c>
      <c r="H275" s="346">
        <v>5974</v>
      </c>
      <c r="I275" s="345">
        <v>5452</v>
      </c>
      <c r="J275" s="345">
        <v>15</v>
      </c>
      <c r="K275" s="347">
        <v>87.87</v>
      </c>
      <c r="L275" s="347">
        <v>82.59</v>
      </c>
      <c r="M275" s="347">
        <v>2.95</v>
      </c>
      <c r="N275" s="347">
        <v>90.69</v>
      </c>
      <c r="O275" s="348">
        <v>3455</v>
      </c>
      <c r="P275" s="345">
        <v>84.48</v>
      </c>
      <c r="Q275" s="345">
        <v>75.510000000000005</v>
      </c>
      <c r="R275" s="345">
        <v>8.19</v>
      </c>
      <c r="S275" s="345">
        <v>92.48</v>
      </c>
      <c r="T275" s="345">
        <v>1253</v>
      </c>
      <c r="U275" s="345">
        <v>126.24</v>
      </c>
      <c r="V275" s="345">
        <v>447</v>
      </c>
      <c r="W275" s="345">
        <v>0</v>
      </c>
      <c r="X275" s="345">
        <v>0</v>
      </c>
      <c r="Y275" s="345">
        <v>0</v>
      </c>
      <c r="Z275" s="345">
        <v>16</v>
      </c>
      <c r="AA275" s="345">
        <v>0</v>
      </c>
      <c r="AB275" s="345">
        <v>28</v>
      </c>
      <c r="AC275" s="345">
        <v>6</v>
      </c>
      <c r="AD275" s="349">
        <v>3903</v>
      </c>
      <c r="AE275" s="349">
        <v>21</v>
      </c>
      <c r="AF275" s="349">
        <v>16</v>
      </c>
      <c r="AG275" s="349">
        <v>37</v>
      </c>
    </row>
    <row r="276" spans="1:33" x14ac:dyDescent="0.2">
      <c r="A276" s="344" t="s">
        <v>606</v>
      </c>
      <c r="B276" s="350" t="s">
        <v>607</v>
      </c>
      <c r="C276" s="346">
        <v>11402</v>
      </c>
      <c r="D276" s="346">
        <v>0</v>
      </c>
      <c r="E276" s="346">
        <v>237</v>
      </c>
      <c r="F276" s="346">
        <v>1820</v>
      </c>
      <c r="G276" s="346">
        <v>343</v>
      </c>
      <c r="H276" s="346">
        <v>13802</v>
      </c>
      <c r="I276" s="345">
        <v>13459</v>
      </c>
      <c r="J276" s="345">
        <v>4</v>
      </c>
      <c r="K276" s="347">
        <v>89.64</v>
      </c>
      <c r="L276" s="347">
        <v>89.61</v>
      </c>
      <c r="M276" s="347">
        <v>6.03</v>
      </c>
      <c r="N276" s="347">
        <v>91.93</v>
      </c>
      <c r="O276" s="348">
        <v>10827</v>
      </c>
      <c r="P276" s="345">
        <v>90.83</v>
      </c>
      <c r="Q276" s="345">
        <v>83.78</v>
      </c>
      <c r="R276" s="345">
        <v>80.02</v>
      </c>
      <c r="S276" s="345">
        <v>168.29</v>
      </c>
      <c r="T276" s="345">
        <v>1938</v>
      </c>
      <c r="U276" s="345">
        <v>108.68</v>
      </c>
      <c r="V276" s="345">
        <v>457</v>
      </c>
      <c r="W276" s="345">
        <v>180.35</v>
      </c>
      <c r="X276" s="345">
        <v>28</v>
      </c>
      <c r="Y276" s="345">
        <v>0</v>
      </c>
      <c r="Z276" s="345">
        <v>39</v>
      </c>
      <c r="AA276" s="345">
        <v>212</v>
      </c>
      <c r="AB276" s="345">
        <v>29</v>
      </c>
      <c r="AC276" s="345">
        <v>3</v>
      </c>
      <c r="AD276" s="349">
        <v>11362</v>
      </c>
      <c r="AE276" s="349">
        <v>40</v>
      </c>
      <c r="AF276" s="349">
        <v>320</v>
      </c>
      <c r="AG276" s="349">
        <v>360</v>
      </c>
    </row>
    <row r="277" spans="1:33" x14ac:dyDescent="0.2">
      <c r="A277" s="344" t="s">
        <v>608</v>
      </c>
      <c r="B277" s="350" t="s">
        <v>609</v>
      </c>
      <c r="C277" s="346">
        <v>1879</v>
      </c>
      <c r="D277" s="346">
        <v>0</v>
      </c>
      <c r="E277" s="346">
        <v>237</v>
      </c>
      <c r="F277" s="346">
        <v>554</v>
      </c>
      <c r="G277" s="346">
        <v>74</v>
      </c>
      <c r="H277" s="346">
        <v>2744</v>
      </c>
      <c r="I277" s="345">
        <v>2670</v>
      </c>
      <c r="J277" s="345">
        <v>0</v>
      </c>
      <c r="K277" s="347">
        <v>99.63</v>
      </c>
      <c r="L277" s="347">
        <v>97.7</v>
      </c>
      <c r="M277" s="347">
        <v>3.58</v>
      </c>
      <c r="N277" s="347">
        <v>102.42</v>
      </c>
      <c r="O277" s="348">
        <v>1717</v>
      </c>
      <c r="P277" s="345">
        <v>85.38</v>
      </c>
      <c r="Q277" s="345">
        <v>82.06</v>
      </c>
      <c r="R277" s="345">
        <v>32.65</v>
      </c>
      <c r="S277" s="345">
        <v>117.47</v>
      </c>
      <c r="T277" s="345">
        <v>757</v>
      </c>
      <c r="U277" s="345">
        <v>122.89</v>
      </c>
      <c r="V277" s="345">
        <v>102</v>
      </c>
      <c r="W277" s="345">
        <v>0</v>
      </c>
      <c r="X277" s="345">
        <v>0</v>
      </c>
      <c r="Y277" s="345">
        <v>0</v>
      </c>
      <c r="Z277" s="345">
        <v>2</v>
      </c>
      <c r="AA277" s="345">
        <v>2</v>
      </c>
      <c r="AB277" s="345">
        <v>2</v>
      </c>
      <c r="AC277" s="345">
        <v>1</v>
      </c>
      <c r="AD277" s="349">
        <v>1867</v>
      </c>
      <c r="AE277" s="349">
        <v>7</v>
      </c>
      <c r="AF277" s="349">
        <v>0</v>
      </c>
      <c r="AG277" s="349">
        <v>7</v>
      </c>
    </row>
    <row r="278" spans="1:33" x14ac:dyDescent="0.2">
      <c r="A278" s="344" t="s">
        <v>610</v>
      </c>
      <c r="B278" s="350" t="s">
        <v>611</v>
      </c>
      <c r="C278" s="346">
        <v>6750</v>
      </c>
      <c r="D278" s="346">
        <v>0</v>
      </c>
      <c r="E278" s="346">
        <v>221</v>
      </c>
      <c r="F278" s="346">
        <v>480</v>
      </c>
      <c r="G278" s="346">
        <v>532</v>
      </c>
      <c r="H278" s="346">
        <v>7983</v>
      </c>
      <c r="I278" s="345">
        <v>7451</v>
      </c>
      <c r="J278" s="345">
        <v>0</v>
      </c>
      <c r="K278" s="347">
        <v>106.81</v>
      </c>
      <c r="L278" s="347">
        <v>108.08</v>
      </c>
      <c r="M278" s="347">
        <v>2.4500000000000002</v>
      </c>
      <c r="N278" s="347">
        <v>108.89</v>
      </c>
      <c r="O278" s="348">
        <v>6027</v>
      </c>
      <c r="P278" s="345">
        <v>90.12</v>
      </c>
      <c r="Q278" s="345">
        <v>89.15</v>
      </c>
      <c r="R278" s="345">
        <v>31.59</v>
      </c>
      <c r="S278" s="345">
        <v>121.65</v>
      </c>
      <c r="T278" s="345">
        <v>594</v>
      </c>
      <c r="U278" s="345">
        <v>134.33000000000001</v>
      </c>
      <c r="V278" s="345">
        <v>427</v>
      </c>
      <c r="W278" s="345">
        <v>121.68</v>
      </c>
      <c r="X278" s="345">
        <v>1</v>
      </c>
      <c r="Y278" s="345">
        <v>12</v>
      </c>
      <c r="Z278" s="345">
        <v>6</v>
      </c>
      <c r="AA278" s="345">
        <v>1</v>
      </c>
      <c r="AB278" s="345">
        <v>63</v>
      </c>
      <c r="AC278" s="345">
        <v>6</v>
      </c>
      <c r="AD278" s="349">
        <v>6539</v>
      </c>
      <c r="AE278" s="349">
        <v>21</v>
      </c>
      <c r="AF278" s="349">
        <v>27</v>
      </c>
      <c r="AG278" s="349">
        <v>48</v>
      </c>
    </row>
    <row r="279" spans="1:33" x14ac:dyDescent="0.2">
      <c r="A279" s="344" t="s">
        <v>612</v>
      </c>
      <c r="B279" s="350" t="s">
        <v>613</v>
      </c>
      <c r="C279" s="346">
        <v>4012</v>
      </c>
      <c r="D279" s="346">
        <v>0</v>
      </c>
      <c r="E279" s="346">
        <v>53</v>
      </c>
      <c r="F279" s="346">
        <v>558</v>
      </c>
      <c r="G279" s="346">
        <v>405</v>
      </c>
      <c r="H279" s="346">
        <v>5028</v>
      </c>
      <c r="I279" s="345">
        <v>4623</v>
      </c>
      <c r="J279" s="345">
        <v>137</v>
      </c>
      <c r="K279" s="347">
        <v>94.98</v>
      </c>
      <c r="L279" s="347">
        <v>94.62</v>
      </c>
      <c r="M279" s="347">
        <v>3.73</v>
      </c>
      <c r="N279" s="347">
        <v>97.16</v>
      </c>
      <c r="O279" s="348">
        <v>3819</v>
      </c>
      <c r="P279" s="345">
        <v>83.73</v>
      </c>
      <c r="Q279" s="345">
        <v>83.36</v>
      </c>
      <c r="R279" s="345">
        <v>27.38</v>
      </c>
      <c r="S279" s="345">
        <v>110.3</v>
      </c>
      <c r="T279" s="345">
        <v>607</v>
      </c>
      <c r="U279" s="345">
        <v>128.93</v>
      </c>
      <c r="V279" s="345">
        <v>181</v>
      </c>
      <c r="W279" s="345">
        <v>119.04</v>
      </c>
      <c r="X279" s="345">
        <v>4</v>
      </c>
      <c r="Y279" s="345">
        <v>0</v>
      </c>
      <c r="Z279" s="345">
        <v>9</v>
      </c>
      <c r="AA279" s="345">
        <v>0</v>
      </c>
      <c r="AB279" s="345">
        <v>32</v>
      </c>
      <c r="AC279" s="345">
        <v>4</v>
      </c>
      <c r="AD279" s="349">
        <v>4009</v>
      </c>
      <c r="AE279" s="349">
        <v>42</v>
      </c>
      <c r="AF279" s="349">
        <v>15</v>
      </c>
      <c r="AG279" s="349">
        <v>57</v>
      </c>
    </row>
    <row r="280" spans="1:33" x14ac:dyDescent="0.2">
      <c r="A280" s="344" t="s">
        <v>614</v>
      </c>
      <c r="B280" s="350" t="s">
        <v>615</v>
      </c>
      <c r="C280" s="346">
        <v>4068</v>
      </c>
      <c r="D280" s="346">
        <v>0</v>
      </c>
      <c r="E280" s="346">
        <v>75</v>
      </c>
      <c r="F280" s="346">
        <v>683</v>
      </c>
      <c r="G280" s="346">
        <v>113</v>
      </c>
      <c r="H280" s="346">
        <v>4939</v>
      </c>
      <c r="I280" s="345">
        <v>4826</v>
      </c>
      <c r="J280" s="345">
        <v>0</v>
      </c>
      <c r="K280" s="347">
        <v>93.2</v>
      </c>
      <c r="L280" s="347">
        <v>89.95</v>
      </c>
      <c r="M280" s="347">
        <v>6.69</v>
      </c>
      <c r="N280" s="347">
        <v>97.95</v>
      </c>
      <c r="O280" s="348">
        <v>3780</v>
      </c>
      <c r="P280" s="345">
        <v>82.03</v>
      </c>
      <c r="Q280" s="345">
        <v>78.91</v>
      </c>
      <c r="R280" s="345">
        <v>34.69</v>
      </c>
      <c r="S280" s="345">
        <v>115.79</v>
      </c>
      <c r="T280" s="345">
        <v>740</v>
      </c>
      <c r="U280" s="345">
        <v>117</v>
      </c>
      <c r="V280" s="345">
        <v>154</v>
      </c>
      <c r="W280" s="345">
        <v>0</v>
      </c>
      <c r="X280" s="345">
        <v>0</v>
      </c>
      <c r="Y280" s="345">
        <v>0</v>
      </c>
      <c r="Z280" s="345">
        <v>5</v>
      </c>
      <c r="AA280" s="345">
        <v>22</v>
      </c>
      <c r="AB280" s="345">
        <v>4</v>
      </c>
      <c r="AC280" s="345">
        <v>3</v>
      </c>
      <c r="AD280" s="349">
        <v>4068</v>
      </c>
      <c r="AE280" s="349">
        <v>33</v>
      </c>
      <c r="AF280" s="349">
        <v>13</v>
      </c>
      <c r="AG280" s="349">
        <v>46</v>
      </c>
    </row>
    <row r="281" spans="1:33" x14ac:dyDescent="0.2">
      <c r="A281" s="344" t="s">
        <v>616</v>
      </c>
      <c r="B281" s="350" t="s">
        <v>617</v>
      </c>
      <c r="C281" s="346">
        <v>4565</v>
      </c>
      <c r="D281" s="346">
        <v>24</v>
      </c>
      <c r="E281" s="346">
        <v>89</v>
      </c>
      <c r="F281" s="346">
        <v>899</v>
      </c>
      <c r="G281" s="346">
        <v>189</v>
      </c>
      <c r="H281" s="346">
        <v>5766</v>
      </c>
      <c r="I281" s="345">
        <v>5577</v>
      </c>
      <c r="J281" s="345">
        <v>2</v>
      </c>
      <c r="K281" s="347">
        <v>113.8</v>
      </c>
      <c r="L281" s="347">
        <v>120.44</v>
      </c>
      <c r="M281" s="347">
        <v>5.78</v>
      </c>
      <c r="N281" s="347">
        <v>116.37</v>
      </c>
      <c r="O281" s="348">
        <v>4438</v>
      </c>
      <c r="P281" s="345">
        <v>98.34</v>
      </c>
      <c r="Q281" s="345">
        <v>99.03</v>
      </c>
      <c r="R281" s="345">
        <v>18.32</v>
      </c>
      <c r="S281" s="345">
        <v>115.81</v>
      </c>
      <c r="T281" s="345">
        <v>929</v>
      </c>
      <c r="U281" s="345">
        <v>156.33000000000001</v>
      </c>
      <c r="V281" s="345">
        <v>105</v>
      </c>
      <c r="W281" s="345">
        <v>0</v>
      </c>
      <c r="X281" s="345">
        <v>0</v>
      </c>
      <c r="Y281" s="345">
        <v>0</v>
      </c>
      <c r="Z281" s="345">
        <v>34</v>
      </c>
      <c r="AA281" s="345">
        <v>1</v>
      </c>
      <c r="AB281" s="345">
        <v>7</v>
      </c>
      <c r="AC281" s="345">
        <v>3</v>
      </c>
      <c r="AD281" s="349">
        <v>4555</v>
      </c>
      <c r="AE281" s="349">
        <v>48</v>
      </c>
      <c r="AF281" s="349">
        <v>31</v>
      </c>
      <c r="AG281" s="349">
        <v>79</v>
      </c>
    </row>
    <row r="282" spans="1:33" x14ac:dyDescent="0.2">
      <c r="A282" s="344" t="s">
        <v>618</v>
      </c>
      <c r="B282" s="350" t="s">
        <v>619</v>
      </c>
      <c r="C282" s="346">
        <v>1478</v>
      </c>
      <c r="D282" s="346">
        <v>0</v>
      </c>
      <c r="E282" s="346">
        <v>68</v>
      </c>
      <c r="F282" s="346">
        <v>91</v>
      </c>
      <c r="G282" s="346">
        <v>260</v>
      </c>
      <c r="H282" s="346">
        <v>1897</v>
      </c>
      <c r="I282" s="345">
        <v>1637</v>
      </c>
      <c r="J282" s="345">
        <v>15</v>
      </c>
      <c r="K282" s="347">
        <v>103.27</v>
      </c>
      <c r="L282" s="347">
        <v>103.84</v>
      </c>
      <c r="M282" s="347">
        <v>7.37</v>
      </c>
      <c r="N282" s="347">
        <v>108.36</v>
      </c>
      <c r="O282" s="348">
        <v>1252</v>
      </c>
      <c r="P282" s="345">
        <v>106.57</v>
      </c>
      <c r="Q282" s="345">
        <v>104.31</v>
      </c>
      <c r="R282" s="345">
        <v>49.08</v>
      </c>
      <c r="S282" s="345">
        <v>155.65</v>
      </c>
      <c r="T282" s="345">
        <v>128</v>
      </c>
      <c r="U282" s="345">
        <v>146.83000000000001</v>
      </c>
      <c r="V282" s="345">
        <v>156</v>
      </c>
      <c r="W282" s="345">
        <v>0</v>
      </c>
      <c r="X282" s="345">
        <v>0</v>
      </c>
      <c r="Y282" s="345">
        <v>0</v>
      </c>
      <c r="Z282" s="345">
        <v>1</v>
      </c>
      <c r="AA282" s="345">
        <v>1</v>
      </c>
      <c r="AB282" s="345">
        <v>15</v>
      </c>
      <c r="AC282" s="345">
        <v>22</v>
      </c>
      <c r="AD282" s="349">
        <v>1460</v>
      </c>
      <c r="AE282" s="349">
        <v>10</v>
      </c>
      <c r="AF282" s="349">
        <v>0</v>
      </c>
      <c r="AG282" s="349">
        <v>10</v>
      </c>
    </row>
    <row r="283" spans="1:33" x14ac:dyDescent="0.2">
      <c r="A283" s="344" t="s">
        <v>620</v>
      </c>
      <c r="B283" s="350" t="s">
        <v>621</v>
      </c>
      <c r="C283" s="346">
        <v>7501</v>
      </c>
      <c r="D283" s="346">
        <v>13</v>
      </c>
      <c r="E283" s="346">
        <v>45</v>
      </c>
      <c r="F283" s="346">
        <v>516</v>
      </c>
      <c r="G283" s="346">
        <v>808</v>
      </c>
      <c r="H283" s="346">
        <v>8883</v>
      </c>
      <c r="I283" s="345">
        <v>8075</v>
      </c>
      <c r="J283" s="345">
        <v>9</v>
      </c>
      <c r="K283" s="347">
        <v>113.5</v>
      </c>
      <c r="L283" s="347">
        <v>114.34</v>
      </c>
      <c r="M283" s="347">
        <v>5.68</v>
      </c>
      <c r="N283" s="347">
        <v>114.31</v>
      </c>
      <c r="O283" s="348">
        <v>6619</v>
      </c>
      <c r="P283" s="345">
        <v>90.37</v>
      </c>
      <c r="Q283" s="345">
        <v>91.06</v>
      </c>
      <c r="R283" s="345">
        <v>21.78</v>
      </c>
      <c r="S283" s="345">
        <v>111.41</v>
      </c>
      <c r="T283" s="345">
        <v>527</v>
      </c>
      <c r="U283" s="345">
        <v>136.86000000000001</v>
      </c>
      <c r="V283" s="345">
        <v>773</v>
      </c>
      <c r="W283" s="345">
        <v>0</v>
      </c>
      <c r="X283" s="345">
        <v>0</v>
      </c>
      <c r="Y283" s="345">
        <v>0</v>
      </c>
      <c r="Z283" s="345">
        <v>5</v>
      </c>
      <c r="AA283" s="345">
        <v>0</v>
      </c>
      <c r="AB283" s="345">
        <v>24</v>
      </c>
      <c r="AC283" s="345">
        <v>11</v>
      </c>
      <c r="AD283" s="349">
        <v>7493</v>
      </c>
      <c r="AE283" s="349">
        <v>33</v>
      </c>
      <c r="AF283" s="349">
        <v>61</v>
      </c>
      <c r="AG283" s="349">
        <v>94</v>
      </c>
    </row>
    <row r="284" spans="1:33" x14ac:dyDescent="0.2">
      <c r="A284" s="344" t="s">
        <v>622</v>
      </c>
      <c r="B284" s="350" t="s">
        <v>623</v>
      </c>
      <c r="C284" s="346">
        <v>4094</v>
      </c>
      <c r="D284" s="346">
        <v>54</v>
      </c>
      <c r="E284" s="346">
        <v>275</v>
      </c>
      <c r="F284" s="346">
        <v>977</v>
      </c>
      <c r="G284" s="346">
        <v>505</v>
      </c>
      <c r="H284" s="346">
        <v>5905</v>
      </c>
      <c r="I284" s="345">
        <v>5400</v>
      </c>
      <c r="J284" s="345">
        <v>15</v>
      </c>
      <c r="K284" s="347">
        <v>88.16</v>
      </c>
      <c r="L284" s="347">
        <v>90.93</v>
      </c>
      <c r="M284" s="347">
        <v>5.44</v>
      </c>
      <c r="N284" s="347">
        <v>92.8</v>
      </c>
      <c r="O284" s="348">
        <v>3796</v>
      </c>
      <c r="P284" s="345">
        <v>79.22</v>
      </c>
      <c r="Q284" s="345">
        <v>80.42</v>
      </c>
      <c r="R284" s="345">
        <v>27.94</v>
      </c>
      <c r="S284" s="345">
        <v>106.29</v>
      </c>
      <c r="T284" s="345">
        <v>931</v>
      </c>
      <c r="U284" s="345">
        <v>110.47</v>
      </c>
      <c r="V284" s="345">
        <v>337</v>
      </c>
      <c r="W284" s="345">
        <v>0</v>
      </c>
      <c r="X284" s="345">
        <v>0</v>
      </c>
      <c r="Y284" s="345">
        <v>0</v>
      </c>
      <c r="Z284" s="345">
        <v>8</v>
      </c>
      <c r="AA284" s="345">
        <v>5</v>
      </c>
      <c r="AB284" s="345">
        <v>0</v>
      </c>
      <c r="AC284" s="345">
        <v>14</v>
      </c>
      <c r="AD284" s="349">
        <v>4094</v>
      </c>
      <c r="AE284" s="349">
        <v>24</v>
      </c>
      <c r="AF284" s="349">
        <v>21</v>
      </c>
      <c r="AG284" s="349">
        <v>45</v>
      </c>
    </row>
    <row r="285" spans="1:33" x14ac:dyDescent="0.2">
      <c r="A285" s="344" t="s">
        <v>624</v>
      </c>
      <c r="B285" s="350" t="s">
        <v>625</v>
      </c>
      <c r="C285" s="346">
        <v>2272</v>
      </c>
      <c r="D285" s="346">
        <v>0</v>
      </c>
      <c r="E285" s="346">
        <v>13</v>
      </c>
      <c r="F285" s="346">
        <v>419</v>
      </c>
      <c r="G285" s="346">
        <v>177</v>
      </c>
      <c r="H285" s="346">
        <v>2881</v>
      </c>
      <c r="I285" s="345">
        <v>2704</v>
      </c>
      <c r="J285" s="345">
        <v>84</v>
      </c>
      <c r="K285" s="347">
        <v>83.03</v>
      </c>
      <c r="L285" s="347">
        <v>81.83</v>
      </c>
      <c r="M285" s="347">
        <v>2.93</v>
      </c>
      <c r="N285" s="347">
        <v>84.4</v>
      </c>
      <c r="O285" s="348">
        <v>2190</v>
      </c>
      <c r="P285" s="345">
        <v>70.319999999999993</v>
      </c>
      <c r="Q285" s="345">
        <v>69.34</v>
      </c>
      <c r="R285" s="345">
        <v>24.81</v>
      </c>
      <c r="S285" s="345">
        <v>88.65</v>
      </c>
      <c r="T285" s="345">
        <v>402</v>
      </c>
      <c r="U285" s="345">
        <v>106.47</v>
      </c>
      <c r="V285" s="345">
        <v>77</v>
      </c>
      <c r="W285" s="345">
        <v>138.05000000000001</v>
      </c>
      <c r="X285" s="345">
        <v>10</v>
      </c>
      <c r="Y285" s="345">
        <v>0</v>
      </c>
      <c r="Z285" s="345">
        <v>7</v>
      </c>
      <c r="AA285" s="345">
        <v>0</v>
      </c>
      <c r="AB285" s="345">
        <v>2</v>
      </c>
      <c r="AC285" s="345">
        <v>6</v>
      </c>
      <c r="AD285" s="349">
        <v>2264</v>
      </c>
      <c r="AE285" s="349">
        <v>11</v>
      </c>
      <c r="AF285" s="349">
        <v>17</v>
      </c>
      <c r="AG285" s="349">
        <v>28</v>
      </c>
    </row>
    <row r="286" spans="1:33" x14ac:dyDescent="0.2">
      <c r="A286" s="344" t="s">
        <v>626</v>
      </c>
      <c r="B286" s="350" t="s">
        <v>627</v>
      </c>
      <c r="C286" s="346">
        <v>28253</v>
      </c>
      <c r="D286" s="346">
        <v>18</v>
      </c>
      <c r="E286" s="346">
        <v>1522</v>
      </c>
      <c r="F286" s="346">
        <v>1012</v>
      </c>
      <c r="G286" s="346">
        <v>2679</v>
      </c>
      <c r="H286" s="346">
        <v>33484</v>
      </c>
      <c r="I286" s="345">
        <v>30805</v>
      </c>
      <c r="J286" s="345">
        <v>109</v>
      </c>
      <c r="K286" s="347">
        <v>122.76</v>
      </c>
      <c r="L286" s="347">
        <v>130.08000000000001</v>
      </c>
      <c r="M286" s="347">
        <v>13.18</v>
      </c>
      <c r="N286" s="347">
        <v>135.09</v>
      </c>
      <c r="O286" s="348">
        <v>25789</v>
      </c>
      <c r="P286" s="345">
        <v>109.95</v>
      </c>
      <c r="Q286" s="345">
        <v>108.35</v>
      </c>
      <c r="R286" s="345">
        <v>51.69</v>
      </c>
      <c r="S286" s="345">
        <v>159.74</v>
      </c>
      <c r="T286" s="345">
        <v>2115</v>
      </c>
      <c r="U286" s="345">
        <v>185.18</v>
      </c>
      <c r="V286" s="345">
        <v>792</v>
      </c>
      <c r="W286" s="345">
        <v>180.44</v>
      </c>
      <c r="X286" s="345">
        <v>87</v>
      </c>
      <c r="Y286" s="345">
        <v>0</v>
      </c>
      <c r="Z286" s="345">
        <v>157</v>
      </c>
      <c r="AA286" s="345">
        <v>13</v>
      </c>
      <c r="AB286" s="345">
        <v>156</v>
      </c>
      <c r="AC286" s="345">
        <v>174</v>
      </c>
      <c r="AD286" s="349">
        <v>27108</v>
      </c>
      <c r="AE286" s="349">
        <v>97</v>
      </c>
      <c r="AF286" s="349">
        <v>291</v>
      </c>
      <c r="AG286" s="349">
        <v>388</v>
      </c>
    </row>
    <row r="287" spans="1:33" x14ac:dyDescent="0.2">
      <c r="A287" s="344" t="s">
        <v>628</v>
      </c>
      <c r="B287" s="350" t="s">
        <v>629</v>
      </c>
      <c r="C287" s="346">
        <v>11850</v>
      </c>
      <c r="D287" s="346">
        <v>4</v>
      </c>
      <c r="E287" s="346">
        <v>380</v>
      </c>
      <c r="F287" s="346">
        <v>3327</v>
      </c>
      <c r="G287" s="346">
        <v>588</v>
      </c>
      <c r="H287" s="346">
        <v>16149</v>
      </c>
      <c r="I287" s="345">
        <v>15561</v>
      </c>
      <c r="J287" s="345">
        <v>43</v>
      </c>
      <c r="K287" s="347">
        <v>88.13</v>
      </c>
      <c r="L287" s="347">
        <v>89.91</v>
      </c>
      <c r="M287" s="347">
        <v>4.88</v>
      </c>
      <c r="N287" s="347">
        <v>91.2</v>
      </c>
      <c r="O287" s="348">
        <v>10369</v>
      </c>
      <c r="P287" s="345">
        <v>84.5</v>
      </c>
      <c r="Q287" s="345">
        <v>84.97</v>
      </c>
      <c r="R287" s="345">
        <v>19.84</v>
      </c>
      <c r="S287" s="345">
        <v>104.14</v>
      </c>
      <c r="T287" s="345">
        <v>3595</v>
      </c>
      <c r="U287" s="345">
        <v>119.55</v>
      </c>
      <c r="V287" s="345">
        <v>1298</v>
      </c>
      <c r="W287" s="345">
        <v>168.67</v>
      </c>
      <c r="X287" s="345">
        <v>67</v>
      </c>
      <c r="Y287" s="345">
        <v>71</v>
      </c>
      <c r="Z287" s="345">
        <v>64</v>
      </c>
      <c r="AA287" s="345">
        <v>5</v>
      </c>
      <c r="AB287" s="345">
        <v>37</v>
      </c>
      <c r="AC287" s="345">
        <v>16</v>
      </c>
      <c r="AD287" s="349">
        <v>11710</v>
      </c>
      <c r="AE287" s="349">
        <v>77</v>
      </c>
      <c r="AF287" s="349">
        <v>24</v>
      </c>
      <c r="AG287" s="349">
        <v>101</v>
      </c>
    </row>
    <row r="288" spans="1:33" x14ac:dyDescent="0.2">
      <c r="A288" s="344" t="s">
        <v>630</v>
      </c>
      <c r="B288" s="350" t="s">
        <v>631</v>
      </c>
      <c r="C288" s="346">
        <v>6301</v>
      </c>
      <c r="D288" s="346">
        <v>0</v>
      </c>
      <c r="E288" s="346">
        <v>158</v>
      </c>
      <c r="F288" s="346">
        <v>730</v>
      </c>
      <c r="G288" s="346">
        <v>344</v>
      </c>
      <c r="H288" s="346">
        <v>7533</v>
      </c>
      <c r="I288" s="345">
        <v>7189</v>
      </c>
      <c r="J288" s="345">
        <v>0</v>
      </c>
      <c r="K288" s="347">
        <v>110.62</v>
      </c>
      <c r="L288" s="347">
        <v>110.55</v>
      </c>
      <c r="M288" s="347">
        <v>3.75</v>
      </c>
      <c r="N288" s="347">
        <v>113.64</v>
      </c>
      <c r="O288" s="348">
        <v>5697</v>
      </c>
      <c r="P288" s="345">
        <v>87.64</v>
      </c>
      <c r="Q288" s="345">
        <v>86.23</v>
      </c>
      <c r="R288" s="345">
        <v>20.52</v>
      </c>
      <c r="S288" s="345">
        <v>107.28</v>
      </c>
      <c r="T288" s="345">
        <v>683</v>
      </c>
      <c r="U288" s="345">
        <v>150.41999999999999</v>
      </c>
      <c r="V288" s="345">
        <v>427</v>
      </c>
      <c r="W288" s="345">
        <v>137.97999999999999</v>
      </c>
      <c r="X288" s="345">
        <v>2</v>
      </c>
      <c r="Y288" s="345">
        <v>0</v>
      </c>
      <c r="Z288" s="345">
        <v>5</v>
      </c>
      <c r="AA288" s="345">
        <v>0</v>
      </c>
      <c r="AB288" s="345">
        <v>22</v>
      </c>
      <c r="AC288" s="345">
        <v>4</v>
      </c>
      <c r="AD288" s="349">
        <v>6148</v>
      </c>
      <c r="AE288" s="349">
        <v>40</v>
      </c>
      <c r="AF288" s="349">
        <v>15</v>
      </c>
      <c r="AG288" s="349">
        <v>55</v>
      </c>
    </row>
    <row r="289" spans="1:33" x14ac:dyDescent="0.2">
      <c r="A289" s="344" t="s">
        <v>632</v>
      </c>
      <c r="B289" s="350" t="s">
        <v>633</v>
      </c>
      <c r="C289" s="346">
        <v>1276</v>
      </c>
      <c r="D289" s="346">
        <v>2</v>
      </c>
      <c r="E289" s="346">
        <v>51</v>
      </c>
      <c r="F289" s="346">
        <v>203</v>
      </c>
      <c r="G289" s="346">
        <v>327</v>
      </c>
      <c r="H289" s="346">
        <v>1859</v>
      </c>
      <c r="I289" s="345">
        <v>1532</v>
      </c>
      <c r="J289" s="345">
        <v>9</v>
      </c>
      <c r="K289" s="347">
        <v>108.24</v>
      </c>
      <c r="L289" s="347">
        <v>108.23</v>
      </c>
      <c r="M289" s="347">
        <v>5.66</v>
      </c>
      <c r="N289" s="347">
        <v>112.43</v>
      </c>
      <c r="O289" s="348">
        <v>1059</v>
      </c>
      <c r="P289" s="345">
        <v>93.39</v>
      </c>
      <c r="Q289" s="345">
        <v>92.17</v>
      </c>
      <c r="R289" s="345">
        <v>53.39</v>
      </c>
      <c r="S289" s="345">
        <v>146.13999999999999</v>
      </c>
      <c r="T289" s="345">
        <v>250</v>
      </c>
      <c r="U289" s="345">
        <v>146.69999999999999</v>
      </c>
      <c r="V289" s="345">
        <v>193</v>
      </c>
      <c r="W289" s="345">
        <v>0</v>
      </c>
      <c r="X289" s="345">
        <v>0</v>
      </c>
      <c r="Y289" s="345">
        <v>0</v>
      </c>
      <c r="Z289" s="345">
        <v>0</v>
      </c>
      <c r="AA289" s="345">
        <v>2</v>
      </c>
      <c r="AB289" s="345">
        <v>26</v>
      </c>
      <c r="AC289" s="345">
        <v>17</v>
      </c>
      <c r="AD289" s="349">
        <v>1267</v>
      </c>
      <c r="AE289" s="349">
        <v>5</v>
      </c>
      <c r="AF289" s="349">
        <v>5</v>
      </c>
      <c r="AG289" s="349">
        <v>10</v>
      </c>
    </row>
    <row r="290" spans="1:33" x14ac:dyDescent="0.2">
      <c r="A290" s="344" t="s">
        <v>634</v>
      </c>
      <c r="B290" s="350" t="s">
        <v>635</v>
      </c>
      <c r="C290" s="346">
        <v>5608</v>
      </c>
      <c r="D290" s="346">
        <v>0</v>
      </c>
      <c r="E290" s="346">
        <v>142</v>
      </c>
      <c r="F290" s="346">
        <v>973</v>
      </c>
      <c r="G290" s="346">
        <v>475</v>
      </c>
      <c r="H290" s="346">
        <v>7198</v>
      </c>
      <c r="I290" s="345">
        <v>6723</v>
      </c>
      <c r="J290" s="345">
        <v>1</v>
      </c>
      <c r="K290" s="347">
        <v>108.91</v>
      </c>
      <c r="L290" s="347">
        <v>119.66</v>
      </c>
      <c r="M290" s="347">
        <v>5.21</v>
      </c>
      <c r="N290" s="347">
        <v>109.67</v>
      </c>
      <c r="O290" s="348">
        <v>5022</v>
      </c>
      <c r="P290" s="345">
        <v>95.68</v>
      </c>
      <c r="Q290" s="345">
        <v>95.89</v>
      </c>
      <c r="R290" s="345">
        <v>25.62</v>
      </c>
      <c r="S290" s="345">
        <v>108.43</v>
      </c>
      <c r="T290" s="345">
        <v>1093</v>
      </c>
      <c r="U290" s="345">
        <v>149.86000000000001</v>
      </c>
      <c r="V290" s="345">
        <v>328</v>
      </c>
      <c r="W290" s="345">
        <v>0</v>
      </c>
      <c r="X290" s="345">
        <v>0</v>
      </c>
      <c r="Y290" s="345">
        <v>0</v>
      </c>
      <c r="Z290" s="345">
        <v>5</v>
      </c>
      <c r="AA290" s="345">
        <v>2</v>
      </c>
      <c r="AB290" s="345">
        <v>44</v>
      </c>
      <c r="AC290" s="345">
        <v>16</v>
      </c>
      <c r="AD290" s="349">
        <v>5550</v>
      </c>
      <c r="AE290" s="349">
        <v>41</v>
      </c>
      <c r="AF290" s="349">
        <v>6</v>
      </c>
      <c r="AG290" s="349">
        <v>47</v>
      </c>
    </row>
    <row r="291" spans="1:33" x14ac:dyDescent="0.2">
      <c r="A291" s="344" t="s">
        <v>636</v>
      </c>
      <c r="B291" s="350" t="s">
        <v>637</v>
      </c>
      <c r="C291" s="346">
        <v>32158</v>
      </c>
      <c r="D291" s="346">
        <v>0</v>
      </c>
      <c r="E291" s="346">
        <v>482</v>
      </c>
      <c r="F291" s="346">
        <v>2458</v>
      </c>
      <c r="G291" s="346">
        <v>420</v>
      </c>
      <c r="H291" s="346">
        <v>35518</v>
      </c>
      <c r="I291" s="345">
        <v>35098</v>
      </c>
      <c r="J291" s="345">
        <v>20</v>
      </c>
      <c r="K291" s="347">
        <v>82.81</v>
      </c>
      <c r="L291" s="347">
        <v>83.49</v>
      </c>
      <c r="M291" s="347">
        <v>5.92</v>
      </c>
      <c r="N291" s="347">
        <v>83.53</v>
      </c>
      <c r="O291" s="348">
        <v>30633</v>
      </c>
      <c r="P291" s="345">
        <v>77.61</v>
      </c>
      <c r="Q291" s="345">
        <v>76.91</v>
      </c>
      <c r="R291" s="345">
        <v>29.98</v>
      </c>
      <c r="S291" s="345">
        <v>105.23</v>
      </c>
      <c r="T291" s="345">
        <v>2802</v>
      </c>
      <c r="U291" s="345">
        <v>97.97</v>
      </c>
      <c r="V291" s="345">
        <v>1115</v>
      </c>
      <c r="W291" s="345">
        <v>93.11</v>
      </c>
      <c r="X291" s="345">
        <v>5</v>
      </c>
      <c r="Y291" s="345">
        <v>0</v>
      </c>
      <c r="Z291" s="345">
        <v>125</v>
      </c>
      <c r="AA291" s="345">
        <v>19</v>
      </c>
      <c r="AB291" s="345">
        <v>34</v>
      </c>
      <c r="AC291" s="345">
        <v>11</v>
      </c>
      <c r="AD291" s="349">
        <v>32129</v>
      </c>
      <c r="AE291" s="349">
        <v>95</v>
      </c>
      <c r="AF291" s="349">
        <v>96</v>
      </c>
      <c r="AG291" s="349">
        <v>191</v>
      </c>
    </row>
    <row r="292" spans="1:33" x14ac:dyDescent="0.2">
      <c r="A292" s="344" t="s">
        <v>638</v>
      </c>
      <c r="B292" s="350" t="s">
        <v>639</v>
      </c>
      <c r="C292" s="346">
        <v>26797</v>
      </c>
      <c r="D292" s="346">
        <v>0</v>
      </c>
      <c r="E292" s="346">
        <v>243</v>
      </c>
      <c r="F292" s="346">
        <v>783</v>
      </c>
      <c r="G292" s="346">
        <v>598</v>
      </c>
      <c r="H292" s="346">
        <v>28421</v>
      </c>
      <c r="I292" s="345">
        <v>27823</v>
      </c>
      <c r="J292" s="345">
        <v>0</v>
      </c>
      <c r="K292" s="347">
        <v>85.41</v>
      </c>
      <c r="L292" s="347">
        <v>85.56</v>
      </c>
      <c r="M292" s="347">
        <v>7.96</v>
      </c>
      <c r="N292" s="347">
        <v>89.3</v>
      </c>
      <c r="O292" s="348">
        <v>25336</v>
      </c>
      <c r="P292" s="345">
        <v>100.3</v>
      </c>
      <c r="Q292" s="345">
        <v>99.32</v>
      </c>
      <c r="R292" s="345">
        <v>39.22</v>
      </c>
      <c r="S292" s="345">
        <v>134.55000000000001</v>
      </c>
      <c r="T292" s="345">
        <v>940</v>
      </c>
      <c r="U292" s="345">
        <v>107.08</v>
      </c>
      <c r="V292" s="345">
        <v>1133</v>
      </c>
      <c r="W292" s="345">
        <v>96.32</v>
      </c>
      <c r="X292" s="345">
        <v>18</v>
      </c>
      <c r="Y292" s="345">
        <v>0</v>
      </c>
      <c r="Z292" s="345">
        <v>111</v>
      </c>
      <c r="AA292" s="345">
        <v>25</v>
      </c>
      <c r="AB292" s="345">
        <v>0</v>
      </c>
      <c r="AC292" s="345">
        <v>9</v>
      </c>
      <c r="AD292" s="349">
        <v>26734</v>
      </c>
      <c r="AE292" s="349">
        <v>248</v>
      </c>
      <c r="AF292" s="349">
        <v>66</v>
      </c>
      <c r="AG292" s="349">
        <v>314</v>
      </c>
    </row>
    <row r="293" spans="1:33" x14ac:dyDescent="0.2">
      <c r="A293" s="344" t="s">
        <v>640</v>
      </c>
      <c r="B293" s="350" t="s">
        <v>641</v>
      </c>
      <c r="C293" s="346">
        <v>10168</v>
      </c>
      <c r="D293" s="346">
        <v>0</v>
      </c>
      <c r="E293" s="346">
        <v>904</v>
      </c>
      <c r="F293" s="346">
        <v>820</v>
      </c>
      <c r="G293" s="346">
        <v>931</v>
      </c>
      <c r="H293" s="346">
        <v>12823</v>
      </c>
      <c r="I293" s="345">
        <v>11892</v>
      </c>
      <c r="J293" s="345">
        <v>8</v>
      </c>
      <c r="K293" s="347">
        <v>120.6</v>
      </c>
      <c r="L293" s="347">
        <v>115.99</v>
      </c>
      <c r="M293" s="347">
        <v>7.7</v>
      </c>
      <c r="N293" s="347">
        <v>124.26</v>
      </c>
      <c r="O293" s="348">
        <v>8851</v>
      </c>
      <c r="P293" s="345">
        <v>97.83</v>
      </c>
      <c r="Q293" s="345">
        <v>96.2</v>
      </c>
      <c r="R293" s="345">
        <v>35.46</v>
      </c>
      <c r="S293" s="345">
        <v>129.61000000000001</v>
      </c>
      <c r="T293" s="345">
        <v>1272</v>
      </c>
      <c r="U293" s="345">
        <v>159</v>
      </c>
      <c r="V293" s="345">
        <v>776</v>
      </c>
      <c r="W293" s="345">
        <v>0</v>
      </c>
      <c r="X293" s="345">
        <v>0</v>
      </c>
      <c r="Y293" s="345">
        <v>1</v>
      </c>
      <c r="Z293" s="345">
        <v>39</v>
      </c>
      <c r="AA293" s="345">
        <v>6</v>
      </c>
      <c r="AB293" s="345">
        <v>139</v>
      </c>
      <c r="AC293" s="345">
        <v>20</v>
      </c>
      <c r="AD293" s="349">
        <v>9825</v>
      </c>
      <c r="AE293" s="349">
        <v>41</v>
      </c>
      <c r="AF293" s="349">
        <v>17</v>
      </c>
      <c r="AG293" s="349">
        <v>58</v>
      </c>
    </row>
    <row r="294" spans="1:33" x14ac:dyDescent="0.2">
      <c r="A294" s="344" t="s">
        <v>642</v>
      </c>
      <c r="B294" s="350" t="s">
        <v>643</v>
      </c>
      <c r="C294" s="346">
        <v>8434</v>
      </c>
      <c r="D294" s="346">
        <v>10</v>
      </c>
      <c r="E294" s="346">
        <v>1047</v>
      </c>
      <c r="F294" s="346">
        <v>1055</v>
      </c>
      <c r="G294" s="346">
        <v>1834</v>
      </c>
      <c r="H294" s="346">
        <v>12380</v>
      </c>
      <c r="I294" s="345">
        <v>10546</v>
      </c>
      <c r="J294" s="345">
        <v>181</v>
      </c>
      <c r="K294" s="347">
        <v>127.43</v>
      </c>
      <c r="L294" s="347">
        <v>136.72999999999999</v>
      </c>
      <c r="M294" s="347">
        <v>6.14</v>
      </c>
      <c r="N294" s="347">
        <v>130.58000000000001</v>
      </c>
      <c r="O294" s="348">
        <v>7733</v>
      </c>
      <c r="P294" s="345">
        <v>124.97</v>
      </c>
      <c r="Q294" s="345">
        <v>117.13</v>
      </c>
      <c r="R294" s="345">
        <v>35.75</v>
      </c>
      <c r="S294" s="345">
        <v>157.55000000000001</v>
      </c>
      <c r="T294" s="345">
        <v>2008</v>
      </c>
      <c r="U294" s="345">
        <v>191.04</v>
      </c>
      <c r="V294" s="345">
        <v>251</v>
      </c>
      <c r="W294" s="345">
        <v>0</v>
      </c>
      <c r="X294" s="345">
        <v>0</v>
      </c>
      <c r="Y294" s="345">
        <v>0</v>
      </c>
      <c r="Z294" s="345">
        <v>2</v>
      </c>
      <c r="AA294" s="345">
        <v>12</v>
      </c>
      <c r="AB294" s="345">
        <v>137</v>
      </c>
      <c r="AC294" s="345">
        <v>119</v>
      </c>
      <c r="AD294" s="349">
        <v>8144</v>
      </c>
      <c r="AE294" s="349">
        <v>25</v>
      </c>
      <c r="AF294" s="349">
        <v>36</v>
      </c>
      <c r="AG294" s="349">
        <v>61</v>
      </c>
    </row>
    <row r="295" spans="1:33" x14ac:dyDescent="0.2">
      <c r="A295" s="344" t="s">
        <v>644</v>
      </c>
      <c r="B295" s="350" t="s">
        <v>645</v>
      </c>
      <c r="C295" s="346">
        <v>11837</v>
      </c>
      <c r="D295" s="346">
        <v>0</v>
      </c>
      <c r="E295" s="346">
        <v>492</v>
      </c>
      <c r="F295" s="346">
        <v>2215</v>
      </c>
      <c r="G295" s="346">
        <v>666</v>
      </c>
      <c r="H295" s="346">
        <v>15210</v>
      </c>
      <c r="I295" s="345">
        <v>14544</v>
      </c>
      <c r="J295" s="345">
        <v>328</v>
      </c>
      <c r="K295" s="347">
        <v>83.62</v>
      </c>
      <c r="L295" s="347">
        <v>84.1</v>
      </c>
      <c r="M295" s="347">
        <v>6.54</v>
      </c>
      <c r="N295" s="347">
        <v>85.75</v>
      </c>
      <c r="O295" s="348">
        <v>11225</v>
      </c>
      <c r="P295" s="345">
        <v>79.17</v>
      </c>
      <c r="Q295" s="345">
        <v>78.069999999999993</v>
      </c>
      <c r="R295" s="345">
        <v>24.9</v>
      </c>
      <c r="S295" s="345">
        <v>90.82</v>
      </c>
      <c r="T295" s="345">
        <v>2666</v>
      </c>
      <c r="U295" s="345">
        <v>103.65</v>
      </c>
      <c r="V295" s="345">
        <v>533</v>
      </c>
      <c r="W295" s="345">
        <v>107.32</v>
      </c>
      <c r="X295" s="345">
        <v>3</v>
      </c>
      <c r="Y295" s="345">
        <v>0</v>
      </c>
      <c r="Z295" s="345">
        <v>55</v>
      </c>
      <c r="AA295" s="345">
        <v>2</v>
      </c>
      <c r="AB295" s="345">
        <v>30</v>
      </c>
      <c r="AC295" s="345">
        <v>15</v>
      </c>
      <c r="AD295" s="349">
        <v>11837</v>
      </c>
      <c r="AE295" s="349">
        <v>74</v>
      </c>
      <c r="AF295" s="349">
        <v>116</v>
      </c>
      <c r="AG295" s="349">
        <v>190</v>
      </c>
    </row>
    <row r="296" spans="1:33" x14ac:dyDescent="0.2">
      <c r="A296" s="344" t="s">
        <v>646</v>
      </c>
      <c r="B296" s="350" t="s">
        <v>647</v>
      </c>
      <c r="C296" s="346">
        <v>2054</v>
      </c>
      <c r="D296" s="346">
        <v>8</v>
      </c>
      <c r="E296" s="346">
        <v>152</v>
      </c>
      <c r="F296" s="346">
        <v>550</v>
      </c>
      <c r="G296" s="346">
        <v>453</v>
      </c>
      <c r="H296" s="346">
        <v>3217</v>
      </c>
      <c r="I296" s="345">
        <v>2764</v>
      </c>
      <c r="J296" s="345">
        <v>4</v>
      </c>
      <c r="K296" s="347">
        <v>101.9</v>
      </c>
      <c r="L296" s="347">
        <v>99.37</v>
      </c>
      <c r="M296" s="347">
        <v>6.77</v>
      </c>
      <c r="N296" s="347">
        <v>107.88</v>
      </c>
      <c r="O296" s="348">
        <v>1762</v>
      </c>
      <c r="P296" s="345">
        <v>92.48</v>
      </c>
      <c r="Q296" s="345">
        <v>88.85</v>
      </c>
      <c r="R296" s="345">
        <v>38.33</v>
      </c>
      <c r="S296" s="345">
        <v>130.57</v>
      </c>
      <c r="T296" s="345">
        <v>635</v>
      </c>
      <c r="U296" s="345">
        <v>127.5</v>
      </c>
      <c r="V296" s="345">
        <v>190</v>
      </c>
      <c r="W296" s="345">
        <v>169.31</v>
      </c>
      <c r="X296" s="345">
        <v>21</v>
      </c>
      <c r="Y296" s="345">
        <v>9</v>
      </c>
      <c r="Z296" s="345">
        <v>5</v>
      </c>
      <c r="AA296" s="345">
        <v>4</v>
      </c>
      <c r="AB296" s="345">
        <v>27</v>
      </c>
      <c r="AC296" s="345">
        <v>13</v>
      </c>
      <c r="AD296" s="349">
        <v>1955</v>
      </c>
      <c r="AE296" s="349">
        <v>7</v>
      </c>
      <c r="AF296" s="349">
        <v>2</v>
      </c>
      <c r="AG296" s="349">
        <v>9</v>
      </c>
    </row>
    <row r="297" spans="1:33" x14ac:dyDescent="0.2">
      <c r="A297" s="344" t="s">
        <v>648</v>
      </c>
      <c r="B297" s="350" t="s">
        <v>649</v>
      </c>
      <c r="C297" s="346">
        <v>5473</v>
      </c>
      <c r="D297" s="346">
        <v>18</v>
      </c>
      <c r="E297" s="346">
        <v>356</v>
      </c>
      <c r="F297" s="346">
        <v>626</v>
      </c>
      <c r="G297" s="346">
        <v>366</v>
      </c>
      <c r="H297" s="346">
        <v>6839</v>
      </c>
      <c r="I297" s="345">
        <v>6473</v>
      </c>
      <c r="J297" s="345">
        <v>24</v>
      </c>
      <c r="K297" s="347">
        <v>115.4</v>
      </c>
      <c r="L297" s="347">
        <v>121.2</v>
      </c>
      <c r="M297" s="347">
        <v>7.29</v>
      </c>
      <c r="N297" s="347">
        <v>118.8</v>
      </c>
      <c r="O297" s="348">
        <v>5085</v>
      </c>
      <c r="P297" s="345">
        <v>88.92</v>
      </c>
      <c r="Q297" s="345">
        <v>92.12</v>
      </c>
      <c r="R297" s="345">
        <v>25.84</v>
      </c>
      <c r="S297" s="345">
        <v>113.49</v>
      </c>
      <c r="T297" s="345">
        <v>776</v>
      </c>
      <c r="U297" s="345">
        <v>169.67</v>
      </c>
      <c r="V297" s="345">
        <v>208</v>
      </c>
      <c r="W297" s="345">
        <v>0</v>
      </c>
      <c r="X297" s="345">
        <v>0</v>
      </c>
      <c r="Y297" s="345">
        <v>0</v>
      </c>
      <c r="Z297" s="345">
        <v>24</v>
      </c>
      <c r="AA297" s="345">
        <v>2</v>
      </c>
      <c r="AB297" s="345">
        <v>12</v>
      </c>
      <c r="AC297" s="345">
        <v>12</v>
      </c>
      <c r="AD297" s="349">
        <v>5473</v>
      </c>
      <c r="AE297" s="349">
        <v>15</v>
      </c>
      <c r="AF297" s="349">
        <v>7</v>
      </c>
      <c r="AG297" s="349">
        <v>22</v>
      </c>
    </row>
    <row r="298" spans="1:33" x14ac:dyDescent="0.2">
      <c r="A298" s="344" t="s">
        <v>650</v>
      </c>
      <c r="B298" s="350" t="s">
        <v>651</v>
      </c>
      <c r="C298" s="346">
        <v>1063</v>
      </c>
      <c r="D298" s="346">
        <v>0</v>
      </c>
      <c r="E298" s="346">
        <v>126</v>
      </c>
      <c r="F298" s="346">
        <v>204</v>
      </c>
      <c r="G298" s="346">
        <v>352</v>
      </c>
      <c r="H298" s="346">
        <v>1745</v>
      </c>
      <c r="I298" s="345">
        <v>1393</v>
      </c>
      <c r="J298" s="345">
        <v>8</v>
      </c>
      <c r="K298" s="347">
        <v>118.74</v>
      </c>
      <c r="L298" s="347">
        <v>119.05</v>
      </c>
      <c r="M298" s="347">
        <v>4.75</v>
      </c>
      <c r="N298" s="347">
        <v>123.13</v>
      </c>
      <c r="O298" s="348">
        <v>903</v>
      </c>
      <c r="P298" s="345">
        <v>104.28</v>
      </c>
      <c r="Q298" s="345">
        <v>98.13</v>
      </c>
      <c r="R298" s="345">
        <v>29.38</v>
      </c>
      <c r="S298" s="345">
        <v>133.49</v>
      </c>
      <c r="T298" s="345">
        <v>175</v>
      </c>
      <c r="U298" s="345">
        <v>168.13</v>
      </c>
      <c r="V298" s="345">
        <v>82</v>
      </c>
      <c r="W298" s="345">
        <v>121.1</v>
      </c>
      <c r="X298" s="345">
        <v>3</v>
      </c>
      <c r="Y298" s="345">
        <v>0</v>
      </c>
      <c r="Z298" s="345">
        <v>0</v>
      </c>
      <c r="AA298" s="345">
        <v>0</v>
      </c>
      <c r="AB298" s="345">
        <v>16</v>
      </c>
      <c r="AC298" s="345">
        <v>1</v>
      </c>
      <c r="AD298" s="349">
        <v>987</v>
      </c>
      <c r="AE298" s="349">
        <v>4</v>
      </c>
      <c r="AF298" s="349">
        <v>5</v>
      </c>
      <c r="AG298" s="349">
        <v>9</v>
      </c>
    </row>
    <row r="299" spans="1:33" x14ac:dyDescent="0.2">
      <c r="A299" s="344" t="s">
        <v>652</v>
      </c>
      <c r="B299" s="350" t="s">
        <v>653</v>
      </c>
      <c r="C299" s="346">
        <v>1971</v>
      </c>
      <c r="D299" s="346">
        <v>0</v>
      </c>
      <c r="E299" s="346">
        <v>68</v>
      </c>
      <c r="F299" s="346">
        <v>288</v>
      </c>
      <c r="G299" s="346">
        <v>463</v>
      </c>
      <c r="H299" s="346">
        <v>2790</v>
      </c>
      <c r="I299" s="345">
        <v>2327</v>
      </c>
      <c r="J299" s="345">
        <v>0</v>
      </c>
      <c r="K299" s="347">
        <v>105.01</v>
      </c>
      <c r="L299" s="347">
        <v>102.66</v>
      </c>
      <c r="M299" s="347">
        <v>5.14</v>
      </c>
      <c r="N299" s="347">
        <v>108.92</v>
      </c>
      <c r="O299" s="348">
        <v>1488</v>
      </c>
      <c r="P299" s="345">
        <v>78.55</v>
      </c>
      <c r="Q299" s="345">
        <v>74.319999999999993</v>
      </c>
      <c r="R299" s="345">
        <v>34.69</v>
      </c>
      <c r="S299" s="345">
        <v>109.94</v>
      </c>
      <c r="T299" s="345">
        <v>221</v>
      </c>
      <c r="U299" s="345">
        <v>142.61000000000001</v>
      </c>
      <c r="V299" s="345">
        <v>461</v>
      </c>
      <c r="W299" s="345">
        <v>125.86</v>
      </c>
      <c r="X299" s="345">
        <v>10</v>
      </c>
      <c r="Y299" s="345">
        <v>0</v>
      </c>
      <c r="Z299" s="345">
        <v>0</v>
      </c>
      <c r="AA299" s="345">
        <v>4</v>
      </c>
      <c r="AB299" s="345">
        <v>27</v>
      </c>
      <c r="AC299" s="345">
        <v>5</v>
      </c>
      <c r="AD299" s="349">
        <v>1971</v>
      </c>
      <c r="AE299" s="349">
        <v>20</v>
      </c>
      <c r="AF299" s="349">
        <v>4</v>
      </c>
      <c r="AG299" s="349">
        <v>24</v>
      </c>
    </row>
    <row r="300" spans="1:33" x14ac:dyDescent="0.2">
      <c r="A300" s="344" t="s">
        <v>654</v>
      </c>
      <c r="B300" s="350" t="s">
        <v>655</v>
      </c>
      <c r="C300" s="346">
        <v>2578</v>
      </c>
      <c r="D300" s="346">
        <v>0</v>
      </c>
      <c r="E300" s="346">
        <v>300</v>
      </c>
      <c r="F300" s="346">
        <v>350</v>
      </c>
      <c r="G300" s="346">
        <v>336</v>
      </c>
      <c r="H300" s="346">
        <v>3564</v>
      </c>
      <c r="I300" s="345">
        <v>3228</v>
      </c>
      <c r="J300" s="345">
        <v>125</v>
      </c>
      <c r="K300" s="347">
        <v>110.76</v>
      </c>
      <c r="L300" s="347">
        <v>109.84</v>
      </c>
      <c r="M300" s="347">
        <v>7.36</v>
      </c>
      <c r="N300" s="347">
        <v>116.64</v>
      </c>
      <c r="O300" s="348">
        <v>2256</v>
      </c>
      <c r="P300" s="345">
        <v>95.16</v>
      </c>
      <c r="Q300" s="345">
        <v>93.75</v>
      </c>
      <c r="R300" s="345">
        <v>41.74</v>
      </c>
      <c r="S300" s="345">
        <v>136.52000000000001</v>
      </c>
      <c r="T300" s="345">
        <v>220</v>
      </c>
      <c r="U300" s="345">
        <v>142.51</v>
      </c>
      <c r="V300" s="345">
        <v>204</v>
      </c>
      <c r="W300" s="345">
        <v>0</v>
      </c>
      <c r="X300" s="345">
        <v>0</v>
      </c>
      <c r="Y300" s="345">
        <v>0</v>
      </c>
      <c r="Z300" s="345">
        <v>2</v>
      </c>
      <c r="AA300" s="345">
        <v>0</v>
      </c>
      <c r="AB300" s="345">
        <v>10</v>
      </c>
      <c r="AC300" s="345">
        <v>19</v>
      </c>
      <c r="AD300" s="349">
        <v>2478</v>
      </c>
      <c r="AE300" s="349">
        <v>43</v>
      </c>
      <c r="AF300" s="349">
        <v>4</v>
      </c>
      <c r="AG300" s="349">
        <v>47</v>
      </c>
    </row>
    <row r="301" spans="1:33" x14ac:dyDescent="0.2">
      <c r="A301" s="344" t="s">
        <v>656</v>
      </c>
      <c r="B301" s="350" t="s">
        <v>657</v>
      </c>
      <c r="C301" s="346">
        <v>7463</v>
      </c>
      <c r="D301" s="346">
        <v>4</v>
      </c>
      <c r="E301" s="346">
        <v>290</v>
      </c>
      <c r="F301" s="346">
        <v>1154</v>
      </c>
      <c r="G301" s="346">
        <v>505</v>
      </c>
      <c r="H301" s="346">
        <v>9416</v>
      </c>
      <c r="I301" s="345">
        <v>8911</v>
      </c>
      <c r="J301" s="345">
        <v>1</v>
      </c>
      <c r="K301" s="347">
        <v>118.31</v>
      </c>
      <c r="L301" s="347">
        <v>122.16</v>
      </c>
      <c r="M301" s="347">
        <v>4.38</v>
      </c>
      <c r="N301" s="347">
        <v>120.46</v>
      </c>
      <c r="O301" s="348">
        <v>7136</v>
      </c>
      <c r="P301" s="345">
        <v>102.17</v>
      </c>
      <c r="Q301" s="345">
        <v>104.08</v>
      </c>
      <c r="R301" s="345">
        <v>22.9</v>
      </c>
      <c r="S301" s="345">
        <v>123.61</v>
      </c>
      <c r="T301" s="345">
        <v>1306</v>
      </c>
      <c r="U301" s="345">
        <v>150.83000000000001</v>
      </c>
      <c r="V301" s="345">
        <v>305</v>
      </c>
      <c r="W301" s="345">
        <v>177.74</v>
      </c>
      <c r="X301" s="345">
        <v>44</v>
      </c>
      <c r="Y301" s="345">
        <v>0</v>
      </c>
      <c r="Z301" s="345">
        <v>8</v>
      </c>
      <c r="AA301" s="345">
        <v>1</v>
      </c>
      <c r="AB301" s="345">
        <v>9</v>
      </c>
      <c r="AC301" s="345">
        <v>15</v>
      </c>
      <c r="AD301" s="349">
        <v>7450</v>
      </c>
      <c r="AE301" s="349">
        <v>37</v>
      </c>
      <c r="AF301" s="349">
        <v>8</v>
      </c>
      <c r="AG301" s="349">
        <v>45</v>
      </c>
    </row>
    <row r="302" spans="1:33" x14ac:dyDescent="0.2">
      <c r="A302" s="344" t="s">
        <v>658</v>
      </c>
      <c r="B302" s="350" t="s">
        <v>659</v>
      </c>
      <c r="C302" s="346">
        <v>2008</v>
      </c>
      <c r="D302" s="346">
        <v>2</v>
      </c>
      <c r="E302" s="346">
        <v>33</v>
      </c>
      <c r="F302" s="346">
        <v>349</v>
      </c>
      <c r="G302" s="346">
        <v>103</v>
      </c>
      <c r="H302" s="346">
        <v>2495</v>
      </c>
      <c r="I302" s="345">
        <v>2392</v>
      </c>
      <c r="J302" s="345">
        <v>4</v>
      </c>
      <c r="K302" s="347">
        <v>86.81</v>
      </c>
      <c r="L302" s="347">
        <v>83.4</v>
      </c>
      <c r="M302" s="347">
        <v>4.2</v>
      </c>
      <c r="N302" s="347">
        <v>87.94</v>
      </c>
      <c r="O302" s="348">
        <v>1875</v>
      </c>
      <c r="P302" s="345">
        <v>78.56</v>
      </c>
      <c r="Q302" s="345">
        <v>72.84</v>
      </c>
      <c r="R302" s="345">
        <v>18.16</v>
      </c>
      <c r="S302" s="345">
        <v>96.62</v>
      </c>
      <c r="T302" s="345">
        <v>335</v>
      </c>
      <c r="U302" s="345">
        <v>109.72</v>
      </c>
      <c r="V302" s="345">
        <v>71</v>
      </c>
      <c r="W302" s="345">
        <v>0</v>
      </c>
      <c r="X302" s="345">
        <v>0</v>
      </c>
      <c r="Y302" s="345">
        <v>0</v>
      </c>
      <c r="Z302" s="345">
        <v>4</v>
      </c>
      <c r="AA302" s="345">
        <v>0</v>
      </c>
      <c r="AB302" s="345">
        <v>2</v>
      </c>
      <c r="AC302" s="345">
        <v>3</v>
      </c>
      <c r="AD302" s="349">
        <v>1944</v>
      </c>
      <c r="AE302" s="349">
        <v>4</v>
      </c>
      <c r="AF302" s="349">
        <v>8</v>
      </c>
      <c r="AG302" s="349">
        <v>12</v>
      </c>
    </row>
    <row r="303" spans="1:33" x14ac:dyDescent="0.2">
      <c r="A303" s="344" t="s">
        <v>660</v>
      </c>
      <c r="B303" s="350" t="s">
        <v>661</v>
      </c>
      <c r="C303" s="346">
        <v>643</v>
      </c>
      <c r="D303" s="346">
        <v>1</v>
      </c>
      <c r="E303" s="346">
        <v>156</v>
      </c>
      <c r="F303" s="346">
        <v>373</v>
      </c>
      <c r="G303" s="346">
        <v>263</v>
      </c>
      <c r="H303" s="346">
        <v>1436</v>
      </c>
      <c r="I303" s="345">
        <v>1173</v>
      </c>
      <c r="J303" s="345">
        <v>18</v>
      </c>
      <c r="K303" s="347">
        <v>90.81</v>
      </c>
      <c r="L303" s="347">
        <v>90.85</v>
      </c>
      <c r="M303" s="347">
        <v>5.07</v>
      </c>
      <c r="N303" s="347">
        <v>93.9</v>
      </c>
      <c r="O303" s="348">
        <v>500</v>
      </c>
      <c r="P303" s="345">
        <v>97.73</v>
      </c>
      <c r="Q303" s="345">
        <v>93.06</v>
      </c>
      <c r="R303" s="345">
        <v>34.21</v>
      </c>
      <c r="S303" s="345">
        <v>131.74</v>
      </c>
      <c r="T303" s="345">
        <v>499</v>
      </c>
      <c r="U303" s="345">
        <v>104.03</v>
      </c>
      <c r="V303" s="345">
        <v>106</v>
      </c>
      <c r="W303" s="345">
        <v>0</v>
      </c>
      <c r="X303" s="345">
        <v>0</v>
      </c>
      <c r="Y303" s="345">
        <v>0</v>
      </c>
      <c r="Z303" s="345">
        <v>0</v>
      </c>
      <c r="AA303" s="345">
        <v>4</v>
      </c>
      <c r="AB303" s="345">
        <v>6</v>
      </c>
      <c r="AC303" s="345">
        <v>1</v>
      </c>
      <c r="AD303" s="349">
        <v>631</v>
      </c>
      <c r="AE303" s="349">
        <v>10</v>
      </c>
      <c r="AF303" s="349">
        <v>11</v>
      </c>
      <c r="AG303" s="349">
        <v>21</v>
      </c>
    </row>
    <row r="304" spans="1:33" x14ac:dyDescent="0.2">
      <c r="A304" s="344" t="s">
        <v>662</v>
      </c>
      <c r="B304" s="350" t="s">
        <v>663</v>
      </c>
      <c r="C304" s="346">
        <v>4153</v>
      </c>
      <c r="D304" s="346">
        <v>0</v>
      </c>
      <c r="E304" s="346">
        <v>78</v>
      </c>
      <c r="F304" s="346">
        <v>429</v>
      </c>
      <c r="G304" s="346">
        <v>317</v>
      </c>
      <c r="H304" s="346">
        <v>4977</v>
      </c>
      <c r="I304" s="345">
        <v>4660</v>
      </c>
      <c r="J304" s="345">
        <v>0</v>
      </c>
      <c r="K304" s="347">
        <v>79.41</v>
      </c>
      <c r="L304" s="347">
        <v>79.92</v>
      </c>
      <c r="M304" s="347">
        <v>3.38</v>
      </c>
      <c r="N304" s="347">
        <v>80.37</v>
      </c>
      <c r="O304" s="348">
        <v>4081</v>
      </c>
      <c r="P304" s="345">
        <v>72.67</v>
      </c>
      <c r="Q304" s="345">
        <v>71.48</v>
      </c>
      <c r="R304" s="345">
        <v>23.51</v>
      </c>
      <c r="S304" s="345">
        <v>95.84</v>
      </c>
      <c r="T304" s="345">
        <v>484</v>
      </c>
      <c r="U304" s="345">
        <v>94.8</v>
      </c>
      <c r="V304" s="345">
        <v>33</v>
      </c>
      <c r="W304" s="345">
        <v>113.65</v>
      </c>
      <c r="X304" s="345">
        <v>8</v>
      </c>
      <c r="Y304" s="345">
        <v>0</v>
      </c>
      <c r="Z304" s="345">
        <v>10</v>
      </c>
      <c r="AA304" s="345">
        <v>1</v>
      </c>
      <c r="AB304" s="345">
        <v>7</v>
      </c>
      <c r="AC304" s="345">
        <v>8</v>
      </c>
      <c r="AD304" s="349">
        <v>4142</v>
      </c>
      <c r="AE304" s="349">
        <v>39</v>
      </c>
      <c r="AF304" s="349">
        <v>5</v>
      </c>
      <c r="AG304" s="349">
        <v>44</v>
      </c>
    </row>
    <row r="305" spans="1:33" ht="15" x14ac:dyDescent="0.25">
      <c r="A305" s="351" t="s">
        <v>800</v>
      </c>
      <c r="B305" s="351" t="s">
        <v>798</v>
      </c>
      <c r="C305" s="345">
        <v>10190</v>
      </c>
      <c r="D305" s="345">
        <v>35</v>
      </c>
      <c r="E305" s="345">
        <v>439</v>
      </c>
      <c r="F305" s="345">
        <v>2436</v>
      </c>
      <c r="G305" s="345">
        <v>1921</v>
      </c>
      <c r="H305" s="345">
        <v>15021</v>
      </c>
      <c r="I305" s="345">
        <v>13100</v>
      </c>
      <c r="J305" s="345">
        <v>43</v>
      </c>
      <c r="K305" s="345">
        <v>97.66</v>
      </c>
      <c r="L305" s="345">
        <v>98.45</v>
      </c>
      <c r="M305" s="345">
        <v>7.12</v>
      </c>
      <c r="N305" s="345">
        <v>100.77</v>
      </c>
      <c r="O305" s="345">
        <v>9229</v>
      </c>
      <c r="P305" s="345">
        <v>91.6</v>
      </c>
      <c r="Q305" s="345">
        <v>91.3</v>
      </c>
      <c r="R305" s="345">
        <v>37.61</v>
      </c>
      <c r="S305" s="345">
        <v>108.99</v>
      </c>
      <c r="T305" s="345">
        <v>2825</v>
      </c>
      <c r="U305" s="345">
        <v>122.44</v>
      </c>
      <c r="V305" s="345">
        <v>555</v>
      </c>
      <c r="W305" s="345">
        <v>0</v>
      </c>
      <c r="X305" s="345">
        <v>0</v>
      </c>
      <c r="Y305" s="345">
        <v>0</v>
      </c>
      <c r="Z305" s="345">
        <v>46</v>
      </c>
      <c r="AA305" s="345">
        <v>21</v>
      </c>
      <c r="AB305" s="345">
        <v>124</v>
      </c>
      <c r="AC305" s="345">
        <v>47</v>
      </c>
      <c r="AD305" s="345">
        <v>9935</v>
      </c>
      <c r="AE305" s="345">
        <v>71</v>
      </c>
      <c r="AF305" s="345">
        <v>29</v>
      </c>
      <c r="AG305" s="345">
        <v>100</v>
      </c>
    </row>
    <row r="306" spans="1:33" x14ac:dyDescent="0.2">
      <c r="A306" s="344" t="s">
        <v>664</v>
      </c>
      <c r="B306" s="350" t="s">
        <v>665</v>
      </c>
      <c r="C306" s="346">
        <v>5182</v>
      </c>
      <c r="D306" s="346">
        <v>2</v>
      </c>
      <c r="E306" s="346">
        <v>124</v>
      </c>
      <c r="F306" s="346">
        <v>290</v>
      </c>
      <c r="G306" s="346">
        <v>505</v>
      </c>
      <c r="H306" s="346">
        <v>6103</v>
      </c>
      <c r="I306" s="345">
        <v>5598</v>
      </c>
      <c r="J306" s="345">
        <v>79</v>
      </c>
      <c r="K306" s="347">
        <v>109.25</v>
      </c>
      <c r="L306" s="347">
        <v>118.62</v>
      </c>
      <c r="M306" s="347">
        <v>4.5599999999999996</v>
      </c>
      <c r="N306" s="347">
        <v>110.69</v>
      </c>
      <c r="O306" s="348">
        <v>4780</v>
      </c>
      <c r="P306" s="345">
        <v>87.07</v>
      </c>
      <c r="Q306" s="345">
        <v>88.41</v>
      </c>
      <c r="R306" s="345">
        <v>30.99</v>
      </c>
      <c r="S306" s="345">
        <v>117.53</v>
      </c>
      <c r="T306" s="345">
        <v>407</v>
      </c>
      <c r="U306" s="345">
        <v>151.31</v>
      </c>
      <c r="V306" s="345">
        <v>250</v>
      </c>
      <c r="W306" s="345">
        <v>0</v>
      </c>
      <c r="X306" s="345">
        <v>0</v>
      </c>
      <c r="Y306" s="345">
        <v>0</v>
      </c>
      <c r="Z306" s="345">
        <v>9</v>
      </c>
      <c r="AA306" s="345">
        <v>1</v>
      </c>
      <c r="AB306" s="345">
        <v>6</v>
      </c>
      <c r="AC306" s="345">
        <v>12</v>
      </c>
      <c r="AD306" s="349">
        <v>5024</v>
      </c>
      <c r="AE306" s="349">
        <v>9</v>
      </c>
      <c r="AF306" s="349">
        <v>9</v>
      </c>
      <c r="AG306" s="349">
        <v>18</v>
      </c>
    </row>
    <row r="307" spans="1:33" x14ac:dyDescent="0.2">
      <c r="A307" s="344" t="s">
        <v>666</v>
      </c>
      <c r="B307" s="350" t="s">
        <v>667</v>
      </c>
      <c r="C307" s="345">
        <v>10325</v>
      </c>
      <c r="D307" s="345">
        <v>6</v>
      </c>
      <c r="E307" s="345">
        <v>398</v>
      </c>
      <c r="F307" s="345">
        <v>1283</v>
      </c>
      <c r="G307" s="345">
        <v>671</v>
      </c>
      <c r="H307" s="345">
        <v>12683</v>
      </c>
      <c r="I307" s="345">
        <v>12012</v>
      </c>
      <c r="J307" s="345">
        <v>4</v>
      </c>
      <c r="K307" s="345">
        <v>91.34</v>
      </c>
      <c r="L307" s="347">
        <v>91.42</v>
      </c>
      <c r="M307" s="347">
        <v>4.7300000000000004</v>
      </c>
      <c r="N307" s="347">
        <v>92.34</v>
      </c>
      <c r="O307" s="348">
        <v>9450</v>
      </c>
      <c r="P307" s="345">
        <v>81.739999999999995</v>
      </c>
      <c r="Q307" s="345">
        <v>81.87</v>
      </c>
      <c r="R307" s="345">
        <v>33.200000000000003</v>
      </c>
      <c r="S307" s="345">
        <v>112.05</v>
      </c>
      <c r="T307" s="345">
        <v>1599</v>
      </c>
      <c r="U307" s="345">
        <v>125.58</v>
      </c>
      <c r="V307" s="345">
        <v>696</v>
      </c>
      <c r="W307" s="345">
        <v>98.56</v>
      </c>
      <c r="X307" s="345">
        <v>10</v>
      </c>
      <c r="Y307" s="345">
        <v>0</v>
      </c>
      <c r="Z307" s="345">
        <v>42</v>
      </c>
      <c r="AA307" s="345">
        <v>20</v>
      </c>
      <c r="AB307" s="345">
        <v>12</v>
      </c>
      <c r="AC307" s="345">
        <v>17</v>
      </c>
      <c r="AD307" s="345">
        <v>10241</v>
      </c>
      <c r="AE307" s="345">
        <v>17</v>
      </c>
      <c r="AF307" s="345">
        <v>66</v>
      </c>
      <c r="AG307" s="345">
        <v>83</v>
      </c>
    </row>
    <row r="308" spans="1:33" x14ac:dyDescent="0.2">
      <c r="A308" s="344" t="s">
        <v>668</v>
      </c>
      <c r="B308" s="350" t="s">
        <v>669</v>
      </c>
      <c r="C308" s="346">
        <v>11940</v>
      </c>
      <c r="D308" s="346">
        <v>584</v>
      </c>
      <c r="E308" s="346">
        <v>1762</v>
      </c>
      <c r="F308" s="346">
        <v>975</v>
      </c>
      <c r="G308" s="346">
        <v>744</v>
      </c>
      <c r="H308" s="346">
        <v>16005</v>
      </c>
      <c r="I308" s="345">
        <v>15261</v>
      </c>
      <c r="J308" s="345">
        <v>125</v>
      </c>
      <c r="K308" s="347">
        <v>127.97</v>
      </c>
      <c r="L308" s="347">
        <v>142.26</v>
      </c>
      <c r="M308" s="347">
        <v>11.32</v>
      </c>
      <c r="N308" s="347">
        <v>136.86000000000001</v>
      </c>
      <c r="O308" s="348">
        <v>9861</v>
      </c>
      <c r="P308" s="345">
        <v>166.83</v>
      </c>
      <c r="Q308" s="345">
        <v>169.05</v>
      </c>
      <c r="R308" s="345">
        <v>47.2</v>
      </c>
      <c r="S308" s="345">
        <v>204.83</v>
      </c>
      <c r="T308" s="345">
        <v>2294</v>
      </c>
      <c r="U308" s="345">
        <v>211.83</v>
      </c>
      <c r="V308" s="345">
        <v>338</v>
      </c>
      <c r="W308" s="345">
        <v>149.68</v>
      </c>
      <c r="X308" s="345">
        <v>1</v>
      </c>
      <c r="Y308" s="345">
        <v>0</v>
      </c>
      <c r="Z308" s="345">
        <v>5</v>
      </c>
      <c r="AA308" s="345">
        <v>33</v>
      </c>
      <c r="AB308" s="345">
        <v>1</v>
      </c>
      <c r="AC308" s="345">
        <v>17</v>
      </c>
      <c r="AD308" s="349">
        <v>10431</v>
      </c>
      <c r="AE308" s="349">
        <v>20</v>
      </c>
      <c r="AF308" s="349">
        <v>129</v>
      </c>
      <c r="AG308" s="349">
        <v>149</v>
      </c>
    </row>
    <row r="309" spans="1:33" x14ac:dyDescent="0.2">
      <c r="A309" s="344" t="s">
        <v>670</v>
      </c>
      <c r="B309" s="350" t="s">
        <v>671</v>
      </c>
      <c r="C309" s="346">
        <v>1950</v>
      </c>
      <c r="D309" s="346">
        <v>1</v>
      </c>
      <c r="E309" s="346">
        <v>624</v>
      </c>
      <c r="F309" s="346">
        <v>987</v>
      </c>
      <c r="G309" s="346">
        <v>272</v>
      </c>
      <c r="H309" s="346">
        <v>3834</v>
      </c>
      <c r="I309" s="345">
        <v>3562</v>
      </c>
      <c r="J309" s="345">
        <v>69</v>
      </c>
      <c r="K309" s="347">
        <v>79.69</v>
      </c>
      <c r="L309" s="347">
        <v>78.3</v>
      </c>
      <c r="M309" s="347">
        <v>8.16</v>
      </c>
      <c r="N309" s="347">
        <v>83.78</v>
      </c>
      <c r="O309" s="348">
        <v>1756</v>
      </c>
      <c r="P309" s="345">
        <v>80.45</v>
      </c>
      <c r="Q309" s="345">
        <v>74.34</v>
      </c>
      <c r="R309" s="345">
        <v>43.4</v>
      </c>
      <c r="S309" s="345">
        <v>121.77</v>
      </c>
      <c r="T309" s="345">
        <v>1417</v>
      </c>
      <c r="U309" s="345">
        <v>98.1</v>
      </c>
      <c r="V309" s="345">
        <v>130</v>
      </c>
      <c r="W309" s="345">
        <v>0</v>
      </c>
      <c r="X309" s="345">
        <v>0</v>
      </c>
      <c r="Y309" s="345">
        <v>0</v>
      </c>
      <c r="Z309" s="345">
        <v>0</v>
      </c>
      <c r="AA309" s="345">
        <v>16</v>
      </c>
      <c r="AB309" s="345">
        <v>0</v>
      </c>
      <c r="AC309" s="345">
        <v>6</v>
      </c>
      <c r="AD309" s="349">
        <v>1890</v>
      </c>
      <c r="AE309" s="349">
        <v>32</v>
      </c>
      <c r="AF309" s="349">
        <v>12</v>
      </c>
      <c r="AG309" s="349">
        <v>44</v>
      </c>
    </row>
    <row r="310" spans="1:33" x14ac:dyDescent="0.2">
      <c r="A310" s="344" t="s">
        <v>672</v>
      </c>
      <c r="B310" s="350" t="s">
        <v>673</v>
      </c>
      <c r="C310" s="346">
        <v>20924</v>
      </c>
      <c r="D310" s="346">
        <v>25</v>
      </c>
      <c r="E310" s="346">
        <v>628</v>
      </c>
      <c r="F310" s="346">
        <v>3154</v>
      </c>
      <c r="G310" s="346">
        <v>1296</v>
      </c>
      <c r="H310" s="346">
        <v>26027</v>
      </c>
      <c r="I310" s="345">
        <v>24731</v>
      </c>
      <c r="J310" s="345">
        <v>14</v>
      </c>
      <c r="K310" s="347">
        <v>99.75</v>
      </c>
      <c r="L310" s="347">
        <v>99.01</v>
      </c>
      <c r="M310" s="347">
        <v>3.69</v>
      </c>
      <c r="N310" s="347">
        <v>101.58</v>
      </c>
      <c r="O310" s="348">
        <v>19083</v>
      </c>
      <c r="P310" s="345">
        <v>89.79</v>
      </c>
      <c r="Q310" s="345">
        <v>89.13</v>
      </c>
      <c r="R310" s="345">
        <v>21.61</v>
      </c>
      <c r="S310" s="345">
        <v>110.38</v>
      </c>
      <c r="T310" s="345">
        <v>3447</v>
      </c>
      <c r="U310" s="345">
        <v>121.62</v>
      </c>
      <c r="V310" s="345">
        <v>1233</v>
      </c>
      <c r="W310" s="345">
        <v>123.61</v>
      </c>
      <c r="X310" s="345">
        <v>30</v>
      </c>
      <c r="Y310" s="345">
        <v>145</v>
      </c>
      <c r="Z310" s="345">
        <v>35</v>
      </c>
      <c r="AA310" s="345">
        <v>71</v>
      </c>
      <c r="AB310" s="345">
        <v>52</v>
      </c>
      <c r="AC310" s="345">
        <v>24</v>
      </c>
      <c r="AD310" s="349">
        <v>20392</v>
      </c>
      <c r="AE310" s="349">
        <v>204</v>
      </c>
      <c r="AF310" s="349">
        <v>53</v>
      </c>
      <c r="AG310" s="349">
        <v>257</v>
      </c>
    </row>
    <row r="311" spans="1:33" x14ac:dyDescent="0.2">
      <c r="A311" s="344" t="s">
        <v>674</v>
      </c>
      <c r="B311" s="350" t="s">
        <v>675</v>
      </c>
      <c r="C311" s="346">
        <v>2033</v>
      </c>
      <c r="D311" s="346">
        <v>0</v>
      </c>
      <c r="E311" s="346">
        <v>266</v>
      </c>
      <c r="F311" s="346">
        <v>225</v>
      </c>
      <c r="G311" s="346">
        <v>315</v>
      </c>
      <c r="H311" s="346">
        <v>2839</v>
      </c>
      <c r="I311" s="345">
        <v>2524</v>
      </c>
      <c r="J311" s="345">
        <v>8</v>
      </c>
      <c r="K311" s="347">
        <v>113.39</v>
      </c>
      <c r="L311" s="347">
        <v>112.94</v>
      </c>
      <c r="M311" s="347">
        <v>6.32</v>
      </c>
      <c r="N311" s="347">
        <v>119.2</v>
      </c>
      <c r="O311" s="348">
        <v>1677</v>
      </c>
      <c r="P311" s="345">
        <v>91.74</v>
      </c>
      <c r="Q311" s="345">
        <v>92.6</v>
      </c>
      <c r="R311" s="345">
        <v>40.71</v>
      </c>
      <c r="S311" s="345">
        <v>128.35</v>
      </c>
      <c r="T311" s="345">
        <v>456</v>
      </c>
      <c r="U311" s="345">
        <v>162.80000000000001</v>
      </c>
      <c r="V311" s="345">
        <v>149</v>
      </c>
      <c r="W311" s="345">
        <v>0</v>
      </c>
      <c r="X311" s="345">
        <v>0</v>
      </c>
      <c r="Y311" s="345">
        <v>13</v>
      </c>
      <c r="Z311" s="345">
        <v>2</v>
      </c>
      <c r="AA311" s="345">
        <v>3</v>
      </c>
      <c r="AB311" s="345">
        <v>16</v>
      </c>
      <c r="AC311" s="345">
        <v>14</v>
      </c>
      <c r="AD311" s="349">
        <v>1863</v>
      </c>
      <c r="AE311" s="349">
        <v>9</v>
      </c>
      <c r="AF311" s="349">
        <v>8</v>
      </c>
      <c r="AG311" s="349">
        <v>17</v>
      </c>
    </row>
    <row r="312" spans="1:33" x14ac:dyDescent="0.2">
      <c r="A312" s="344" t="s">
        <v>676</v>
      </c>
      <c r="B312" s="350" t="s">
        <v>677</v>
      </c>
      <c r="C312" s="346">
        <v>6714</v>
      </c>
      <c r="D312" s="346">
        <v>16</v>
      </c>
      <c r="E312" s="346">
        <v>209</v>
      </c>
      <c r="F312" s="346">
        <v>915</v>
      </c>
      <c r="G312" s="346">
        <v>233</v>
      </c>
      <c r="H312" s="346">
        <v>8087</v>
      </c>
      <c r="I312" s="345">
        <v>7854</v>
      </c>
      <c r="J312" s="345">
        <v>1</v>
      </c>
      <c r="K312" s="347">
        <v>121.38</v>
      </c>
      <c r="L312" s="347">
        <v>124.09</v>
      </c>
      <c r="M312" s="347">
        <v>2.83</v>
      </c>
      <c r="N312" s="347">
        <v>124.01</v>
      </c>
      <c r="O312" s="348">
        <v>6456</v>
      </c>
      <c r="P312" s="345">
        <v>104.63</v>
      </c>
      <c r="Q312" s="345">
        <v>102.23</v>
      </c>
      <c r="R312" s="345">
        <v>20.12</v>
      </c>
      <c r="S312" s="345">
        <v>124.54</v>
      </c>
      <c r="T312" s="345">
        <v>1080</v>
      </c>
      <c r="U312" s="345">
        <v>177.46</v>
      </c>
      <c r="V312" s="345">
        <v>208</v>
      </c>
      <c r="W312" s="345">
        <v>151.5</v>
      </c>
      <c r="X312" s="345">
        <v>1</v>
      </c>
      <c r="Y312" s="345">
        <v>78</v>
      </c>
      <c r="Z312" s="345">
        <v>8</v>
      </c>
      <c r="AA312" s="345">
        <v>1</v>
      </c>
      <c r="AB312" s="345">
        <v>10</v>
      </c>
      <c r="AC312" s="345">
        <v>13</v>
      </c>
      <c r="AD312" s="349">
        <v>6713</v>
      </c>
      <c r="AE312" s="349">
        <v>20</v>
      </c>
      <c r="AF312" s="349">
        <v>23</v>
      </c>
      <c r="AG312" s="349">
        <v>43</v>
      </c>
    </row>
    <row r="313" spans="1:33" x14ac:dyDescent="0.2">
      <c r="A313" s="344" t="s">
        <v>678</v>
      </c>
      <c r="B313" s="350" t="s">
        <v>679</v>
      </c>
      <c r="C313" s="346">
        <v>17802</v>
      </c>
      <c r="D313" s="346">
        <v>26</v>
      </c>
      <c r="E313" s="346">
        <v>1083</v>
      </c>
      <c r="F313" s="346">
        <v>3760</v>
      </c>
      <c r="G313" s="346">
        <v>478</v>
      </c>
      <c r="H313" s="346">
        <v>23149</v>
      </c>
      <c r="I313" s="345">
        <v>22671</v>
      </c>
      <c r="J313" s="345">
        <v>87</v>
      </c>
      <c r="K313" s="347">
        <v>86.45</v>
      </c>
      <c r="L313" s="347">
        <v>84.6</v>
      </c>
      <c r="M313" s="347">
        <v>5.53</v>
      </c>
      <c r="N313" s="347">
        <v>88.26</v>
      </c>
      <c r="O313" s="348">
        <v>13958</v>
      </c>
      <c r="P313" s="345">
        <v>81.39</v>
      </c>
      <c r="Q313" s="345">
        <v>79.569999999999993</v>
      </c>
      <c r="R313" s="345">
        <v>26.47</v>
      </c>
      <c r="S313" s="345">
        <v>105.88</v>
      </c>
      <c r="T313" s="345">
        <v>3542</v>
      </c>
      <c r="U313" s="345">
        <v>109.16</v>
      </c>
      <c r="V313" s="345">
        <v>1331</v>
      </c>
      <c r="W313" s="345">
        <v>137.08000000000001</v>
      </c>
      <c r="X313" s="345">
        <v>89</v>
      </c>
      <c r="Y313" s="345">
        <v>0</v>
      </c>
      <c r="Z313" s="345">
        <v>52</v>
      </c>
      <c r="AA313" s="345">
        <v>12</v>
      </c>
      <c r="AB313" s="345">
        <v>18</v>
      </c>
      <c r="AC313" s="345">
        <v>5</v>
      </c>
      <c r="AD313" s="349">
        <v>15207</v>
      </c>
      <c r="AE313" s="349">
        <v>150</v>
      </c>
      <c r="AF313" s="349">
        <v>262</v>
      </c>
      <c r="AG313" s="349">
        <v>412</v>
      </c>
    </row>
    <row r="314" spans="1:33" x14ac:dyDescent="0.2">
      <c r="A314" s="344" t="s">
        <v>680</v>
      </c>
      <c r="B314" s="350" t="s">
        <v>681</v>
      </c>
      <c r="C314" s="346">
        <v>853</v>
      </c>
      <c r="D314" s="346">
        <v>4</v>
      </c>
      <c r="E314" s="346">
        <v>157</v>
      </c>
      <c r="F314" s="346">
        <v>337</v>
      </c>
      <c r="G314" s="346">
        <v>247</v>
      </c>
      <c r="H314" s="346">
        <v>1598</v>
      </c>
      <c r="I314" s="345">
        <v>1351</v>
      </c>
      <c r="J314" s="345">
        <v>5</v>
      </c>
      <c r="K314" s="347">
        <v>125.12</v>
      </c>
      <c r="L314" s="347">
        <v>122.72</v>
      </c>
      <c r="M314" s="347">
        <v>8.25</v>
      </c>
      <c r="N314" s="347">
        <v>131.83000000000001</v>
      </c>
      <c r="O314" s="348">
        <v>698</v>
      </c>
      <c r="P314" s="345">
        <v>99.45</v>
      </c>
      <c r="Q314" s="345">
        <v>96.24</v>
      </c>
      <c r="R314" s="345">
        <v>36.049999999999997</v>
      </c>
      <c r="S314" s="345">
        <v>134.44999999999999</v>
      </c>
      <c r="T314" s="345">
        <v>273</v>
      </c>
      <c r="U314" s="345">
        <v>166.24</v>
      </c>
      <c r="V314" s="345">
        <v>18</v>
      </c>
      <c r="W314" s="345">
        <v>130.9</v>
      </c>
      <c r="X314" s="345">
        <v>5</v>
      </c>
      <c r="Y314" s="345">
        <v>0</v>
      </c>
      <c r="Z314" s="345">
        <v>0</v>
      </c>
      <c r="AA314" s="345">
        <v>4</v>
      </c>
      <c r="AB314" s="345">
        <v>11</v>
      </c>
      <c r="AC314" s="345">
        <v>17</v>
      </c>
      <c r="AD314" s="349">
        <v>740</v>
      </c>
      <c r="AE314" s="349">
        <v>3</v>
      </c>
      <c r="AF314" s="349">
        <v>1</v>
      </c>
      <c r="AG314" s="349">
        <v>4</v>
      </c>
    </row>
    <row r="315" spans="1:33" x14ac:dyDescent="0.2">
      <c r="A315" s="344" t="s">
        <v>682</v>
      </c>
      <c r="B315" s="350" t="s">
        <v>683</v>
      </c>
      <c r="C315" s="346">
        <v>1260</v>
      </c>
      <c r="D315" s="346">
        <v>3</v>
      </c>
      <c r="E315" s="346">
        <v>98</v>
      </c>
      <c r="F315" s="346">
        <v>203</v>
      </c>
      <c r="G315" s="346">
        <v>556</v>
      </c>
      <c r="H315" s="346">
        <v>2120</v>
      </c>
      <c r="I315" s="345">
        <v>1564</v>
      </c>
      <c r="J315" s="345">
        <v>1</v>
      </c>
      <c r="K315" s="347">
        <v>127.05</v>
      </c>
      <c r="L315" s="347">
        <v>125.06</v>
      </c>
      <c r="M315" s="347">
        <v>6.09</v>
      </c>
      <c r="N315" s="347">
        <v>132.19999999999999</v>
      </c>
      <c r="O315" s="348">
        <v>1133</v>
      </c>
      <c r="P315" s="345">
        <v>106.53</v>
      </c>
      <c r="Q315" s="345">
        <v>109.41</v>
      </c>
      <c r="R315" s="345">
        <v>36.24</v>
      </c>
      <c r="S315" s="345">
        <v>142.63999999999999</v>
      </c>
      <c r="T315" s="345">
        <v>278</v>
      </c>
      <c r="U315" s="345">
        <v>157.66</v>
      </c>
      <c r="V315" s="345">
        <v>53</v>
      </c>
      <c r="W315" s="345">
        <v>0</v>
      </c>
      <c r="X315" s="345">
        <v>0</v>
      </c>
      <c r="Y315" s="345">
        <v>0</v>
      </c>
      <c r="Z315" s="345">
        <v>1</v>
      </c>
      <c r="AA315" s="345">
        <v>1</v>
      </c>
      <c r="AB315" s="345">
        <v>20</v>
      </c>
      <c r="AC315" s="345">
        <v>22</v>
      </c>
      <c r="AD315" s="349">
        <v>1196</v>
      </c>
      <c r="AE315" s="349">
        <v>5</v>
      </c>
      <c r="AF315" s="349">
        <v>0</v>
      </c>
      <c r="AG315" s="349">
        <v>5</v>
      </c>
    </row>
    <row r="316" spans="1:33" x14ac:dyDescent="0.2">
      <c r="A316" s="344" t="s">
        <v>684</v>
      </c>
      <c r="B316" s="350" t="s">
        <v>685</v>
      </c>
      <c r="C316" s="346">
        <v>4098</v>
      </c>
      <c r="D316" s="346">
        <v>0</v>
      </c>
      <c r="E316" s="346">
        <v>440</v>
      </c>
      <c r="F316" s="346">
        <v>1510</v>
      </c>
      <c r="G316" s="346">
        <v>305</v>
      </c>
      <c r="H316" s="346">
        <v>6353</v>
      </c>
      <c r="I316" s="345">
        <v>6048</v>
      </c>
      <c r="J316" s="345">
        <v>35</v>
      </c>
      <c r="K316" s="347">
        <v>88.09</v>
      </c>
      <c r="L316" s="347">
        <v>87.31</v>
      </c>
      <c r="M316" s="347">
        <v>6.71</v>
      </c>
      <c r="N316" s="347">
        <v>93.96</v>
      </c>
      <c r="O316" s="348">
        <v>3627</v>
      </c>
      <c r="P316" s="345">
        <v>91.68</v>
      </c>
      <c r="Q316" s="345">
        <v>89.52</v>
      </c>
      <c r="R316" s="345">
        <v>43.75</v>
      </c>
      <c r="S316" s="345">
        <v>133.66999999999999</v>
      </c>
      <c r="T316" s="345">
        <v>1793</v>
      </c>
      <c r="U316" s="345">
        <v>108.61</v>
      </c>
      <c r="V316" s="345">
        <v>142</v>
      </c>
      <c r="W316" s="345">
        <v>0</v>
      </c>
      <c r="X316" s="345">
        <v>0</v>
      </c>
      <c r="Y316" s="345">
        <v>1</v>
      </c>
      <c r="Z316" s="345">
        <v>0</v>
      </c>
      <c r="AA316" s="345">
        <v>3</v>
      </c>
      <c r="AB316" s="345">
        <v>0</v>
      </c>
      <c r="AC316" s="345">
        <v>10</v>
      </c>
      <c r="AD316" s="349">
        <v>3873</v>
      </c>
      <c r="AE316" s="349">
        <v>25</v>
      </c>
      <c r="AF316" s="349">
        <v>19</v>
      </c>
      <c r="AG316" s="349">
        <v>44</v>
      </c>
    </row>
    <row r="317" spans="1:33" x14ac:dyDescent="0.2">
      <c r="A317" s="344" t="s">
        <v>686</v>
      </c>
      <c r="B317" s="350" t="s">
        <v>687</v>
      </c>
      <c r="C317" s="346">
        <v>5816</v>
      </c>
      <c r="D317" s="346">
        <v>54</v>
      </c>
      <c r="E317" s="346">
        <v>375</v>
      </c>
      <c r="F317" s="346">
        <v>950</v>
      </c>
      <c r="G317" s="346">
        <v>487</v>
      </c>
      <c r="H317" s="346">
        <v>7682</v>
      </c>
      <c r="I317" s="345">
        <v>7195</v>
      </c>
      <c r="J317" s="345">
        <v>0</v>
      </c>
      <c r="K317" s="347">
        <v>86.82</v>
      </c>
      <c r="L317" s="347">
        <v>88.54</v>
      </c>
      <c r="M317" s="347">
        <v>5.34</v>
      </c>
      <c r="N317" s="347">
        <v>91.73</v>
      </c>
      <c r="O317" s="348">
        <v>5197</v>
      </c>
      <c r="P317" s="345">
        <v>76.599999999999994</v>
      </c>
      <c r="Q317" s="345">
        <v>77.650000000000006</v>
      </c>
      <c r="R317" s="345">
        <v>30.58</v>
      </c>
      <c r="S317" s="345">
        <v>106.4</v>
      </c>
      <c r="T317" s="345">
        <v>1168</v>
      </c>
      <c r="U317" s="345">
        <v>102.1</v>
      </c>
      <c r="V317" s="345">
        <v>520</v>
      </c>
      <c r="W317" s="345">
        <v>169.06</v>
      </c>
      <c r="X317" s="345">
        <v>51</v>
      </c>
      <c r="Y317" s="345">
        <v>1</v>
      </c>
      <c r="Z317" s="345">
        <v>17</v>
      </c>
      <c r="AA317" s="345">
        <v>0</v>
      </c>
      <c r="AB317" s="345">
        <v>19</v>
      </c>
      <c r="AC317" s="345">
        <v>8</v>
      </c>
      <c r="AD317" s="349">
        <v>5772</v>
      </c>
      <c r="AE317" s="349">
        <v>119</v>
      </c>
      <c r="AF317" s="349">
        <v>1</v>
      </c>
      <c r="AG317" s="349">
        <v>120</v>
      </c>
    </row>
    <row r="318" spans="1:33" x14ac:dyDescent="0.2">
      <c r="A318" s="344" t="s">
        <v>688</v>
      </c>
      <c r="B318" s="350" t="s">
        <v>689</v>
      </c>
      <c r="C318" s="346">
        <v>3919</v>
      </c>
      <c r="D318" s="346">
        <v>37</v>
      </c>
      <c r="E318" s="346">
        <v>264</v>
      </c>
      <c r="F318" s="346">
        <v>559</v>
      </c>
      <c r="G318" s="346">
        <v>152</v>
      </c>
      <c r="H318" s="346">
        <v>4931</v>
      </c>
      <c r="I318" s="345">
        <v>4779</v>
      </c>
      <c r="J318" s="345">
        <v>10</v>
      </c>
      <c r="K318" s="347">
        <v>101.37</v>
      </c>
      <c r="L318" s="347">
        <v>100.47</v>
      </c>
      <c r="M318" s="347">
        <v>5.84</v>
      </c>
      <c r="N318" s="347">
        <v>104.92</v>
      </c>
      <c r="O318" s="348">
        <v>3693</v>
      </c>
      <c r="P318" s="345">
        <v>87.03</v>
      </c>
      <c r="Q318" s="345">
        <v>84.45</v>
      </c>
      <c r="R318" s="345">
        <v>31.13</v>
      </c>
      <c r="S318" s="345">
        <v>116.13</v>
      </c>
      <c r="T318" s="345">
        <v>644</v>
      </c>
      <c r="U318" s="345">
        <v>136.71</v>
      </c>
      <c r="V318" s="345">
        <v>98</v>
      </c>
      <c r="W318" s="345">
        <v>0</v>
      </c>
      <c r="X318" s="345">
        <v>0</v>
      </c>
      <c r="Y318" s="345">
        <v>29</v>
      </c>
      <c r="Z318" s="345">
        <v>7</v>
      </c>
      <c r="AA318" s="345">
        <v>5</v>
      </c>
      <c r="AB318" s="345">
        <v>1</v>
      </c>
      <c r="AC318" s="345">
        <v>0</v>
      </c>
      <c r="AD318" s="349">
        <v>3888</v>
      </c>
      <c r="AE318" s="349">
        <v>9</v>
      </c>
      <c r="AF318" s="349">
        <v>15</v>
      </c>
      <c r="AG318" s="349">
        <v>24</v>
      </c>
    </row>
    <row r="319" spans="1:33" x14ac:dyDescent="0.2">
      <c r="A319" s="344" t="s">
        <v>690</v>
      </c>
      <c r="B319" s="350" t="s">
        <v>691</v>
      </c>
      <c r="C319" s="346">
        <v>6917</v>
      </c>
      <c r="D319" s="346">
        <v>7</v>
      </c>
      <c r="E319" s="346">
        <v>55</v>
      </c>
      <c r="F319" s="346">
        <v>954</v>
      </c>
      <c r="G319" s="346">
        <v>300</v>
      </c>
      <c r="H319" s="346">
        <v>8233</v>
      </c>
      <c r="I319" s="345">
        <v>7933</v>
      </c>
      <c r="J319" s="345">
        <v>0</v>
      </c>
      <c r="K319" s="347">
        <v>94.14</v>
      </c>
      <c r="L319" s="347">
        <v>94.56</v>
      </c>
      <c r="M319" s="347">
        <v>4.0199999999999996</v>
      </c>
      <c r="N319" s="347">
        <v>96.21</v>
      </c>
      <c r="O319" s="348">
        <v>6205</v>
      </c>
      <c r="P319" s="345">
        <v>82.76</v>
      </c>
      <c r="Q319" s="345">
        <v>83.62</v>
      </c>
      <c r="R319" s="345">
        <v>28.71</v>
      </c>
      <c r="S319" s="345">
        <v>110.96</v>
      </c>
      <c r="T319" s="345">
        <v>893</v>
      </c>
      <c r="U319" s="345">
        <v>113.03</v>
      </c>
      <c r="V319" s="345">
        <v>700</v>
      </c>
      <c r="W319" s="345">
        <v>197.11</v>
      </c>
      <c r="X319" s="345">
        <v>28</v>
      </c>
      <c r="Y319" s="345">
        <v>0</v>
      </c>
      <c r="Z319" s="345">
        <v>18</v>
      </c>
      <c r="AA319" s="345">
        <v>12</v>
      </c>
      <c r="AB319" s="345">
        <v>45</v>
      </c>
      <c r="AC319" s="345">
        <v>1</v>
      </c>
      <c r="AD319" s="349">
        <v>6917</v>
      </c>
      <c r="AE319" s="349">
        <v>29</v>
      </c>
      <c r="AF319" s="349">
        <v>5</v>
      </c>
      <c r="AG319" s="349">
        <v>34</v>
      </c>
    </row>
    <row r="320" spans="1:33" x14ac:dyDescent="0.2">
      <c r="A320" s="357" t="s">
        <v>692</v>
      </c>
      <c r="B320" s="358" t="s">
        <v>693</v>
      </c>
      <c r="C320" s="356">
        <v>3073</v>
      </c>
      <c r="D320" s="346">
        <v>0</v>
      </c>
      <c r="E320" s="346">
        <v>228</v>
      </c>
      <c r="F320" s="346">
        <v>483</v>
      </c>
      <c r="G320" s="346">
        <v>181</v>
      </c>
      <c r="H320" s="346">
        <v>3965</v>
      </c>
      <c r="I320" s="345">
        <v>3784</v>
      </c>
      <c r="J320" s="345">
        <v>3</v>
      </c>
      <c r="K320" s="347">
        <v>85.88</v>
      </c>
      <c r="L320" s="347">
        <v>85.83</v>
      </c>
      <c r="M320" s="347">
        <v>2.5499999999999998</v>
      </c>
      <c r="N320" s="347">
        <v>88.32</v>
      </c>
      <c r="O320" s="348">
        <v>2883</v>
      </c>
      <c r="P320" s="345">
        <v>88.52</v>
      </c>
      <c r="Q320" s="345">
        <v>80.5</v>
      </c>
      <c r="R320" s="345">
        <v>29.64</v>
      </c>
      <c r="S320" s="345">
        <v>116.9</v>
      </c>
      <c r="T320" s="345">
        <v>657</v>
      </c>
      <c r="U320" s="345">
        <v>107.3</v>
      </c>
      <c r="V320" s="345">
        <v>144</v>
      </c>
      <c r="W320" s="345">
        <v>0</v>
      </c>
      <c r="X320" s="345">
        <v>0</v>
      </c>
      <c r="Y320" s="345">
        <v>0</v>
      </c>
      <c r="Z320" s="345">
        <v>3</v>
      </c>
      <c r="AA320" s="345">
        <v>1</v>
      </c>
      <c r="AB320" s="345">
        <v>11</v>
      </c>
      <c r="AC320" s="345">
        <v>4</v>
      </c>
      <c r="AD320" s="349">
        <v>3039</v>
      </c>
      <c r="AE320" s="349">
        <v>30</v>
      </c>
      <c r="AF320" s="349">
        <v>14</v>
      </c>
      <c r="AG320" s="349">
        <v>44</v>
      </c>
    </row>
    <row r="321" spans="1:33" x14ac:dyDescent="0.2">
      <c r="A321" s="357" t="s">
        <v>694</v>
      </c>
      <c r="B321" s="358" t="s">
        <v>695</v>
      </c>
      <c r="C321" s="356">
        <v>4313</v>
      </c>
      <c r="D321" s="346">
        <v>0</v>
      </c>
      <c r="E321" s="346">
        <v>90</v>
      </c>
      <c r="F321" s="346">
        <v>2174</v>
      </c>
      <c r="G321" s="346">
        <v>361</v>
      </c>
      <c r="H321" s="346">
        <v>6938</v>
      </c>
      <c r="I321" s="345">
        <v>6577</v>
      </c>
      <c r="J321" s="345">
        <v>0</v>
      </c>
      <c r="K321" s="347">
        <v>88.75</v>
      </c>
      <c r="L321" s="347">
        <v>86.13</v>
      </c>
      <c r="M321" s="347">
        <v>4.4800000000000004</v>
      </c>
      <c r="N321" s="347">
        <v>93.03</v>
      </c>
      <c r="O321" s="348">
        <v>4076</v>
      </c>
      <c r="P321" s="345">
        <v>81.88</v>
      </c>
      <c r="Q321" s="345">
        <v>76.88</v>
      </c>
      <c r="R321" s="345">
        <v>14.12</v>
      </c>
      <c r="S321" s="345">
        <v>95.7</v>
      </c>
      <c r="T321" s="345">
        <v>2252</v>
      </c>
      <c r="U321" s="345">
        <v>97.65</v>
      </c>
      <c r="V321" s="345">
        <v>207</v>
      </c>
      <c r="W321" s="345">
        <v>107.86</v>
      </c>
      <c r="X321" s="345">
        <v>2</v>
      </c>
      <c r="Y321" s="345">
        <v>0</v>
      </c>
      <c r="Z321" s="345">
        <v>21</v>
      </c>
      <c r="AA321" s="345">
        <v>10</v>
      </c>
      <c r="AB321" s="345">
        <v>45</v>
      </c>
      <c r="AC321" s="345">
        <v>23</v>
      </c>
      <c r="AD321" s="349">
        <v>4313</v>
      </c>
      <c r="AE321" s="349">
        <v>30</v>
      </c>
      <c r="AF321" s="349">
        <v>31</v>
      </c>
      <c r="AG321" s="349">
        <v>61</v>
      </c>
    </row>
    <row r="322" spans="1:33" x14ac:dyDescent="0.2">
      <c r="A322" s="357" t="s">
        <v>696</v>
      </c>
      <c r="B322" s="358" t="s">
        <v>697</v>
      </c>
      <c r="C322" s="356">
        <v>3502</v>
      </c>
      <c r="D322" s="346">
        <v>10</v>
      </c>
      <c r="E322" s="346">
        <v>329</v>
      </c>
      <c r="F322" s="346">
        <v>1005</v>
      </c>
      <c r="G322" s="346">
        <v>448</v>
      </c>
      <c r="H322" s="346">
        <v>5294</v>
      </c>
      <c r="I322" s="345">
        <v>4846</v>
      </c>
      <c r="J322" s="345">
        <v>84</v>
      </c>
      <c r="K322" s="347">
        <v>93.28</v>
      </c>
      <c r="L322" s="347">
        <v>92.37</v>
      </c>
      <c r="M322" s="347">
        <v>6.3</v>
      </c>
      <c r="N322" s="347">
        <v>96.15</v>
      </c>
      <c r="O322" s="348">
        <v>2810</v>
      </c>
      <c r="P322" s="345">
        <v>82.13</v>
      </c>
      <c r="Q322" s="345">
        <v>75.84</v>
      </c>
      <c r="R322" s="345">
        <v>18.47</v>
      </c>
      <c r="S322" s="345">
        <v>97.97</v>
      </c>
      <c r="T322" s="345">
        <v>828</v>
      </c>
      <c r="U322" s="345">
        <v>109.7</v>
      </c>
      <c r="V322" s="345">
        <v>255</v>
      </c>
      <c r="W322" s="345">
        <v>96.66</v>
      </c>
      <c r="X322" s="345">
        <v>57</v>
      </c>
      <c r="Y322" s="345">
        <v>0</v>
      </c>
      <c r="Z322" s="345">
        <v>1</v>
      </c>
      <c r="AA322" s="345">
        <v>12</v>
      </c>
      <c r="AB322" s="345">
        <v>10</v>
      </c>
      <c r="AC322" s="345">
        <v>7</v>
      </c>
      <c r="AD322" s="349">
        <v>3176</v>
      </c>
      <c r="AE322" s="349">
        <v>18</v>
      </c>
      <c r="AF322" s="349">
        <v>4</v>
      </c>
      <c r="AG322" s="349">
        <v>22</v>
      </c>
    </row>
  </sheetData>
  <pageMargins left="0.7" right="0.7" top="0.75" bottom="0.75" header="0.3" footer="0.3"/>
  <pageSetup paperSize="9" orientation="portrait" r:id="rId1"/>
  <headerFooter>
    <oddFooter>&amp;C&amp;1#&amp;"Calibri"&amp;12&amp;K0078D7OFFICIAL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29CB3-1257-45BB-A432-856B9B8DE94A}">
  <sheetPr codeName="Sheet3">
    <tabColor rgb="FFFFFF00"/>
  </sheetPr>
  <dimension ref="A1:AG322"/>
  <sheetViews>
    <sheetView zoomScale="80" zoomScaleNormal="80" workbookViewId="0">
      <selection sqref="A1:XFD1048576"/>
    </sheetView>
  </sheetViews>
  <sheetFormatPr defaultColWidth="9.140625" defaultRowHeight="12.75" x14ac:dyDescent="0.2"/>
  <cols>
    <col min="1" max="8" width="9.140625" style="145"/>
    <col min="9" max="10" width="10.42578125" style="145" customWidth="1"/>
    <col min="11" max="11" width="10.42578125" style="145" bestFit="1" customWidth="1"/>
    <col min="12" max="16384" width="9.140625" style="145"/>
  </cols>
  <sheetData>
    <row r="1" spans="1:33" s="144" customFormat="1" x14ac:dyDescent="0.2">
      <c r="A1" s="134"/>
      <c r="B1" s="134"/>
      <c r="C1" s="135" t="s">
        <v>38</v>
      </c>
      <c r="D1" s="135" t="s">
        <v>38</v>
      </c>
      <c r="E1" s="135" t="s">
        <v>38</v>
      </c>
      <c r="F1" s="135" t="s">
        <v>38</v>
      </c>
      <c r="G1" s="135" t="s">
        <v>38</v>
      </c>
      <c r="H1" s="135" t="s">
        <v>38</v>
      </c>
      <c r="I1" s="136" t="s">
        <v>39</v>
      </c>
      <c r="J1" s="136" t="s">
        <v>39</v>
      </c>
      <c r="K1" s="137" t="s">
        <v>40</v>
      </c>
      <c r="L1" s="137" t="s">
        <v>40</v>
      </c>
      <c r="M1" s="137" t="s">
        <v>40</v>
      </c>
      <c r="N1" s="138" t="s">
        <v>40</v>
      </c>
      <c r="O1" s="137" t="s">
        <v>40</v>
      </c>
      <c r="P1" s="139" t="s">
        <v>41</v>
      </c>
      <c r="Q1" s="139" t="s">
        <v>41</v>
      </c>
      <c r="R1" s="139" t="s">
        <v>41</v>
      </c>
      <c r="S1" s="139" t="s">
        <v>41</v>
      </c>
      <c r="T1" s="139" t="s">
        <v>41</v>
      </c>
      <c r="U1" s="140" t="s">
        <v>42</v>
      </c>
      <c r="V1" s="140" t="s">
        <v>42</v>
      </c>
      <c r="W1" s="141" t="s">
        <v>43</v>
      </c>
      <c r="X1" s="141" t="s">
        <v>43</v>
      </c>
      <c r="Y1" s="142" t="s">
        <v>44</v>
      </c>
      <c r="Z1" s="142" t="s">
        <v>44</v>
      </c>
      <c r="AA1" s="142" t="s">
        <v>44</v>
      </c>
      <c r="AB1" s="142" t="s">
        <v>44</v>
      </c>
      <c r="AC1" s="142" t="s">
        <v>44</v>
      </c>
      <c r="AD1" s="143" t="s">
        <v>45</v>
      </c>
      <c r="AE1" s="143" t="s">
        <v>45</v>
      </c>
      <c r="AF1" s="143" t="s">
        <v>45</v>
      </c>
      <c r="AG1" s="143" t="s">
        <v>45</v>
      </c>
    </row>
    <row r="2" spans="1:33" x14ac:dyDescent="0.2">
      <c r="B2" s="146">
        <v>1</v>
      </c>
      <c r="C2" s="146">
        <v>2</v>
      </c>
      <c r="D2" s="146">
        <v>3</v>
      </c>
      <c r="E2" s="146">
        <v>4</v>
      </c>
      <c r="F2" s="146">
        <v>5</v>
      </c>
      <c r="G2" s="146">
        <v>6</v>
      </c>
      <c r="H2" s="146">
        <v>7</v>
      </c>
      <c r="I2" s="146">
        <v>8</v>
      </c>
      <c r="J2" s="146">
        <v>9</v>
      </c>
      <c r="K2" s="146">
        <v>10</v>
      </c>
      <c r="L2" s="146">
        <v>11</v>
      </c>
      <c r="M2" s="146">
        <v>12</v>
      </c>
      <c r="N2" s="146">
        <v>13</v>
      </c>
      <c r="O2" s="146">
        <v>14</v>
      </c>
      <c r="P2" s="146">
        <v>15</v>
      </c>
      <c r="Q2" s="146">
        <v>16</v>
      </c>
      <c r="R2" s="146">
        <v>17</v>
      </c>
      <c r="S2" s="146">
        <v>18</v>
      </c>
      <c r="T2" s="146">
        <v>19</v>
      </c>
      <c r="U2" s="146">
        <v>20</v>
      </c>
      <c r="V2" s="146">
        <v>21</v>
      </c>
      <c r="W2" s="146">
        <v>22</v>
      </c>
      <c r="X2" s="146">
        <v>23</v>
      </c>
      <c r="Y2" s="146">
        <v>24</v>
      </c>
      <c r="Z2" s="146">
        <v>25</v>
      </c>
      <c r="AA2" s="146">
        <v>26</v>
      </c>
      <c r="AB2" s="146">
        <v>27</v>
      </c>
      <c r="AC2" s="146">
        <v>28</v>
      </c>
      <c r="AD2" s="146">
        <v>29</v>
      </c>
      <c r="AE2" s="146">
        <v>30</v>
      </c>
      <c r="AF2" s="146">
        <v>31</v>
      </c>
      <c r="AG2" s="146">
        <v>32</v>
      </c>
    </row>
    <row r="3" spans="1:33" ht="89.25" x14ac:dyDescent="0.2">
      <c r="A3" s="145" t="s">
        <v>46</v>
      </c>
      <c r="B3" s="145" t="s">
        <v>47</v>
      </c>
      <c r="C3" s="147" t="s">
        <v>48</v>
      </c>
      <c r="D3" s="147" t="s">
        <v>49</v>
      </c>
      <c r="E3" s="147" t="s">
        <v>50</v>
      </c>
      <c r="F3" s="147" t="s">
        <v>51</v>
      </c>
      <c r="G3" s="147" t="s">
        <v>52</v>
      </c>
      <c r="H3" s="147" t="s">
        <v>53</v>
      </c>
      <c r="I3" s="148" t="s">
        <v>54</v>
      </c>
      <c r="J3" s="148" t="s">
        <v>55</v>
      </c>
      <c r="K3" s="149" t="s">
        <v>56</v>
      </c>
      <c r="L3" s="149" t="s">
        <v>57</v>
      </c>
      <c r="M3" s="149" t="s">
        <v>58</v>
      </c>
      <c r="N3" s="150" t="s">
        <v>59</v>
      </c>
      <c r="O3" s="149" t="s">
        <v>60</v>
      </c>
      <c r="P3" s="151" t="s">
        <v>61</v>
      </c>
      <c r="Q3" s="151" t="s">
        <v>62</v>
      </c>
      <c r="R3" s="151" t="s">
        <v>58</v>
      </c>
      <c r="S3" s="151" t="s">
        <v>63</v>
      </c>
      <c r="T3" s="151" t="s">
        <v>64</v>
      </c>
      <c r="U3" s="152" t="s">
        <v>65</v>
      </c>
      <c r="V3" s="152" t="s">
        <v>66</v>
      </c>
      <c r="W3" s="153" t="s">
        <v>67</v>
      </c>
      <c r="X3" s="153" t="s">
        <v>68</v>
      </c>
      <c r="Y3" s="154" t="s">
        <v>69</v>
      </c>
      <c r="Z3" s="154" t="s">
        <v>70</v>
      </c>
      <c r="AA3" s="154" t="s">
        <v>71</v>
      </c>
      <c r="AB3" s="154" t="s">
        <v>72</v>
      </c>
      <c r="AC3" s="154" t="s">
        <v>73</v>
      </c>
      <c r="AD3" s="155" t="s">
        <v>74</v>
      </c>
      <c r="AE3" s="155" t="s">
        <v>75</v>
      </c>
      <c r="AF3" s="155" t="s">
        <v>76</v>
      </c>
      <c r="AG3" s="155" t="s">
        <v>77</v>
      </c>
    </row>
    <row r="4" spans="1:33" x14ac:dyDescent="0.2">
      <c r="A4" s="344" t="s">
        <v>13</v>
      </c>
      <c r="B4" s="344" t="s">
        <v>13</v>
      </c>
      <c r="C4" s="345">
        <v>2063742</v>
      </c>
      <c r="D4" s="345">
        <v>8350</v>
      </c>
      <c r="E4" s="345">
        <v>123223</v>
      </c>
      <c r="F4" s="345">
        <v>298637</v>
      </c>
      <c r="G4" s="345">
        <v>161549</v>
      </c>
      <c r="H4" s="346">
        <v>2655501</v>
      </c>
      <c r="I4" s="345">
        <v>2493952</v>
      </c>
      <c r="J4" s="345">
        <v>8053</v>
      </c>
      <c r="K4" s="347">
        <v>97.84</v>
      </c>
      <c r="L4" s="347">
        <v>98.83</v>
      </c>
      <c r="M4" s="347">
        <v>6.24</v>
      </c>
      <c r="N4" s="347">
        <v>101.35</v>
      </c>
      <c r="O4" s="348">
        <v>1832246</v>
      </c>
      <c r="P4" s="345">
        <v>89.43</v>
      </c>
      <c r="Q4" s="345">
        <v>86.91</v>
      </c>
      <c r="R4" s="345">
        <v>32.619999999999997</v>
      </c>
      <c r="S4" s="345">
        <v>118.78</v>
      </c>
      <c r="T4" s="345">
        <v>361336</v>
      </c>
      <c r="U4" s="345">
        <v>128.6</v>
      </c>
      <c r="V4" s="345">
        <v>151611</v>
      </c>
      <c r="W4" s="345">
        <v>154.62</v>
      </c>
      <c r="X4" s="345">
        <v>9582</v>
      </c>
      <c r="Y4" s="345">
        <v>3897</v>
      </c>
      <c r="Z4" s="345">
        <v>5335</v>
      </c>
      <c r="AA4" s="345">
        <v>4099</v>
      </c>
      <c r="AB4" s="345">
        <v>9960</v>
      </c>
      <c r="AC4" s="345">
        <v>5744</v>
      </c>
      <c r="AD4" s="349">
        <v>2008229</v>
      </c>
      <c r="AE4" s="345">
        <v>12436</v>
      </c>
      <c r="AF4" s="345">
        <v>11462</v>
      </c>
      <c r="AG4" s="345">
        <v>23898</v>
      </c>
    </row>
    <row r="5" spans="1:33" x14ac:dyDescent="0.2">
      <c r="A5" s="350" t="s">
        <v>78</v>
      </c>
      <c r="B5" s="350" t="s">
        <v>78</v>
      </c>
      <c r="C5" s="346">
        <v>105805</v>
      </c>
      <c r="D5" s="346">
        <v>145</v>
      </c>
      <c r="E5" s="346">
        <v>7463</v>
      </c>
      <c r="F5" s="346">
        <v>24742</v>
      </c>
      <c r="G5" s="346">
        <v>10974</v>
      </c>
      <c r="H5" s="346">
        <v>149129</v>
      </c>
      <c r="I5" s="345">
        <v>138155</v>
      </c>
      <c r="J5" s="345">
        <v>331</v>
      </c>
      <c r="K5" s="347">
        <v>89.68</v>
      </c>
      <c r="L5" s="347">
        <v>89.79</v>
      </c>
      <c r="M5" s="347">
        <v>4.53</v>
      </c>
      <c r="N5" s="347">
        <v>92.48</v>
      </c>
      <c r="O5" s="348">
        <v>94777</v>
      </c>
      <c r="P5" s="345">
        <v>86.12</v>
      </c>
      <c r="Q5" s="345">
        <v>83.53</v>
      </c>
      <c r="R5" s="345">
        <v>28.27</v>
      </c>
      <c r="S5" s="345">
        <v>111.61</v>
      </c>
      <c r="T5" s="345">
        <v>28379</v>
      </c>
      <c r="U5" s="345">
        <v>104.76</v>
      </c>
      <c r="V5" s="345">
        <v>6450</v>
      </c>
      <c r="W5" s="345">
        <v>143.82</v>
      </c>
      <c r="X5" s="345">
        <v>519</v>
      </c>
      <c r="Y5" s="345">
        <v>260</v>
      </c>
      <c r="Z5" s="345">
        <v>218</v>
      </c>
      <c r="AA5" s="345">
        <v>401</v>
      </c>
      <c r="AB5" s="345">
        <v>671</v>
      </c>
      <c r="AC5" s="345">
        <v>320</v>
      </c>
      <c r="AD5" s="349">
        <v>103137</v>
      </c>
      <c r="AE5" s="345">
        <v>698</v>
      </c>
      <c r="AF5" s="345">
        <v>515</v>
      </c>
      <c r="AG5" s="345">
        <v>1213</v>
      </c>
    </row>
    <row r="6" spans="1:33" x14ac:dyDescent="0.2">
      <c r="A6" s="350" t="s">
        <v>79</v>
      </c>
      <c r="B6" s="350" t="s">
        <v>79</v>
      </c>
      <c r="C6" s="346">
        <v>205065</v>
      </c>
      <c r="D6" s="346">
        <v>1321</v>
      </c>
      <c r="E6" s="346">
        <v>12624</v>
      </c>
      <c r="F6" s="346">
        <v>30541</v>
      </c>
      <c r="G6" s="346">
        <v>17256</v>
      </c>
      <c r="H6" s="346">
        <v>266807</v>
      </c>
      <c r="I6" s="345">
        <v>249551</v>
      </c>
      <c r="J6" s="345">
        <v>722</v>
      </c>
      <c r="K6" s="347">
        <v>101.91</v>
      </c>
      <c r="L6" s="347">
        <v>102.54</v>
      </c>
      <c r="M6" s="347">
        <v>5.44</v>
      </c>
      <c r="N6" s="347">
        <v>104.42</v>
      </c>
      <c r="O6" s="348">
        <v>182683</v>
      </c>
      <c r="P6" s="345">
        <v>91.06</v>
      </c>
      <c r="Q6" s="345">
        <v>89.03</v>
      </c>
      <c r="R6" s="345">
        <v>33.11</v>
      </c>
      <c r="S6" s="345">
        <v>121.2</v>
      </c>
      <c r="T6" s="345">
        <v>36901</v>
      </c>
      <c r="U6" s="345">
        <v>131.86000000000001</v>
      </c>
      <c r="V6" s="345">
        <v>16847</v>
      </c>
      <c r="W6" s="345">
        <v>153.53</v>
      </c>
      <c r="X6" s="345">
        <v>342</v>
      </c>
      <c r="Y6" s="345">
        <v>122</v>
      </c>
      <c r="Z6" s="345">
        <v>400</v>
      </c>
      <c r="AA6" s="345">
        <v>313</v>
      </c>
      <c r="AB6" s="345">
        <v>869</v>
      </c>
      <c r="AC6" s="345">
        <v>728</v>
      </c>
      <c r="AD6" s="349">
        <v>203125</v>
      </c>
      <c r="AE6" s="345">
        <v>934</v>
      </c>
      <c r="AF6" s="345">
        <v>557</v>
      </c>
      <c r="AG6" s="345">
        <v>1491</v>
      </c>
    </row>
    <row r="7" spans="1:33" x14ac:dyDescent="0.2">
      <c r="A7" s="350" t="s">
        <v>80</v>
      </c>
      <c r="B7" s="350" t="s">
        <v>80</v>
      </c>
      <c r="C7" s="346">
        <v>345361</v>
      </c>
      <c r="D7" s="346">
        <v>3824</v>
      </c>
      <c r="E7" s="346">
        <v>27735</v>
      </c>
      <c r="F7" s="346">
        <v>28408</v>
      </c>
      <c r="G7" s="346">
        <v>44123</v>
      </c>
      <c r="H7" s="346">
        <v>449451</v>
      </c>
      <c r="I7" s="345">
        <v>405328</v>
      </c>
      <c r="J7" s="345">
        <v>1449</v>
      </c>
      <c r="K7" s="347">
        <v>125.47</v>
      </c>
      <c r="L7" s="347">
        <v>128.76</v>
      </c>
      <c r="M7" s="347">
        <v>10.54</v>
      </c>
      <c r="N7" s="347">
        <v>132.91999999999999</v>
      </c>
      <c r="O7" s="348">
        <v>294548</v>
      </c>
      <c r="P7" s="345">
        <v>109.02</v>
      </c>
      <c r="Q7" s="345">
        <v>109.04</v>
      </c>
      <c r="R7" s="345">
        <v>44.68</v>
      </c>
      <c r="S7" s="345">
        <v>150.15</v>
      </c>
      <c r="T7" s="345">
        <v>44303</v>
      </c>
      <c r="U7" s="345">
        <v>185.54</v>
      </c>
      <c r="V7" s="345">
        <v>22383</v>
      </c>
      <c r="W7" s="345">
        <v>201.97</v>
      </c>
      <c r="X7" s="345">
        <v>853</v>
      </c>
      <c r="Y7" s="345">
        <v>1341</v>
      </c>
      <c r="Z7" s="345">
        <v>453</v>
      </c>
      <c r="AA7" s="345">
        <v>665</v>
      </c>
      <c r="AB7" s="345">
        <v>3629</v>
      </c>
      <c r="AC7" s="345">
        <v>1990</v>
      </c>
      <c r="AD7" s="349">
        <v>326341</v>
      </c>
      <c r="AE7" s="345">
        <v>1480</v>
      </c>
      <c r="AF7" s="345">
        <v>2258</v>
      </c>
      <c r="AG7" s="345">
        <v>3738</v>
      </c>
    </row>
    <row r="8" spans="1:33" x14ac:dyDescent="0.2">
      <c r="A8" s="350" t="s">
        <v>81</v>
      </c>
      <c r="B8" s="350" t="s">
        <v>81</v>
      </c>
      <c r="C8" s="346">
        <v>151395</v>
      </c>
      <c r="D8" s="346">
        <v>576</v>
      </c>
      <c r="E8" s="346">
        <v>6317</v>
      </c>
      <c r="F8" s="346">
        <v>20596</v>
      </c>
      <c r="G8" s="346">
        <v>3370</v>
      </c>
      <c r="H8" s="346">
        <v>182254</v>
      </c>
      <c r="I8" s="345">
        <v>178884</v>
      </c>
      <c r="J8" s="345">
        <v>435</v>
      </c>
      <c r="K8" s="347">
        <v>80.41</v>
      </c>
      <c r="L8" s="347">
        <v>81.92</v>
      </c>
      <c r="M8" s="347">
        <v>6.32</v>
      </c>
      <c r="N8" s="347">
        <v>82.41</v>
      </c>
      <c r="O8" s="348">
        <v>139317</v>
      </c>
      <c r="P8" s="345">
        <v>80.7</v>
      </c>
      <c r="Q8" s="345">
        <v>75.459999999999994</v>
      </c>
      <c r="R8" s="345">
        <v>35.79</v>
      </c>
      <c r="S8" s="345">
        <v>108.49</v>
      </c>
      <c r="T8" s="345">
        <v>24171</v>
      </c>
      <c r="U8" s="345">
        <v>96.74</v>
      </c>
      <c r="V8" s="345">
        <v>9648</v>
      </c>
      <c r="W8" s="345">
        <v>138.01</v>
      </c>
      <c r="X8" s="345">
        <v>1461</v>
      </c>
      <c r="Y8" s="345">
        <v>18</v>
      </c>
      <c r="Z8" s="345">
        <v>492</v>
      </c>
      <c r="AA8" s="345">
        <v>216</v>
      </c>
      <c r="AB8" s="345">
        <v>147</v>
      </c>
      <c r="AC8" s="345">
        <v>73</v>
      </c>
      <c r="AD8" s="349">
        <v>148758</v>
      </c>
      <c r="AE8" s="345">
        <v>1663</v>
      </c>
      <c r="AF8" s="345">
        <v>1049</v>
      </c>
      <c r="AG8" s="345">
        <v>2712</v>
      </c>
    </row>
    <row r="9" spans="1:33" x14ac:dyDescent="0.2">
      <c r="A9" s="350" t="s">
        <v>82</v>
      </c>
      <c r="B9" s="350" t="s">
        <v>82</v>
      </c>
      <c r="C9" s="346">
        <v>421908</v>
      </c>
      <c r="D9" s="346">
        <v>853</v>
      </c>
      <c r="E9" s="346">
        <v>20633</v>
      </c>
      <c r="F9" s="346">
        <v>57660</v>
      </c>
      <c r="G9" s="346">
        <v>13343</v>
      </c>
      <c r="H9" s="346">
        <v>514397</v>
      </c>
      <c r="I9" s="345">
        <v>501054</v>
      </c>
      <c r="J9" s="345">
        <v>2550</v>
      </c>
      <c r="K9" s="347">
        <v>84.59</v>
      </c>
      <c r="L9" s="347">
        <v>85.06</v>
      </c>
      <c r="M9" s="347">
        <v>4.6900000000000004</v>
      </c>
      <c r="N9" s="347">
        <v>86.91</v>
      </c>
      <c r="O9" s="348">
        <v>380599</v>
      </c>
      <c r="P9" s="345">
        <v>82.48</v>
      </c>
      <c r="Q9" s="345">
        <v>79.3</v>
      </c>
      <c r="R9" s="345">
        <v>29.97</v>
      </c>
      <c r="S9" s="345">
        <v>108.53</v>
      </c>
      <c r="T9" s="345">
        <v>71480</v>
      </c>
      <c r="U9" s="345">
        <v>105.19</v>
      </c>
      <c r="V9" s="345">
        <v>31093</v>
      </c>
      <c r="W9" s="345">
        <v>142.97999999999999</v>
      </c>
      <c r="X9" s="345">
        <v>1170</v>
      </c>
      <c r="Y9" s="345">
        <v>166</v>
      </c>
      <c r="Z9" s="345">
        <v>1717</v>
      </c>
      <c r="AA9" s="345">
        <v>868</v>
      </c>
      <c r="AB9" s="345">
        <v>599</v>
      </c>
      <c r="AC9" s="345">
        <v>279</v>
      </c>
      <c r="AD9" s="349">
        <v>412189</v>
      </c>
      <c r="AE9" s="345">
        <v>2955</v>
      </c>
      <c r="AF9" s="345">
        <v>2879</v>
      </c>
      <c r="AG9" s="345">
        <v>5834</v>
      </c>
    </row>
    <row r="10" spans="1:33" x14ac:dyDescent="0.2">
      <c r="A10" s="350" t="s">
        <v>83</v>
      </c>
      <c r="B10" s="350" t="s">
        <v>83</v>
      </c>
      <c r="C10" s="346">
        <v>280392</v>
      </c>
      <c r="D10" s="346">
        <v>565</v>
      </c>
      <c r="E10" s="346">
        <v>15180</v>
      </c>
      <c r="F10" s="346">
        <v>41319</v>
      </c>
      <c r="G10" s="346">
        <v>35650</v>
      </c>
      <c r="H10" s="346">
        <v>373106</v>
      </c>
      <c r="I10" s="345">
        <v>337456</v>
      </c>
      <c r="J10" s="345">
        <v>790</v>
      </c>
      <c r="K10" s="347">
        <v>111.05</v>
      </c>
      <c r="L10" s="347">
        <v>111.15</v>
      </c>
      <c r="M10" s="347">
        <v>5.42</v>
      </c>
      <c r="N10" s="347">
        <v>114.41</v>
      </c>
      <c r="O10" s="348">
        <v>243320</v>
      </c>
      <c r="P10" s="345">
        <v>95.73</v>
      </c>
      <c r="Q10" s="345">
        <v>93.63</v>
      </c>
      <c r="R10" s="345">
        <v>30.22</v>
      </c>
      <c r="S10" s="345">
        <v>123.74</v>
      </c>
      <c r="T10" s="345">
        <v>46237</v>
      </c>
      <c r="U10" s="345">
        <v>147.97999999999999</v>
      </c>
      <c r="V10" s="345">
        <v>26011</v>
      </c>
      <c r="W10" s="345">
        <v>166.19</v>
      </c>
      <c r="X10" s="345">
        <v>1883</v>
      </c>
      <c r="Y10" s="345">
        <v>926</v>
      </c>
      <c r="Z10" s="345">
        <v>713</v>
      </c>
      <c r="AA10" s="345">
        <v>330</v>
      </c>
      <c r="AB10" s="345">
        <v>2159</v>
      </c>
      <c r="AC10" s="345">
        <v>1352</v>
      </c>
      <c r="AD10" s="349">
        <v>273882</v>
      </c>
      <c r="AE10" s="345">
        <v>1123</v>
      </c>
      <c r="AF10" s="345">
        <v>1160</v>
      </c>
      <c r="AG10" s="345">
        <v>2283</v>
      </c>
    </row>
    <row r="11" spans="1:33" x14ac:dyDescent="0.2">
      <c r="A11" s="350" t="s">
        <v>84</v>
      </c>
      <c r="B11" s="350" t="s">
        <v>84</v>
      </c>
      <c r="C11" s="346">
        <v>184946</v>
      </c>
      <c r="D11" s="346">
        <v>339</v>
      </c>
      <c r="E11" s="346">
        <v>11953</v>
      </c>
      <c r="F11" s="346">
        <v>35743</v>
      </c>
      <c r="G11" s="346">
        <v>15997</v>
      </c>
      <c r="H11" s="346">
        <v>248978</v>
      </c>
      <c r="I11" s="345">
        <v>232981</v>
      </c>
      <c r="J11" s="345">
        <v>546</v>
      </c>
      <c r="K11" s="347">
        <v>94.66</v>
      </c>
      <c r="L11" s="347">
        <v>94.07</v>
      </c>
      <c r="M11" s="347">
        <v>4.71</v>
      </c>
      <c r="N11" s="347">
        <v>97.44</v>
      </c>
      <c r="O11" s="348">
        <v>161881</v>
      </c>
      <c r="P11" s="345">
        <v>85.84</v>
      </c>
      <c r="Q11" s="345">
        <v>83.18</v>
      </c>
      <c r="R11" s="345">
        <v>27.89</v>
      </c>
      <c r="S11" s="345">
        <v>111.94</v>
      </c>
      <c r="T11" s="345">
        <v>41794</v>
      </c>
      <c r="U11" s="345">
        <v>122.25</v>
      </c>
      <c r="V11" s="345">
        <v>15261</v>
      </c>
      <c r="W11" s="345">
        <v>153.87</v>
      </c>
      <c r="X11" s="345">
        <v>855</v>
      </c>
      <c r="Y11" s="345">
        <v>908</v>
      </c>
      <c r="Z11" s="345">
        <v>352</v>
      </c>
      <c r="AA11" s="345">
        <v>408</v>
      </c>
      <c r="AB11" s="345">
        <v>1004</v>
      </c>
      <c r="AC11" s="345">
        <v>386</v>
      </c>
      <c r="AD11" s="349">
        <v>178143</v>
      </c>
      <c r="AE11" s="345">
        <v>706</v>
      </c>
      <c r="AF11" s="345">
        <v>876</v>
      </c>
      <c r="AG11" s="345">
        <v>1582</v>
      </c>
    </row>
    <row r="12" spans="1:33" x14ac:dyDescent="0.2">
      <c r="A12" s="350" t="s">
        <v>85</v>
      </c>
      <c r="B12" s="350" t="s">
        <v>85</v>
      </c>
      <c r="C12" s="346">
        <v>209643</v>
      </c>
      <c r="D12" s="346">
        <v>283</v>
      </c>
      <c r="E12" s="346">
        <v>12555</v>
      </c>
      <c r="F12" s="346">
        <v>33785</v>
      </c>
      <c r="G12" s="346">
        <v>14234</v>
      </c>
      <c r="H12" s="346">
        <v>270500</v>
      </c>
      <c r="I12" s="345">
        <v>256266</v>
      </c>
      <c r="J12" s="345">
        <v>841</v>
      </c>
      <c r="K12" s="347">
        <v>90.72</v>
      </c>
      <c r="L12" s="347">
        <v>90.85</v>
      </c>
      <c r="M12" s="347">
        <v>5.43</v>
      </c>
      <c r="N12" s="347">
        <v>94.24</v>
      </c>
      <c r="O12" s="348">
        <v>189696</v>
      </c>
      <c r="P12" s="345">
        <v>86.4</v>
      </c>
      <c r="Q12" s="345">
        <v>84.99</v>
      </c>
      <c r="R12" s="345">
        <v>33.729999999999997</v>
      </c>
      <c r="S12" s="345">
        <v>116.39</v>
      </c>
      <c r="T12" s="345">
        <v>38085</v>
      </c>
      <c r="U12" s="345">
        <v>109.78</v>
      </c>
      <c r="V12" s="345">
        <v>13398</v>
      </c>
      <c r="W12" s="345">
        <v>161.99</v>
      </c>
      <c r="X12" s="345">
        <v>1623</v>
      </c>
      <c r="Y12" s="345">
        <v>130</v>
      </c>
      <c r="Z12" s="345">
        <v>517</v>
      </c>
      <c r="AA12" s="345">
        <v>470</v>
      </c>
      <c r="AB12" s="345">
        <v>661</v>
      </c>
      <c r="AC12" s="345">
        <v>494</v>
      </c>
      <c r="AD12" s="349">
        <v>205086</v>
      </c>
      <c r="AE12" s="345">
        <v>1081</v>
      </c>
      <c r="AF12" s="345">
        <v>912</v>
      </c>
      <c r="AG12" s="345">
        <v>1993</v>
      </c>
    </row>
    <row r="13" spans="1:33" x14ac:dyDescent="0.2">
      <c r="A13" s="350" t="s">
        <v>788</v>
      </c>
      <c r="B13" s="350" t="s">
        <v>788</v>
      </c>
      <c r="C13" s="346">
        <v>159227</v>
      </c>
      <c r="D13" s="346">
        <v>444</v>
      </c>
      <c r="E13" s="346">
        <v>8763</v>
      </c>
      <c r="F13" s="346">
        <v>25843</v>
      </c>
      <c r="G13" s="346">
        <v>6602</v>
      </c>
      <c r="H13" s="346">
        <v>200879</v>
      </c>
      <c r="I13" s="345">
        <v>194277</v>
      </c>
      <c r="J13" s="345">
        <v>389</v>
      </c>
      <c r="K13" s="347">
        <v>84.14</v>
      </c>
      <c r="L13" s="347">
        <v>84.01</v>
      </c>
      <c r="M13" s="347">
        <v>5.33</v>
      </c>
      <c r="N13" s="347">
        <v>87.07</v>
      </c>
      <c r="O13" s="348">
        <v>145425</v>
      </c>
      <c r="P13" s="345">
        <v>84.42</v>
      </c>
      <c r="Q13" s="345">
        <v>78.62</v>
      </c>
      <c r="R13" s="345">
        <v>31.15</v>
      </c>
      <c r="S13" s="345">
        <v>113.89</v>
      </c>
      <c r="T13" s="345">
        <v>29986</v>
      </c>
      <c r="U13" s="345">
        <v>100.45</v>
      </c>
      <c r="V13" s="345">
        <v>10520</v>
      </c>
      <c r="W13" s="345">
        <v>120.76</v>
      </c>
      <c r="X13" s="345">
        <v>876</v>
      </c>
      <c r="Y13" s="345">
        <v>26</v>
      </c>
      <c r="Z13" s="345">
        <v>473</v>
      </c>
      <c r="AA13" s="345">
        <v>428</v>
      </c>
      <c r="AB13" s="345">
        <v>221</v>
      </c>
      <c r="AC13" s="345">
        <v>122</v>
      </c>
      <c r="AD13" s="349">
        <v>157568</v>
      </c>
      <c r="AE13" s="345">
        <v>1796</v>
      </c>
      <c r="AF13" s="345">
        <v>1256</v>
      </c>
      <c r="AG13" s="345">
        <v>3052</v>
      </c>
    </row>
    <row r="14" spans="1:33" x14ac:dyDescent="0.2">
      <c r="A14" s="344" t="s">
        <v>86</v>
      </c>
      <c r="B14" s="350" t="s">
        <v>87</v>
      </c>
      <c r="C14" s="346">
        <v>799</v>
      </c>
      <c r="D14" s="346">
        <v>0</v>
      </c>
      <c r="E14" s="346">
        <v>59</v>
      </c>
      <c r="F14" s="346">
        <v>138</v>
      </c>
      <c r="G14" s="346">
        <v>108</v>
      </c>
      <c r="H14" s="346">
        <v>1104</v>
      </c>
      <c r="I14" s="345">
        <v>996</v>
      </c>
      <c r="J14" s="345">
        <v>0</v>
      </c>
      <c r="K14" s="347">
        <v>115.17</v>
      </c>
      <c r="L14" s="347">
        <v>116.95</v>
      </c>
      <c r="M14" s="347">
        <v>5.27</v>
      </c>
      <c r="N14" s="347">
        <v>119.04</v>
      </c>
      <c r="O14" s="348">
        <v>715</v>
      </c>
      <c r="P14" s="345">
        <v>85.46</v>
      </c>
      <c r="Q14" s="345">
        <v>86.87</v>
      </c>
      <c r="R14" s="345">
        <v>29.44</v>
      </c>
      <c r="S14" s="345">
        <v>114.9</v>
      </c>
      <c r="T14" s="345">
        <v>175</v>
      </c>
      <c r="U14" s="345">
        <v>146.36000000000001</v>
      </c>
      <c r="V14" s="345">
        <v>56</v>
      </c>
      <c r="W14" s="345">
        <v>141.29</v>
      </c>
      <c r="X14" s="345">
        <v>14</v>
      </c>
      <c r="Y14" s="345">
        <v>0</v>
      </c>
      <c r="Z14" s="345">
        <v>5</v>
      </c>
      <c r="AA14" s="345">
        <v>1</v>
      </c>
      <c r="AB14" s="345">
        <v>0</v>
      </c>
      <c r="AC14" s="345">
        <v>9</v>
      </c>
      <c r="AD14" s="349">
        <v>778</v>
      </c>
      <c r="AE14" s="349">
        <v>3</v>
      </c>
      <c r="AF14" s="349">
        <v>0</v>
      </c>
      <c r="AG14" s="349">
        <v>3</v>
      </c>
    </row>
    <row r="15" spans="1:33" x14ac:dyDescent="0.2">
      <c r="A15" s="344" t="s">
        <v>88</v>
      </c>
      <c r="B15" s="350" t="s">
        <v>89</v>
      </c>
      <c r="C15" s="346">
        <v>8072</v>
      </c>
      <c r="D15" s="346">
        <v>54</v>
      </c>
      <c r="E15" s="346">
        <v>165</v>
      </c>
      <c r="F15" s="346">
        <v>395</v>
      </c>
      <c r="G15" s="346">
        <v>99</v>
      </c>
      <c r="H15" s="346">
        <v>8785</v>
      </c>
      <c r="I15" s="345">
        <v>8686</v>
      </c>
      <c r="J15" s="345">
        <v>9</v>
      </c>
      <c r="K15" s="347">
        <v>86.08</v>
      </c>
      <c r="L15" s="347">
        <v>87.21</v>
      </c>
      <c r="M15" s="347">
        <v>2.52</v>
      </c>
      <c r="N15" s="347">
        <v>87.92</v>
      </c>
      <c r="O15" s="348">
        <v>7316</v>
      </c>
      <c r="P15" s="345">
        <v>78.95</v>
      </c>
      <c r="Q15" s="345">
        <v>76</v>
      </c>
      <c r="R15" s="345">
        <v>26.95</v>
      </c>
      <c r="S15" s="345">
        <v>103.47</v>
      </c>
      <c r="T15" s="345">
        <v>510</v>
      </c>
      <c r="U15" s="345">
        <v>105.55</v>
      </c>
      <c r="V15" s="345">
        <v>272</v>
      </c>
      <c r="W15" s="345">
        <v>133.44999999999999</v>
      </c>
      <c r="X15" s="345">
        <v>42</v>
      </c>
      <c r="Y15" s="345">
        <v>0</v>
      </c>
      <c r="Z15" s="345">
        <v>11</v>
      </c>
      <c r="AA15" s="345">
        <v>8</v>
      </c>
      <c r="AB15" s="345">
        <v>1</v>
      </c>
      <c r="AC15" s="345">
        <v>2</v>
      </c>
      <c r="AD15" s="349">
        <v>7440</v>
      </c>
      <c r="AE15" s="349">
        <v>101</v>
      </c>
      <c r="AF15" s="349">
        <v>48</v>
      </c>
      <c r="AG15" s="349">
        <v>149</v>
      </c>
    </row>
    <row r="16" spans="1:33" x14ac:dyDescent="0.2">
      <c r="A16" s="344" t="s">
        <v>90</v>
      </c>
      <c r="B16" s="350" t="s">
        <v>91</v>
      </c>
      <c r="C16" s="346">
        <v>4472</v>
      </c>
      <c r="D16" s="346">
        <v>0</v>
      </c>
      <c r="E16" s="346">
        <v>139</v>
      </c>
      <c r="F16" s="346">
        <v>2475</v>
      </c>
      <c r="G16" s="346">
        <v>121</v>
      </c>
      <c r="H16" s="346">
        <v>7207</v>
      </c>
      <c r="I16" s="345">
        <v>7086</v>
      </c>
      <c r="J16" s="345">
        <v>0</v>
      </c>
      <c r="K16" s="347">
        <v>90.4</v>
      </c>
      <c r="L16" s="347">
        <v>90.77</v>
      </c>
      <c r="M16" s="347">
        <v>2.27</v>
      </c>
      <c r="N16" s="347">
        <v>92.48</v>
      </c>
      <c r="O16" s="348">
        <v>4375</v>
      </c>
      <c r="P16" s="345">
        <v>84.34</v>
      </c>
      <c r="Q16" s="345">
        <v>89.41</v>
      </c>
      <c r="R16" s="345">
        <v>8.48</v>
      </c>
      <c r="S16" s="345">
        <v>92.7</v>
      </c>
      <c r="T16" s="345">
        <v>2589</v>
      </c>
      <c r="U16" s="345">
        <v>99.49</v>
      </c>
      <c r="V16" s="345">
        <v>84</v>
      </c>
      <c r="W16" s="345">
        <v>0</v>
      </c>
      <c r="X16" s="345">
        <v>0</v>
      </c>
      <c r="Y16" s="345">
        <v>0</v>
      </c>
      <c r="Z16" s="345">
        <v>26</v>
      </c>
      <c r="AA16" s="345">
        <v>7</v>
      </c>
      <c r="AB16" s="345">
        <v>0</v>
      </c>
      <c r="AC16" s="345">
        <v>2</v>
      </c>
      <c r="AD16" s="349">
        <v>4464</v>
      </c>
      <c r="AE16" s="349">
        <v>33</v>
      </c>
      <c r="AF16" s="349">
        <v>14</v>
      </c>
      <c r="AG16" s="349">
        <v>47</v>
      </c>
    </row>
    <row r="17" spans="1:33" x14ac:dyDescent="0.2">
      <c r="A17" s="344" t="s">
        <v>92</v>
      </c>
      <c r="B17" s="350" t="s">
        <v>93</v>
      </c>
      <c r="C17" s="346">
        <v>2714</v>
      </c>
      <c r="D17" s="346">
        <v>13</v>
      </c>
      <c r="E17" s="346">
        <v>221</v>
      </c>
      <c r="F17" s="346">
        <v>374</v>
      </c>
      <c r="G17" s="346">
        <v>466</v>
      </c>
      <c r="H17" s="346">
        <v>3788</v>
      </c>
      <c r="I17" s="345">
        <v>3322</v>
      </c>
      <c r="J17" s="345">
        <v>3</v>
      </c>
      <c r="K17" s="347">
        <v>112.13</v>
      </c>
      <c r="L17" s="347">
        <v>111.9</v>
      </c>
      <c r="M17" s="347">
        <v>4.78</v>
      </c>
      <c r="N17" s="347">
        <v>116.02</v>
      </c>
      <c r="O17" s="348">
        <v>2188</v>
      </c>
      <c r="P17" s="345">
        <v>93.31</v>
      </c>
      <c r="Q17" s="345">
        <v>89.95</v>
      </c>
      <c r="R17" s="345">
        <v>35.22</v>
      </c>
      <c r="S17" s="345">
        <v>125.94</v>
      </c>
      <c r="T17" s="345">
        <v>409</v>
      </c>
      <c r="U17" s="345">
        <v>154.47999999999999</v>
      </c>
      <c r="V17" s="345">
        <v>480</v>
      </c>
      <c r="W17" s="345">
        <v>0</v>
      </c>
      <c r="X17" s="345">
        <v>0</v>
      </c>
      <c r="Y17" s="345">
        <v>0</v>
      </c>
      <c r="Z17" s="345">
        <v>1</v>
      </c>
      <c r="AA17" s="345">
        <v>3</v>
      </c>
      <c r="AB17" s="345">
        <v>27</v>
      </c>
      <c r="AC17" s="345">
        <v>8</v>
      </c>
      <c r="AD17" s="349">
        <v>2712</v>
      </c>
      <c r="AE17" s="349">
        <v>4</v>
      </c>
      <c r="AF17" s="349">
        <v>3</v>
      </c>
      <c r="AG17" s="349">
        <v>7</v>
      </c>
    </row>
    <row r="18" spans="1:33" x14ac:dyDescent="0.2">
      <c r="A18" s="344" t="s">
        <v>94</v>
      </c>
      <c r="B18" s="350" t="s">
        <v>95</v>
      </c>
      <c r="C18" s="346">
        <v>1480</v>
      </c>
      <c r="D18" s="346">
        <v>0</v>
      </c>
      <c r="E18" s="346">
        <v>173</v>
      </c>
      <c r="F18" s="346">
        <v>291</v>
      </c>
      <c r="G18" s="346">
        <v>164</v>
      </c>
      <c r="H18" s="346">
        <v>2108</v>
      </c>
      <c r="I18" s="345">
        <v>1944</v>
      </c>
      <c r="J18" s="345">
        <v>0</v>
      </c>
      <c r="K18" s="347">
        <v>88.04</v>
      </c>
      <c r="L18" s="347">
        <v>86.57</v>
      </c>
      <c r="M18" s="347">
        <v>4.97</v>
      </c>
      <c r="N18" s="347">
        <v>90.49</v>
      </c>
      <c r="O18" s="348">
        <v>1357</v>
      </c>
      <c r="P18" s="345">
        <v>95.53</v>
      </c>
      <c r="Q18" s="345">
        <v>85.48</v>
      </c>
      <c r="R18" s="345">
        <v>31.53</v>
      </c>
      <c r="S18" s="345">
        <v>125.4</v>
      </c>
      <c r="T18" s="345">
        <v>398</v>
      </c>
      <c r="U18" s="345">
        <v>100.24</v>
      </c>
      <c r="V18" s="345">
        <v>47</v>
      </c>
      <c r="W18" s="345">
        <v>0</v>
      </c>
      <c r="X18" s="345">
        <v>0</v>
      </c>
      <c r="Y18" s="345">
        <v>0</v>
      </c>
      <c r="Z18" s="345">
        <v>0</v>
      </c>
      <c r="AA18" s="345">
        <v>9</v>
      </c>
      <c r="AB18" s="345">
        <v>1</v>
      </c>
      <c r="AC18" s="345">
        <v>5</v>
      </c>
      <c r="AD18" s="349">
        <v>1480</v>
      </c>
      <c r="AE18" s="349">
        <v>10</v>
      </c>
      <c r="AF18" s="349">
        <v>5</v>
      </c>
      <c r="AG18" s="349">
        <v>15</v>
      </c>
    </row>
    <row r="19" spans="1:33" x14ac:dyDescent="0.2">
      <c r="A19" s="344" t="s">
        <v>96</v>
      </c>
      <c r="B19" s="350" t="s">
        <v>97</v>
      </c>
      <c r="C19" s="346">
        <v>2125</v>
      </c>
      <c r="D19" s="346">
        <v>7</v>
      </c>
      <c r="E19" s="346">
        <v>113</v>
      </c>
      <c r="F19" s="346">
        <v>151</v>
      </c>
      <c r="G19" s="346">
        <v>644</v>
      </c>
      <c r="H19" s="346">
        <v>3040</v>
      </c>
      <c r="I19" s="345">
        <v>2396</v>
      </c>
      <c r="J19" s="345">
        <v>0</v>
      </c>
      <c r="K19" s="347">
        <v>102.79</v>
      </c>
      <c r="L19" s="347">
        <v>103.05</v>
      </c>
      <c r="M19" s="347">
        <v>5.33</v>
      </c>
      <c r="N19" s="347">
        <v>107.02</v>
      </c>
      <c r="O19" s="348">
        <v>1757</v>
      </c>
      <c r="P19" s="345">
        <v>88.75</v>
      </c>
      <c r="Q19" s="345">
        <v>89.12</v>
      </c>
      <c r="R19" s="345">
        <v>44.4</v>
      </c>
      <c r="S19" s="345">
        <v>131.15</v>
      </c>
      <c r="T19" s="345">
        <v>201</v>
      </c>
      <c r="U19" s="345">
        <v>130.27000000000001</v>
      </c>
      <c r="V19" s="345">
        <v>281</v>
      </c>
      <c r="W19" s="345">
        <v>192.44</v>
      </c>
      <c r="X19" s="345">
        <v>34</v>
      </c>
      <c r="Y19" s="345">
        <v>0</v>
      </c>
      <c r="Z19" s="345">
        <v>8</v>
      </c>
      <c r="AA19" s="345">
        <v>2</v>
      </c>
      <c r="AB19" s="345">
        <v>44</v>
      </c>
      <c r="AC19" s="345">
        <v>38</v>
      </c>
      <c r="AD19" s="349">
        <v>2063</v>
      </c>
      <c r="AE19" s="349">
        <v>10</v>
      </c>
      <c r="AF19" s="349">
        <v>0</v>
      </c>
      <c r="AG19" s="349">
        <v>10</v>
      </c>
    </row>
    <row r="20" spans="1:33" x14ac:dyDescent="0.2">
      <c r="A20" s="344" t="s">
        <v>98</v>
      </c>
      <c r="B20" s="350" t="s">
        <v>99</v>
      </c>
      <c r="C20" s="346">
        <v>1660</v>
      </c>
      <c r="D20" s="346">
        <v>0</v>
      </c>
      <c r="E20" s="346">
        <v>115</v>
      </c>
      <c r="F20" s="346">
        <v>125</v>
      </c>
      <c r="G20" s="346">
        <v>155</v>
      </c>
      <c r="H20" s="346">
        <v>2055</v>
      </c>
      <c r="I20" s="345">
        <v>1900</v>
      </c>
      <c r="J20" s="345">
        <v>17</v>
      </c>
      <c r="K20" s="347">
        <v>95.45</v>
      </c>
      <c r="L20" s="347">
        <v>94.23</v>
      </c>
      <c r="M20" s="347">
        <v>3.86</v>
      </c>
      <c r="N20" s="347">
        <v>97.45</v>
      </c>
      <c r="O20" s="348">
        <v>1296</v>
      </c>
      <c r="P20" s="345">
        <v>105.94</v>
      </c>
      <c r="Q20" s="345">
        <v>97.37</v>
      </c>
      <c r="R20" s="345">
        <v>52.63</v>
      </c>
      <c r="S20" s="345">
        <v>154.25</v>
      </c>
      <c r="T20" s="345">
        <v>183</v>
      </c>
      <c r="U20" s="345">
        <v>117.64</v>
      </c>
      <c r="V20" s="345">
        <v>308</v>
      </c>
      <c r="W20" s="345">
        <v>111.01</v>
      </c>
      <c r="X20" s="345">
        <v>2</v>
      </c>
      <c r="Y20" s="345">
        <v>1</v>
      </c>
      <c r="Z20" s="345">
        <v>0</v>
      </c>
      <c r="AA20" s="345">
        <v>4</v>
      </c>
      <c r="AB20" s="345">
        <v>2</v>
      </c>
      <c r="AC20" s="345">
        <v>1</v>
      </c>
      <c r="AD20" s="349">
        <v>1653</v>
      </c>
      <c r="AE20" s="349">
        <v>5</v>
      </c>
      <c r="AF20" s="349">
        <v>8</v>
      </c>
      <c r="AG20" s="349">
        <v>13</v>
      </c>
    </row>
    <row r="21" spans="1:33" x14ac:dyDescent="0.2">
      <c r="A21" s="344" t="s">
        <v>100</v>
      </c>
      <c r="B21" s="350" t="s">
        <v>101</v>
      </c>
      <c r="C21" s="346">
        <v>3972</v>
      </c>
      <c r="D21" s="346">
        <v>69</v>
      </c>
      <c r="E21" s="346">
        <v>227</v>
      </c>
      <c r="F21" s="346">
        <v>464</v>
      </c>
      <c r="G21" s="346">
        <v>820</v>
      </c>
      <c r="H21" s="346">
        <v>5552</v>
      </c>
      <c r="I21" s="345">
        <v>4732</v>
      </c>
      <c r="J21" s="345">
        <v>2</v>
      </c>
      <c r="K21" s="347">
        <v>128.51</v>
      </c>
      <c r="L21" s="347">
        <v>120.34</v>
      </c>
      <c r="M21" s="347">
        <v>7.08</v>
      </c>
      <c r="N21" s="347">
        <v>132.28</v>
      </c>
      <c r="O21" s="348">
        <v>2958</v>
      </c>
      <c r="P21" s="345">
        <v>103.43</v>
      </c>
      <c r="Q21" s="345">
        <v>102.09</v>
      </c>
      <c r="R21" s="345">
        <v>58.25</v>
      </c>
      <c r="S21" s="345">
        <v>158.63999999999999</v>
      </c>
      <c r="T21" s="345">
        <v>691</v>
      </c>
      <c r="U21" s="345">
        <v>174</v>
      </c>
      <c r="V21" s="345">
        <v>590</v>
      </c>
      <c r="W21" s="345">
        <v>0</v>
      </c>
      <c r="X21" s="345">
        <v>0</v>
      </c>
      <c r="Y21" s="345">
        <v>26</v>
      </c>
      <c r="Z21" s="345">
        <v>1</v>
      </c>
      <c r="AA21" s="345">
        <v>9</v>
      </c>
      <c r="AB21" s="345">
        <v>19</v>
      </c>
      <c r="AC21" s="345">
        <v>31</v>
      </c>
      <c r="AD21" s="349">
        <v>3972</v>
      </c>
      <c r="AE21" s="349">
        <v>17</v>
      </c>
      <c r="AF21" s="349">
        <v>8</v>
      </c>
      <c r="AG21" s="349">
        <v>25</v>
      </c>
    </row>
    <row r="22" spans="1:33" x14ac:dyDescent="0.2">
      <c r="A22" s="344" t="s">
        <v>102</v>
      </c>
      <c r="B22" s="350" t="s">
        <v>103</v>
      </c>
      <c r="C22" s="346">
        <v>6513</v>
      </c>
      <c r="D22" s="346">
        <v>9</v>
      </c>
      <c r="E22" s="346">
        <v>464</v>
      </c>
      <c r="F22" s="346">
        <v>1130</v>
      </c>
      <c r="G22" s="346">
        <v>1289</v>
      </c>
      <c r="H22" s="346">
        <v>9405</v>
      </c>
      <c r="I22" s="345">
        <v>8116</v>
      </c>
      <c r="J22" s="345">
        <v>26</v>
      </c>
      <c r="K22" s="347">
        <v>132.13</v>
      </c>
      <c r="L22" s="347">
        <v>131.91</v>
      </c>
      <c r="M22" s="347">
        <v>11.49</v>
      </c>
      <c r="N22" s="347">
        <v>141.62</v>
      </c>
      <c r="O22" s="348">
        <v>5588</v>
      </c>
      <c r="P22" s="345">
        <v>112.73</v>
      </c>
      <c r="Q22" s="345">
        <v>115.07</v>
      </c>
      <c r="R22" s="345">
        <v>46.36</v>
      </c>
      <c r="S22" s="345">
        <v>155.79</v>
      </c>
      <c r="T22" s="345">
        <v>802</v>
      </c>
      <c r="U22" s="345">
        <v>197.84</v>
      </c>
      <c r="V22" s="345">
        <v>508</v>
      </c>
      <c r="W22" s="345">
        <v>248.63</v>
      </c>
      <c r="X22" s="345">
        <v>9</v>
      </c>
      <c r="Y22" s="345">
        <v>48</v>
      </c>
      <c r="Z22" s="345">
        <v>2</v>
      </c>
      <c r="AA22" s="345">
        <v>21</v>
      </c>
      <c r="AB22" s="345">
        <v>24</v>
      </c>
      <c r="AC22" s="345">
        <v>53</v>
      </c>
      <c r="AD22" s="349">
        <v>6262</v>
      </c>
      <c r="AE22" s="349">
        <v>43</v>
      </c>
      <c r="AF22" s="349">
        <v>71</v>
      </c>
      <c r="AG22" s="349">
        <v>114</v>
      </c>
    </row>
    <row r="23" spans="1:33" x14ac:dyDescent="0.2">
      <c r="A23" s="344" t="s">
        <v>104</v>
      </c>
      <c r="B23" s="350" t="s">
        <v>105</v>
      </c>
      <c r="C23" s="346">
        <v>2598</v>
      </c>
      <c r="D23" s="346">
        <v>0</v>
      </c>
      <c r="E23" s="346">
        <v>357</v>
      </c>
      <c r="F23" s="346">
        <v>748</v>
      </c>
      <c r="G23" s="346">
        <v>257</v>
      </c>
      <c r="H23" s="346">
        <v>3960</v>
      </c>
      <c r="I23" s="345">
        <v>3703</v>
      </c>
      <c r="J23" s="345">
        <v>2</v>
      </c>
      <c r="K23" s="347">
        <v>87.88</v>
      </c>
      <c r="L23" s="347">
        <v>86.49</v>
      </c>
      <c r="M23" s="347">
        <v>5.35</v>
      </c>
      <c r="N23" s="347">
        <v>90.25</v>
      </c>
      <c r="O23" s="348">
        <v>1878</v>
      </c>
      <c r="P23" s="345">
        <v>88.5</v>
      </c>
      <c r="Q23" s="345">
        <v>82.56</v>
      </c>
      <c r="R23" s="345">
        <v>30.41</v>
      </c>
      <c r="S23" s="345">
        <v>117.49</v>
      </c>
      <c r="T23" s="345">
        <v>1048</v>
      </c>
      <c r="U23" s="345">
        <v>94.56</v>
      </c>
      <c r="V23" s="345">
        <v>602</v>
      </c>
      <c r="W23" s="345">
        <v>101.53</v>
      </c>
      <c r="X23" s="345">
        <v>2</v>
      </c>
      <c r="Y23" s="345">
        <v>1</v>
      </c>
      <c r="Z23" s="345">
        <v>1</v>
      </c>
      <c r="AA23" s="345">
        <v>3</v>
      </c>
      <c r="AB23" s="345">
        <v>5</v>
      </c>
      <c r="AC23" s="345">
        <v>0</v>
      </c>
      <c r="AD23" s="349">
        <v>2597</v>
      </c>
      <c r="AE23" s="349">
        <v>16</v>
      </c>
      <c r="AF23" s="349">
        <v>13</v>
      </c>
      <c r="AG23" s="349">
        <v>29</v>
      </c>
    </row>
    <row r="24" spans="1:33" x14ac:dyDescent="0.2">
      <c r="A24" s="344" t="s">
        <v>106</v>
      </c>
      <c r="B24" s="350" t="s">
        <v>107</v>
      </c>
      <c r="C24" s="346">
        <v>426</v>
      </c>
      <c r="D24" s="346">
        <v>0</v>
      </c>
      <c r="E24" s="346">
        <v>78</v>
      </c>
      <c r="F24" s="346">
        <v>291</v>
      </c>
      <c r="G24" s="346">
        <v>2</v>
      </c>
      <c r="H24" s="346">
        <v>797</v>
      </c>
      <c r="I24" s="345">
        <v>795</v>
      </c>
      <c r="J24" s="345">
        <v>60</v>
      </c>
      <c r="K24" s="347">
        <v>83.9</v>
      </c>
      <c r="L24" s="347">
        <v>84.25</v>
      </c>
      <c r="M24" s="347">
        <v>3.91</v>
      </c>
      <c r="N24" s="347">
        <v>85.91</v>
      </c>
      <c r="O24" s="348">
        <v>384</v>
      </c>
      <c r="P24" s="345">
        <v>81.27</v>
      </c>
      <c r="Q24" s="345">
        <v>82.13</v>
      </c>
      <c r="R24" s="345">
        <v>30.82</v>
      </c>
      <c r="S24" s="345">
        <v>110.29</v>
      </c>
      <c r="T24" s="345">
        <v>343</v>
      </c>
      <c r="U24" s="345">
        <v>112.03</v>
      </c>
      <c r="V24" s="345">
        <v>27</v>
      </c>
      <c r="W24" s="345">
        <v>0</v>
      </c>
      <c r="X24" s="345">
        <v>0</v>
      </c>
      <c r="Y24" s="345">
        <v>0</v>
      </c>
      <c r="Z24" s="345">
        <v>1</v>
      </c>
      <c r="AA24" s="345">
        <v>0</v>
      </c>
      <c r="AB24" s="345">
        <v>0</v>
      </c>
      <c r="AC24" s="345">
        <v>0</v>
      </c>
      <c r="AD24" s="349">
        <v>426</v>
      </c>
      <c r="AE24" s="349">
        <v>1</v>
      </c>
      <c r="AF24" s="349">
        <v>0</v>
      </c>
      <c r="AG24" s="349">
        <v>1</v>
      </c>
    </row>
    <row r="25" spans="1:33" x14ac:dyDescent="0.2">
      <c r="A25" s="344" t="s">
        <v>108</v>
      </c>
      <c r="B25" s="350" t="s">
        <v>109</v>
      </c>
      <c r="C25" s="346">
        <v>5253</v>
      </c>
      <c r="D25" s="346">
        <v>10</v>
      </c>
      <c r="E25" s="346">
        <v>232</v>
      </c>
      <c r="F25" s="346">
        <v>340</v>
      </c>
      <c r="G25" s="346">
        <v>633</v>
      </c>
      <c r="H25" s="346">
        <v>6468</v>
      </c>
      <c r="I25" s="345">
        <v>5835</v>
      </c>
      <c r="J25" s="345">
        <v>0</v>
      </c>
      <c r="K25" s="347">
        <v>110.5</v>
      </c>
      <c r="L25" s="347">
        <v>111.43</v>
      </c>
      <c r="M25" s="347">
        <v>4.9000000000000004</v>
      </c>
      <c r="N25" s="347">
        <v>112.82</v>
      </c>
      <c r="O25" s="348">
        <v>4906</v>
      </c>
      <c r="P25" s="345">
        <v>94.55</v>
      </c>
      <c r="Q25" s="345">
        <v>92.35</v>
      </c>
      <c r="R25" s="345">
        <v>40.53</v>
      </c>
      <c r="S25" s="345">
        <v>134.07</v>
      </c>
      <c r="T25" s="345">
        <v>437</v>
      </c>
      <c r="U25" s="345">
        <v>128.83000000000001</v>
      </c>
      <c r="V25" s="345">
        <v>157</v>
      </c>
      <c r="W25" s="345">
        <v>0</v>
      </c>
      <c r="X25" s="345">
        <v>0</v>
      </c>
      <c r="Y25" s="345">
        <v>0</v>
      </c>
      <c r="Z25" s="345">
        <v>3</v>
      </c>
      <c r="AA25" s="345">
        <v>33</v>
      </c>
      <c r="AB25" s="345">
        <v>24</v>
      </c>
      <c r="AC25" s="345">
        <v>8</v>
      </c>
      <c r="AD25" s="349">
        <v>5253</v>
      </c>
      <c r="AE25" s="349">
        <v>13</v>
      </c>
      <c r="AF25" s="349">
        <v>15</v>
      </c>
      <c r="AG25" s="349">
        <v>28</v>
      </c>
    </row>
    <row r="26" spans="1:33" x14ac:dyDescent="0.2">
      <c r="A26" s="344" t="s">
        <v>110</v>
      </c>
      <c r="B26" s="350" t="s">
        <v>111</v>
      </c>
      <c r="C26" s="346">
        <v>12011</v>
      </c>
      <c r="D26" s="346">
        <v>0</v>
      </c>
      <c r="E26" s="346">
        <v>363</v>
      </c>
      <c r="F26" s="346">
        <v>897</v>
      </c>
      <c r="G26" s="346">
        <v>938</v>
      </c>
      <c r="H26" s="346">
        <v>14209</v>
      </c>
      <c r="I26" s="345">
        <v>13271</v>
      </c>
      <c r="J26" s="345">
        <v>0</v>
      </c>
      <c r="K26" s="347">
        <v>115.9</v>
      </c>
      <c r="L26" s="347">
        <v>115.3</v>
      </c>
      <c r="M26" s="347">
        <v>4.59</v>
      </c>
      <c r="N26" s="347">
        <v>117.67</v>
      </c>
      <c r="O26" s="348">
        <v>11135</v>
      </c>
      <c r="P26" s="345">
        <v>95.75</v>
      </c>
      <c r="Q26" s="345">
        <v>94.76</v>
      </c>
      <c r="R26" s="345">
        <v>29.23</v>
      </c>
      <c r="S26" s="345">
        <v>124.69</v>
      </c>
      <c r="T26" s="345">
        <v>1092</v>
      </c>
      <c r="U26" s="345">
        <v>141.07</v>
      </c>
      <c r="V26" s="345">
        <v>554</v>
      </c>
      <c r="W26" s="345">
        <v>0</v>
      </c>
      <c r="X26" s="345">
        <v>0</v>
      </c>
      <c r="Y26" s="345">
        <v>3</v>
      </c>
      <c r="Z26" s="345">
        <v>6</v>
      </c>
      <c r="AA26" s="345">
        <v>2</v>
      </c>
      <c r="AB26" s="345">
        <v>39</v>
      </c>
      <c r="AC26" s="345">
        <v>60</v>
      </c>
      <c r="AD26" s="349">
        <v>12011</v>
      </c>
      <c r="AE26" s="349">
        <v>24</v>
      </c>
      <c r="AF26" s="349">
        <v>14</v>
      </c>
      <c r="AG26" s="349">
        <v>38</v>
      </c>
    </row>
    <row r="27" spans="1:33" x14ac:dyDescent="0.2">
      <c r="A27" s="344" t="s">
        <v>112</v>
      </c>
      <c r="B27" s="350" t="s">
        <v>113</v>
      </c>
      <c r="C27" s="346">
        <v>861</v>
      </c>
      <c r="D27" s="346">
        <v>0</v>
      </c>
      <c r="E27" s="346">
        <v>264</v>
      </c>
      <c r="F27" s="346">
        <v>154</v>
      </c>
      <c r="G27" s="346">
        <v>73</v>
      </c>
      <c r="H27" s="346">
        <v>1352</v>
      </c>
      <c r="I27" s="345">
        <v>1279</v>
      </c>
      <c r="J27" s="345">
        <v>3</v>
      </c>
      <c r="K27" s="347">
        <v>88.77</v>
      </c>
      <c r="L27" s="347">
        <v>87.06</v>
      </c>
      <c r="M27" s="347">
        <v>2.89</v>
      </c>
      <c r="N27" s="347">
        <v>90.49</v>
      </c>
      <c r="O27" s="348">
        <v>799</v>
      </c>
      <c r="P27" s="345">
        <v>127.08</v>
      </c>
      <c r="Q27" s="345">
        <v>69.650000000000006</v>
      </c>
      <c r="R27" s="345">
        <v>41.86</v>
      </c>
      <c r="S27" s="345">
        <v>168.26</v>
      </c>
      <c r="T27" s="345">
        <v>312</v>
      </c>
      <c r="U27" s="345">
        <v>94.05</v>
      </c>
      <c r="V27" s="345">
        <v>32</v>
      </c>
      <c r="W27" s="345">
        <v>173.18</v>
      </c>
      <c r="X27" s="345">
        <v>4</v>
      </c>
      <c r="Y27" s="345">
        <v>0</v>
      </c>
      <c r="Z27" s="345">
        <v>0</v>
      </c>
      <c r="AA27" s="345">
        <v>23</v>
      </c>
      <c r="AB27" s="345">
        <v>2</v>
      </c>
      <c r="AC27" s="345">
        <v>5</v>
      </c>
      <c r="AD27" s="349">
        <v>858</v>
      </c>
      <c r="AE27" s="349">
        <v>6</v>
      </c>
      <c r="AF27" s="349">
        <v>1</v>
      </c>
      <c r="AG27" s="349">
        <v>7</v>
      </c>
    </row>
    <row r="28" spans="1:33" x14ac:dyDescent="0.2">
      <c r="A28" s="344" t="s">
        <v>114</v>
      </c>
      <c r="B28" s="350" t="s">
        <v>115</v>
      </c>
      <c r="C28" s="346">
        <v>8808</v>
      </c>
      <c r="D28" s="346">
        <v>0</v>
      </c>
      <c r="E28" s="346">
        <v>357</v>
      </c>
      <c r="F28" s="346">
        <v>2178</v>
      </c>
      <c r="G28" s="346">
        <v>425</v>
      </c>
      <c r="H28" s="346">
        <v>11768</v>
      </c>
      <c r="I28" s="345">
        <v>11343</v>
      </c>
      <c r="J28" s="345">
        <v>43</v>
      </c>
      <c r="K28" s="347">
        <v>102.38</v>
      </c>
      <c r="L28" s="347">
        <v>103.87</v>
      </c>
      <c r="M28" s="347">
        <v>4.8099999999999996</v>
      </c>
      <c r="N28" s="347">
        <v>105.2</v>
      </c>
      <c r="O28" s="348">
        <v>8076</v>
      </c>
      <c r="P28" s="345">
        <v>92.15</v>
      </c>
      <c r="Q28" s="345">
        <v>93.64</v>
      </c>
      <c r="R28" s="345">
        <v>14.43</v>
      </c>
      <c r="S28" s="345">
        <v>105.16</v>
      </c>
      <c r="T28" s="345">
        <v>2269</v>
      </c>
      <c r="U28" s="345">
        <v>132.43</v>
      </c>
      <c r="V28" s="345">
        <v>616</v>
      </c>
      <c r="W28" s="345">
        <v>118.85</v>
      </c>
      <c r="X28" s="345">
        <v>76</v>
      </c>
      <c r="Y28" s="345">
        <v>0</v>
      </c>
      <c r="Z28" s="345">
        <v>19</v>
      </c>
      <c r="AA28" s="345">
        <v>20</v>
      </c>
      <c r="AB28" s="345">
        <v>37</v>
      </c>
      <c r="AC28" s="345">
        <v>16</v>
      </c>
      <c r="AD28" s="349">
        <v>8725</v>
      </c>
      <c r="AE28" s="349">
        <v>16</v>
      </c>
      <c r="AF28" s="349">
        <v>38</v>
      </c>
      <c r="AG28" s="349">
        <v>54</v>
      </c>
    </row>
    <row r="29" spans="1:33" x14ac:dyDescent="0.2">
      <c r="A29" s="344" t="s">
        <v>116</v>
      </c>
      <c r="B29" s="350" t="s">
        <v>117</v>
      </c>
      <c r="C29" s="346">
        <v>10386</v>
      </c>
      <c r="D29" s="346">
        <v>0</v>
      </c>
      <c r="E29" s="346">
        <v>281</v>
      </c>
      <c r="F29" s="346">
        <v>1192</v>
      </c>
      <c r="G29" s="346">
        <v>1013</v>
      </c>
      <c r="H29" s="346">
        <v>12872</v>
      </c>
      <c r="I29" s="345">
        <v>11859</v>
      </c>
      <c r="J29" s="345">
        <v>4</v>
      </c>
      <c r="K29" s="347">
        <v>100.89</v>
      </c>
      <c r="L29" s="347">
        <v>100.38</v>
      </c>
      <c r="M29" s="347">
        <v>7.23</v>
      </c>
      <c r="N29" s="347">
        <v>106.11</v>
      </c>
      <c r="O29" s="348">
        <v>9264</v>
      </c>
      <c r="P29" s="345">
        <v>96.27</v>
      </c>
      <c r="Q29" s="345">
        <v>94.44</v>
      </c>
      <c r="R29" s="345">
        <v>41.12</v>
      </c>
      <c r="S29" s="345">
        <v>137.04</v>
      </c>
      <c r="T29" s="345">
        <v>1319</v>
      </c>
      <c r="U29" s="345">
        <v>127.26</v>
      </c>
      <c r="V29" s="345">
        <v>778</v>
      </c>
      <c r="W29" s="345">
        <v>102.65</v>
      </c>
      <c r="X29" s="345">
        <v>5</v>
      </c>
      <c r="Y29" s="345">
        <v>0</v>
      </c>
      <c r="Z29" s="345">
        <v>8</v>
      </c>
      <c r="AA29" s="345">
        <v>20</v>
      </c>
      <c r="AB29" s="345">
        <v>74</v>
      </c>
      <c r="AC29" s="345">
        <v>80</v>
      </c>
      <c r="AD29" s="349">
        <v>10323</v>
      </c>
      <c r="AE29" s="349">
        <v>43</v>
      </c>
      <c r="AF29" s="349">
        <v>9</v>
      </c>
      <c r="AG29" s="349">
        <v>52</v>
      </c>
    </row>
    <row r="30" spans="1:33" x14ac:dyDescent="0.2">
      <c r="A30" s="344" t="s">
        <v>118</v>
      </c>
      <c r="B30" s="350" t="s">
        <v>119</v>
      </c>
      <c r="C30" s="346">
        <v>12027</v>
      </c>
      <c r="D30" s="346">
        <v>4</v>
      </c>
      <c r="E30" s="346">
        <v>133</v>
      </c>
      <c r="F30" s="346">
        <v>1327</v>
      </c>
      <c r="G30" s="346">
        <v>974</v>
      </c>
      <c r="H30" s="346">
        <v>14465</v>
      </c>
      <c r="I30" s="345">
        <v>13491</v>
      </c>
      <c r="J30" s="345">
        <v>27</v>
      </c>
      <c r="K30" s="347">
        <v>112.89</v>
      </c>
      <c r="L30" s="347">
        <v>110.66</v>
      </c>
      <c r="M30" s="347">
        <v>9.4499999999999993</v>
      </c>
      <c r="N30" s="347">
        <v>121.64</v>
      </c>
      <c r="O30" s="348">
        <v>10150</v>
      </c>
      <c r="P30" s="345">
        <v>94.65</v>
      </c>
      <c r="Q30" s="345">
        <v>94.44</v>
      </c>
      <c r="R30" s="345">
        <v>26.37</v>
      </c>
      <c r="S30" s="345">
        <v>120.59</v>
      </c>
      <c r="T30" s="345">
        <v>1284</v>
      </c>
      <c r="U30" s="345">
        <v>156.53</v>
      </c>
      <c r="V30" s="345">
        <v>1143</v>
      </c>
      <c r="W30" s="345">
        <v>0</v>
      </c>
      <c r="X30" s="345">
        <v>0</v>
      </c>
      <c r="Y30" s="345">
        <v>135</v>
      </c>
      <c r="Z30" s="345">
        <v>23</v>
      </c>
      <c r="AA30" s="345">
        <v>5</v>
      </c>
      <c r="AB30" s="345">
        <v>118</v>
      </c>
      <c r="AC30" s="345">
        <v>42</v>
      </c>
      <c r="AD30" s="349">
        <v>11358</v>
      </c>
      <c r="AE30" s="349">
        <v>56</v>
      </c>
      <c r="AF30" s="349">
        <v>92</v>
      </c>
      <c r="AG30" s="349">
        <v>148</v>
      </c>
    </row>
    <row r="31" spans="1:33" x14ac:dyDescent="0.2">
      <c r="A31" s="344" t="s">
        <v>120</v>
      </c>
      <c r="B31" s="350" t="s">
        <v>121</v>
      </c>
      <c r="C31" s="346">
        <v>32644</v>
      </c>
      <c r="D31" s="346">
        <v>145</v>
      </c>
      <c r="E31" s="346">
        <v>5319</v>
      </c>
      <c r="F31" s="346">
        <v>5303</v>
      </c>
      <c r="G31" s="346">
        <v>3476</v>
      </c>
      <c r="H31" s="346">
        <v>46887</v>
      </c>
      <c r="I31" s="345">
        <v>43411</v>
      </c>
      <c r="J31" s="345">
        <v>407</v>
      </c>
      <c r="K31" s="347">
        <v>95.05</v>
      </c>
      <c r="L31" s="347">
        <v>96.25</v>
      </c>
      <c r="M31" s="347">
        <v>6.95</v>
      </c>
      <c r="N31" s="347">
        <v>100.26</v>
      </c>
      <c r="O31" s="348">
        <v>29433</v>
      </c>
      <c r="P31" s="345">
        <v>86.98</v>
      </c>
      <c r="Q31" s="345">
        <v>84.87</v>
      </c>
      <c r="R31" s="345">
        <v>42.81</v>
      </c>
      <c r="S31" s="345">
        <v>126.87</v>
      </c>
      <c r="T31" s="345">
        <v>6497</v>
      </c>
      <c r="U31" s="345">
        <v>115.81</v>
      </c>
      <c r="V31" s="345">
        <v>946</v>
      </c>
      <c r="W31" s="345">
        <v>167.3</v>
      </c>
      <c r="X31" s="345">
        <v>145</v>
      </c>
      <c r="Y31" s="345">
        <v>13</v>
      </c>
      <c r="Z31" s="345">
        <v>26</v>
      </c>
      <c r="AA31" s="345">
        <v>26</v>
      </c>
      <c r="AB31" s="345">
        <v>13</v>
      </c>
      <c r="AC31" s="345">
        <v>126</v>
      </c>
      <c r="AD31" s="349">
        <v>30761</v>
      </c>
      <c r="AE31" s="349">
        <v>150</v>
      </c>
      <c r="AF31" s="349">
        <v>72</v>
      </c>
      <c r="AG31" s="349">
        <v>222</v>
      </c>
    </row>
    <row r="32" spans="1:33" x14ac:dyDescent="0.2">
      <c r="A32" s="344" t="s">
        <v>122</v>
      </c>
      <c r="B32" s="350" t="s">
        <v>123</v>
      </c>
      <c r="C32" s="346">
        <v>1927</v>
      </c>
      <c r="D32" s="346">
        <v>0</v>
      </c>
      <c r="E32" s="346">
        <v>115</v>
      </c>
      <c r="F32" s="346">
        <v>1348</v>
      </c>
      <c r="G32" s="346">
        <v>306</v>
      </c>
      <c r="H32" s="346">
        <v>3696</v>
      </c>
      <c r="I32" s="345">
        <v>3390</v>
      </c>
      <c r="J32" s="345">
        <v>3</v>
      </c>
      <c r="K32" s="347">
        <v>88.24</v>
      </c>
      <c r="L32" s="347">
        <v>88.21</v>
      </c>
      <c r="M32" s="347">
        <v>3.79</v>
      </c>
      <c r="N32" s="347">
        <v>90.23</v>
      </c>
      <c r="O32" s="348">
        <v>1626</v>
      </c>
      <c r="P32" s="345">
        <v>78.709999999999994</v>
      </c>
      <c r="Q32" s="345">
        <v>77.89</v>
      </c>
      <c r="R32" s="345">
        <v>17.829999999999998</v>
      </c>
      <c r="S32" s="345">
        <v>96.39</v>
      </c>
      <c r="T32" s="345">
        <v>1457</v>
      </c>
      <c r="U32" s="345">
        <v>106.91</v>
      </c>
      <c r="V32" s="345">
        <v>205</v>
      </c>
      <c r="W32" s="345">
        <v>0</v>
      </c>
      <c r="X32" s="345">
        <v>0</v>
      </c>
      <c r="Y32" s="345">
        <v>0</v>
      </c>
      <c r="Z32" s="345">
        <v>8</v>
      </c>
      <c r="AA32" s="345">
        <v>1</v>
      </c>
      <c r="AB32" s="345">
        <v>38</v>
      </c>
      <c r="AC32" s="345">
        <v>11</v>
      </c>
      <c r="AD32" s="349">
        <v>1927</v>
      </c>
      <c r="AE32" s="349">
        <v>11</v>
      </c>
      <c r="AF32" s="349">
        <v>16</v>
      </c>
      <c r="AG32" s="349">
        <v>27</v>
      </c>
    </row>
    <row r="33" spans="1:33" x14ac:dyDescent="0.2">
      <c r="A33" s="344" t="s">
        <v>124</v>
      </c>
      <c r="B33" s="350" t="s">
        <v>125</v>
      </c>
      <c r="C33" s="346">
        <v>9535</v>
      </c>
      <c r="D33" s="346">
        <v>0</v>
      </c>
      <c r="E33" s="346">
        <v>428</v>
      </c>
      <c r="F33" s="346">
        <v>1511</v>
      </c>
      <c r="G33" s="346">
        <v>293</v>
      </c>
      <c r="H33" s="346">
        <v>11767</v>
      </c>
      <c r="I33" s="345">
        <v>11474</v>
      </c>
      <c r="J33" s="345">
        <v>4</v>
      </c>
      <c r="K33" s="347">
        <v>81.2</v>
      </c>
      <c r="L33" s="347">
        <v>80.7</v>
      </c>
      <c r="M33" s="347">
        <v>1.87</v>
      </c>
      <c r="N33" s="347">
        <v>82.84</v>
      </c>
      <c r="O33" s="348">
        <v>8698</v>
      </c>
      <c r="P33" s="345">
        <v>78.64</v>
      </c>
      <c r="Q33" s="345">
        <v>72.14</v>
      </c>
      <c r="R33" s="345">
        <v>30.4</v>
      </c>
      <c r="S33" s="345">
        <v>108.83</v>
      </c>
      <c r="T33" s="345">
        <v>1769</v>
      </c>
      <c r="U33" s="345">
        <v>95.38</v>
      </c>
      <c r="V33" s="345">
        <v>829</v>
      </c>
      <c r="W33" s="345">
        <v>142.99</v>
      </c>
      <c r="X33" s="345">
        <v>55</v>
      </c>
      <c r="Y33" s="345">
        <v>0</v>
      </c>
      <c r="Z33" s="345">
        <v>34</v>
      </c>
      <c r="AA33" s="345">
        <v>13</v>
      </c>
      <c r="AB33" s="345">
        <v>8</v>
      </c>
      <c r="AC33" s="345">
        <v>8</v>
      </c>
      <c r="AD33" s="349">
        <v>9527</v>
      </c>
      <c r="AE33" s="349">
        <v>53</v>
      </c>
      <c r="AF33" s="349">
        <v>69</v>
      </c>
      <c r="AG33" s="349">
        <v>122</v>
      </c>
    </row>
    <row r="34" spans="1:33" x14ac:dyDescent="0.2">
      <c r="A34" s="344" t="s">
        <v>126</v>
      </c>
      <c r="B34" s="350" t="s">
        <v>127</v>
      </c>
      <c r="C34" s="346">
        <v>1672</v>
      </c>
      <c r="D34" s="346">
        <v>0</v>
      </c>
      <c r="E34" s="346">
        <v>352</v>
      </c>
      <c r="F34" s="346">
        <v>198</v>
      </c>
      <c r="G34" s="346">
        <v>141</v>
      </c>
      <c r="H34" s="346">
        <v>2363</v>
      </c>
      <c r="I34" s="345">
        <v>2222</v>
      </c>
      <c r="J34" s="345">
        <v>0</v>
      </c>
      <c r="K34" s="347">
        <v>88.21</v>
      </c>
      <c r="L34" s="347">
        <v>85.44</v>
      </c>
      <c r="M34" s="347">
        <v>4.8099999999999996</v>
      </c>
      <c r="N34" s="347">
        <v>91.9</v>
      </c>
      <c r="O34" s="348">
        <v>1251</v>
      </c>
      <c r="P34" s="345">
        <v>96.82</v>
      </c>
      <c r="Q34" s="345">
        <v>84.16</v>
      </c>
      <c r="R34" s="345">
        <v>48.39</v>
      </c>
      <c r="S34" s="345">
        <v>143.47999999999999</v>
      </c>
      <c r="T34" s="345">
        <v>506</v>
      </c>
      <c r="U34" s="345">
        <v>107.15</v>
      </c>
      <c r="V34" s="345">
        <v>281</v>
      </c>
      <c r="W34" s="345">
        <v>97.13</v>
      </c>
      <c r="X34" s="345">
        <v>1</v>
      </c>
      <c r="Y34" s="345">
        <v>0</v>
      </c>
      <c r="Z34" s="345">
        <v>0</v>
      </c>
      <c r="AA34" s="345">
        <v>43</v>
      </c>
      <c r="AB34" s="345">
        <v>0</v>
      </c>
      <c r="AC34" s="345">
        <v>6</v>
      </c>
      <c r="AD34" s="349">
        <v>1614</v>
      </c>
      <c r="AE34" s="349">
        <v>13</v>
      </c>
      <c r="AF34" s="349">
        <v>12</v>
      </c>
      <c r="AG34" s="349">
        <v>25</v>
      </c>
    </row>
    <row r="35" spans="1:33" x14ac:dyDescent="0.2">
      <c r="A35" s="344" t="s">
        <v>128</v>
      </c>
      <c r="B35" s="350" t="s">
        <v>129</v>
      </c>
      <c r="C35" s="346">
        <v>759</v>
      </c>
      <c r="D35" s="346">
        <v>0</v>
      </c>
      <c r="E35" s="346">
        <v>55</v>
      </c>
      <c r="F35" s="346">
        <v>262</v>
      </c>
      <c r="G35" s="346">
        <v>23</v>
      </c>
      <c r="H35" s="346">
        <v>1099</v>
      </c>
      <c r="I35" s="345">
        <v>1076</v>
      </c>
      <c r="J35" s="345">
        <v>1</v>
      </c>
      <c r="K35" s="347">
        <v>91.27</v>
      </c>
      <c r="L35" s="347">
        <v>90.87</v>
      </c>
      <c r="M35" s="347">
        <v>3.14</v>
      </c>
      <c r="N35" s="347">
        <v>93.06</v>
      </c>
      <c r="O35" s="348">
        <v>675</v>
      </c>
      <c r="P35" s="345">
        <v>91.64</v>
      </c>
      <c r="Q35" s="345">
        <v>91.4</v>
      </c>
      <c r="R35" s="345">
        <v>15.74</v>
      </c>
      <c r="S35" s="345">
        <v>106.8</v>
      </c>
      <c r="T35" s="345">
        <v>299</v>
      </c>
      <c r="U35" s="345">
        <v>92.82</v>
      </c>
      <c r="V35" s="345">
        <v>45</v>
      </c>
      <c r="W35" s="345">
        <v>0</v>
      </c>
      <c r="X35" s="345">
        <v>0</v>
      </c>
      <c r="Y35" s="345">
        <v>0</v>
      </c>
      <c r="Z35" s="345">
        <v>0</v>
      </c>
      <c r="AA35" s="345">
        <v>2</v>
      </c>
      <c r="AB35" s="345">
        <v>9</v>
      </c>
      <c r="AC35" s="345">
        <v>1</v>
      </c>
      <c r="AD35" s="349">
        <v>755</v>
      </c>
      <c r="AE35" s="349">
        <v>9</v>
      </c>
      <c r="AF35" s="349">
        <v>2</v>
      </c>
      <c r="AG35" s="349">
        <v>11</v>
      </c>
    </row>
    <row r="36" spans="1:33" x14ac:dyDescent="0.2">
      <c r="A36" s="344" t="s">
        <v>130</v>
      </c>
      <c r="B36" s="350" t="s">
        <v>131</v>
      </c>
      <c r="C36" s="346">
        <v>20850</v>
      </c>
      <c r="D36" s="346">
        <v>6</v>
      </c>
      <c r="E36" s="346">
        <v>657</v>
      </c>
      <c r="F36" s="346">
        <v>4117</v>
      </c>
      <c r="G36" s="346">
        <v>470</v>
      </c>
      <c r="H36" s="346">
        <v>26100</v>
      </c>
      <c r="I36" s="345">
        <v>25630</v>
      </c>
      <c r="J36" s="345">
        <v>1</v>
      </c>
      <c r="K36" s="347">
        <v>79.459999999999994</v>
      </c>
      <c r="L36" s="347">
        <v>81.819999999999993</v>
      </c>
      <c r="M36" s="347">
        <v>8.25</v>
      </c>
      <c r="N36" s="347">
        <v>81.89</v>
      </c>
      <c r="O36" s="348">
        <v>18303</v>
      </c>
      <c r="P36" s="345">
        <v>73.66</v>
      </c>
      <c r="Q36" s="345">
        <v>71.28</v>
      </c>
      <c r="R36" s="345">
        <v>26.84</v>
      </c>
      <c r="S36" s="345">
        <v>99.6</v>
      </c>
      <c r="T36" s="345">
        <v>4757</v>
      </c>
      <c r="U36" s="345">
        <v>98.36</v>
      </c>
      <c r="V36" s="345">
        <v>2454</v>
      </c>
      <c r="W36" s="345">
        <v>0</v>
      </c>
      <c r="X36" s="345">
        <v>0</v>
      </c>
      <c r="Y36" s="345">
        <v>0</v>
      </c>
      <c r="Z36" s="345">
        <v>115</v>
      </c>
      <c r="AA36" s="345">
        <v>10</v>
      </c>
      <c r="AB36" s="345">
        <v>2</v>
      </c>
      <c r="AC36" s="345">
        <v>6</v>
      </c>
      <c r="AD36" s="349">
        <v>20815</v>
      </c>
      <c r="AE36" s="349">
        <v>156</v>
      </c>
      <c r="AF36" s="349">
        <v>176</v>
      </c>
      <c r="AG36" s="349">
        <v>332</v>
      </c>
    </row>
    <row r="37" spans="1:33" x14ac:dyDescent="0.2">
      <c r="A37" s="344" t="s">
        <v>132</v>
      </c>
      <c r="B37" s="350" t="s">
        <v>133</v>
      </c>
      <c r="C37" s="346">
        <v>4230</v>
      </c>
      <c r="D37" s="346">
        <v>0</v>
      </c>
      <c r="E37" s="346">
        <v>136</v>
      </c>
      <c r="F37" s="346">
        <v>947</v>
      </c>
      <c r="G37" s="346">
        <v>188</v>
      </c>
      <c r="H37" s="346">
        <v>5501</v>
      </c>
      <c r="I37" s="345">
        <v>5313</v>
      </c>
      <c r="J37" s="345">
        <v>0</v>
      </c>
      <c r="K37" s="347">
        <v>82.13</v>
      </c>
      <c r="L37" s="347">
        <v>79.42</v>
      </c>
      <c r="M37" s="347">
        <v>1.71</v>
      </c>
      <c r="N37" s="347">
        <v>83.63</v>
      </c>
      <c r="O37" s="348">
        <v>4069</v>
      </c>
      <c r="P37" s="345">
        <v>76.3</v>
      </c>
      <c r="Q37" s="345">
        <v>72.150000000000006</v>
      </c>
      <c r="R37" s="345">
        <v>15.46</v>
      </c>
      <c r="S37" s="345">
        <v>91.55</v>
      </c>
      <c r="T37" s="345">
        <v>1031</v>
      </c>
      <c r="U37" s="345">
        <v>101.04</v>
      </c>
      <c r="V37" s="345">
        <v>100</v>
      </c>
      <c r="W37" s="345">
        <v>266.35000000000002</v>
      </c>
      <c r="X37" s="345">
        <v>6</v>
      </c>
      <c r="Y37" s="345">
        <v>17</v>
      </c>
      <c r="Z37" s="345">
        <v>12</v>
      </c>
      <c r="AA37" s="345">
        <v>4</v>
      </c>
      <c r="AB37" s="345">
        <v>13</v>
      </c>
      <c r="AC37" s="345">
        <v>10</v>
      </c>
      <c r="AD37" s="349">
        <v>4184</v>
      </c>
      <c r="AE37" s="349">
        <v>13</v>
      </c>
      <c r="AF37" s="349">
        <v>8</v>
      </c>
      <c r="AG37" s="349">
        <v>21</v>
      </c>
    </row>
    <row r="38" spans="1:33" x14ac:dyDescent="0.2">
      <c r="A38" s="344" t="s">
        <v>134</v>
      </c>
      <c r="B38" s="350" t="s">
        <v>135</v>
      </c>
      <c r="C38" s="346">
        <v>6252</v>
      </c>
      <c r="D38" s="346">
        <v>13</v>
      </c>
      <c r="E38" s="346">
        <v>966</v>
      </c>
      <c r="F38" s="346">
        <v>1643</v>
      </c>
      <c r="G38" s="346">
        <v>875</v>
      </c>
      <c r="H38" s="346">
        <v>9749</v>
      </c>
      <c r="I38" s="345">
        <v>8874</v>
      </c>
      <c r="J38" s="345">
        <v>1</v>
      </c>
      <c r="K38" s="347">
        <v>106.46</v>
      </c>
      <c r="L38" s="347">
        <v>106.06</v>
      </c>
      <c r="M38" s="347">
        <v>5.64</v>
      </c>
      <c r="N38" s="347">
        <v>110.48</v>
      </c>
      <c r="O38" s="348">
        <v>5489</v>
      </c>
      <c r="P38" s="345">
        <v>90.26</v>
      </c>
      <c r="Q38" s="345">
        <v>88.15</v>
      </c>
      <c r="R38" s="345">
        <v>43.64</v>
      </c>
      <c r="S38" s="345">
        <v>131.41</v>
      </c>
      <c r="T38" s="345">
        <v>1856</v>
      </c>
      <c r="U38" s="345">
        <v>143.66999999999999</v>
      </c>
      <c r="V38" s="345">
        <v>393</v>
      </c>
      <c r="W38" s="345">
        <v>0</v>
      </c>
      <c r="X38" s="345">
        <v>0</v>
      </c>
      <c r="Y38" s="345">
        <v>76</v>
      </c>
      <c r="Z38" s="345">
        <v>4</v>
      </c>
      <c r="AA38" s="345">
        <v>13</v>
      </c>
      <c r="AB38" s="345">
        <v>1</v>
      </c>
      <c r="AC38" s="345">
        <v>22</v>
      </c>
      <c r="AD38" s="349">
        <v>5902</v>
      </c>
      <c r="AE38" s="349">
        <v>7</v>
      </c>
      <c r="AF38" s="349">
        <v>11</v>
      </c>
      <c r="AG38" s="349">
        <v>18</v>
      </c>
    </row>
    <row r="39" spans="1:33" x14ac:dyDescent="0.2">
      <c r="A39" s="344" t="s">
        <v>136</v>
      </c>
      <c r="B39" s="350" t="s">
        <v>137</v>
      </c>
      <c r="C39" s="346">
        <v>7226</v>
      </c>
      <c r="D39" s="346">
        <v>5</v>
      </c>
      <c r="E39" s="346">
        <v>218</v>
      </c>
      <c r="F39" s="346">
        <v>579</v>
      </c>
      <c r="G39" s="346">
        <v>559</v>
      </c>
      <c r="H39" s="346">
        <v>8587</v>
      </c>
      <c r="I39" s="345">
        <v>8028</v>
      </c>
      <c r="J39" s="345">
        <v>2</v>
      </c>
      <c r="K39" s="347">
        <v>111.85</v>
      </c>
      <c r="L39" s="347">
        <v>112.15</v>
      </c>
      <c r="M39" s="347">
        <v>7.39</v>
      </c>
      <c r="N39" s="347">
        <v>113.99</v>
      </c>
      <c r="O39" s="348">
        <v>6750</v>
      </c>
      <c r="P39" s="345">
        <v>94.87</v>
      </c>
      <c r="Q39" s="345">
        <v>98.16</v>
      </c>
      <c r="R39" s="345">
        <v>30.52</v>
      </c>
      <c r="S39" s="345">
        <v>124.22</v>
      </c>
      <c r="T39" s="345">
        <v>781</v>
      </c>
      <c r="U39" s="345">
        <v>155.79</v>
      </c>
      <c r="V39" s="345">
        <v>408</v>
      </c>
      <c r="W39" s="345">
        <v>0</v>
      </c>
      <c r="X39" s="345">
        <v>0</v>
      </c>
      <c r="Y39" s="345">
        <v>16</v>
      </c>
      <c r="Z39" s="345">
        <v>15</v>
      </c>
      <c r="AA39" s="345">
        <v>1</v>
      </c>
      <c r="AB39" s="345">
        <v>10</v>
      </c>
      <c r="AC39" s="345">
        <v>14</v>
      </c>
      <c r="AD39" s="349">
        <v>7204</v>
      </c>
      <c r="AE39" s="349">
        <v>53</v>
      </c>
      <c r="AF39" s="349">
        <v>44</v>
      </c>
      <c r="AG39" s="349">
        <v>97</v>
      </c>
    </row>
    <row r="40" spans="1:33" x14ac:dyDescent="0.2">
      <c r="A40" s="344" t="s">
        <v>138</v>
      </c>
      <c r="B40" s="350" t="s">
        <v>139</v>
      </c>
      <c r="C40" s="346">
        <v>27029</v>
      </c>
      <c r="D40" s="346">
        <v>169</v>
      </c>
      <c r="E40" s="346">
        <v>1202</v>
      </c>
      <c r="F40" s="346">
        <v>3299</v>
      </c>
      <c r="G40" s="346">
        <v>772</v>
      </c>
      <c r="H40" s="346">
        <v>32471</v>
      </c>
      <c r="I40" s="345">
        <v>31699</v>
      </c>
      <c r="J40" s="345">
        <v>169</v>
      </c>
      <c r="K40" s="347">
        <v>80.91</v>
      </c>
      <c r="L40" s="347">
        <v>81.16</v>
      </c>
      <c r="M40" s="347">
        <v>5.56</v>
      </c>
      <c r="N40" s="347">
        <v>86.17</v>
      </c>
      <c r="O40" s="348">
        <v>25275</v>
      </c>
      <c r="P40" s="345">
        <v>81.72</v>
      </c>
      <c r="Q40" s="345">
        <v>76.819999999999993</v>
      </c>
      <c r="R40" s="345">
        <v>28.81</v>
      </c>
      <c r="S40" s="345">
        <v>109.85</v>
      </c>
      <c r="T40" s="345">
        <v>3860</v>
      </c>
      <c r="U40" s="345">
        <v>101.61</v>
      </c>
      <c r="V40" s="345">
        <v>1773</v>
      </c>
      <c r="W40" s="345">
        <v>145.21</v>
      </c>
      <c r="X40" s="345">
        <v>82</v>
      </c>
      <c r="Y40" s="345">
        <v>4</v>
      </c>
      <c r="Z40" s="345">
        <v>76</v>
      </c>
      <c r="AA40" s="345">
        <v>222</v>
      </c>
      <c r="AB40" s="345">
        <v>0</v>
      </c>
      <c r="AC40" s="345">
        <v>7</v>
      </c>
      <c r="AD40" s="349">
        <v>26997</v>
      </c>
      <c r="AE40" s="349">
        <v>750</v>
      </c>
      <c r="AF40" s="349">
        <v>53</v>
      </c>
      <c r="AG40" s="349">
        <v>803</v>
      </c>
    </row>
    <row r="41" spans="1:33" x14ac:dyDescent="0.2">
      <c r="A41" s="344" t="s">
        <v>140</v>
      </c>
      <c r="B41" s="350" t="s">
        <v>141</v>
      </c>
      <c r="C41" s="346">
        <v>9424</v>
      </c>
      <c r="D41" s="346">
        <v>37</v>
      </c>
      <c r="E41" s="346">
        <v>286</v>
      </c>
      <c r="F41" s="346">
        <v>686</v>
      </c>
      <c r="G41" s="346">
        <v>280</v>
      </c>
      <c r="H41" s="346">
        <v>10713</v>
      </c>
      <c r="I41" s="345">
        <v>10433</v>
      </c>
      <c r="J41" s="345">
        <v>40</v>
      </c>
      <c r="K41" s="347">
        <v>98.67</v>
      </c>
      <c r="L41" s="347">
        <v>98.71</v>
      </c>
      <c r="M41" s="347">
        <v>2.94</v>
      </c>
      <c r="N41" s="347">
        <v>99.46</v>
      </c>
      <c r="O41" s="348">
        <v>8919</v>
      </c>
      <c r="P41" s="345">
        <v>87.9</v>
      </c>
      <c r="Q41" s="345">
        <v>86.01</v>
      </c>
      <c r="R41" s="345">
        <v>33.43</v>
      </c>
      <c r="S41" s="345">
        <v>120.73</v>
      </c>
      <c r="T41" s="345">
        <v>793</v>
      </c>
      <c r="U41" s="345">
        <v>131.53</v>
      </c>
      <c r="V41" s="345">
        <v>473</v>
      </c>
      <c r="W41" s="345">
        <v>118.38</v>
      </c>
      <c r="X41" s="345">
        <v>4</v>
      </c>
      <c r="Y41" s="345">
        <v>0</v>
      </c>
      <c r="Z41" s="345">
        <v>24</v>
      </c>
      <c r="AA41" s="345">
        <v>3</v>
      </c>
      <c r="AB41" s="345">
        <v>11</v>
      </c>
      <c r="AC41" s="345">
        <v>7</v>
      </c>
      <c r="AD41" s="349">
        <v>9420</v>
      </c>
      <c r="AE41" s="349">
        <v>10</v>
      </c>
      <c r="AF41" s="349">
        <v>41</v>
      </c>
      <c r="AG41" s="349">
        <v>51</v>
      </c>
    </row>
    <row r="42" spans="1:33" x14ac:dyDescent="0.2">
      <c r="A42" s="344" t="s">
        <v>142</v>
      </c>
      <c r="B42" s="350" t="s">
        <v>143</v>
      </c>
      <c r="C42" s="346">
        <v>7090</v>
      </c>
      <c r="D42" s="346">
        <v>0</v>
      </c>
      <c r="E42" s="346">
        <v>215</v>
      </c>
      <c r="F42" s="346">
        <v>1029</v>
      </c>
      <c r="G42" s="346">
        <v>216</v>
      </c>
      <c r="H42" s="346">
        <v>8550</v>
      </c>
      <c r="I42" s="345">
        <v>8334</v>
      </c>
      <c r="J42" s="345">
        <v>20</v>
      </c>
      <c r="K42" s="347">
        <v>90.88</v>
      </c>
      <c r="L42" s="347">
        <v>89.28</v>
      </c>
      <c r="M42" s="347">
        <v>3.04</v>
      </c>
      <c r="N42" s="347">
        <v>91.5</v>
      </c>
      <c r="O42" s="348">
        <v>6740</v>
      </c>
      <c r="P42" s="345">
        <v>80.72</v>
      </c>
      <c r="Q42" s="345">
        <v>79.27</v>
      </c>
      <c r="R42" s="345">
        <v>23.36</v>
      </c>
      <c r="S42" s="345">
        <v>103.18</v>
      </c>
      <c r="T42" s="345">
        <v>1205</v>
      </c>
      <c r="U42" s="345">
        <v>113.58</v>
      </c>
      <c r="V42" s="345">
        <v>273</v>
      </c>
      <c r="W42" s="345">
        <v>0</v>
      </c>
      <c r="X42" s="345">
        <v>0</v>
      </c>
      <c r="Y42" s="345">
        <v>0</v>
      </c>
      <c r="Z42" s="345">
        <v>9</v>
      </c>
      <c r="AA42" s="345">
        <v>3</v>
      </c>
      <c r="AB42" s="345">
        <v>1</v>
      </c>
      <c r="AC42" s="345">
        <v>8</v>
      </c>
      <c r="AD42" s="349">
        <v>7086</v>
      </c>
      <c r="AE42" s="349">
        <v>39</v>
      </c>
      <c r="AF42" s="349">
        <v>10</v>
      </c>
      <c r="AG42" s="349">
        <v>49</v>
      </c>
    </row>
    <row r="43" spans="1:33" x14ac:dyDescent="0.2">
      <c r="A43" s="344" t="s">
        <v>144</v>
      </c>
      <c r="B43" s="350" t="s">
        <v>145</v>
      </c>
      <c r="C43" s="346">
        <v>15702</v>
      </c>
      <c r="D43" s="346">
        <v>168</v>
      </c>
      <c r="E43" s="346">
        <v>986</v>
      </c>
      <c r="F43" s="346">
        <v>969</v>
      </c>
      <c r="G43" s="346">
        <v>2430</v>
      </c>
      <c r="H43" s="346">
        <v>20255</v>
      </c>
      <c r="I43" s="345">
        <v>17825</v>
      </c>
      <c r="J43" s="345">
        <v>108</v>
      </c>
      <c r="K43" s="347">
        <v>136.19</v>
      </c>
      <c r="L43" s="347">
        <v>128.65</v>
      </c>
      <c r="M43" s="347">
        <v>10.08</v>
      </c>
      <c r="N43" s="347">
        <v>142.96</v>
      </c>
      <c r="O43" s="348">
        <v>12255</v>
      </c>
      <c r="P43" s="345">
        <v>109.53</v>
      </c>
      <c r="Q43" s="345">
        <v>104.61</v>
      </c>
      <c r="R43" s="345">
        <v>50.48</v>
      </c>
      <c r="S43" s="345">
        <v>154.97999999999999</v>
      </c>
      <c r="T43" s="345">
        <v>893</v>
      </c>
      <c r="U43" s="345">
        <v>209.49</v>
      </c>
      <c r="V43" s="345">
        <v>969</v>
      </c>
      <c r="W43" s="345">
        <v>199.62</v>
      </c>
      <c r="X43" s="345">
        <v>40</v>
      </c>
      <c r="Y43" s="345">
        <v>18</v>
      </c>
      <c r="Z43" s="345">
        <v>12</v>
      </c>
      <c r="AA43" s="345">
        <v>29</v>
      </c>
      <c r="AB43" s="345">
        <v>301</v>
      </c>
      <c r="AC43" s="345">
        <v>95</v>
      </c>
      <c r="AD43" s="349">
        <v>14175</v>
      </c>
      <c r="AE43" s="349">
        <v>44</v>
      </c>
      <c r="AF43" s="349">
        <v>110</v>
      </c>
      <c r="AG43" s="349">
        <v>154</v>
      </c>
    </row>
    <row r="44" spans="1:33" x14ac:dyDescent="0.2">
      <c r="A44" s="344" t="s">
        <v>146</v>
      </c>
      <c r="B44" s="350" t="s">
        <v>147</v>
      </c>
      <c r="C44" s="346">
        <v>753</v>
      </c>
      <c r="D44" s="346">
        <v>7</v>
      </c>
      <c r="E44" s="346">
        <v>119</v>
      </c>
      <c r="F44" s="346">
        <v>162</v>
      </c>
      <c r="G44" s="346">
        <v>165</v>
      </c>
      <c r="H44" s="346">
        <v>1206</v>
      </c>
      <c r="I44" s="345">
        <v>1041</v>
      </c>
      <c r="J44" s="345">
        <v>12</v>
      </c>
      <c r="K44" s="347">
        <v>120.17</v>
      </c>
      <c r="L44" s="347">
        <v>117.69</v>
      </c>
      <c r="M44" s="347">
        <v>7.75</v>
      </c>
      <c r="N44" s="347">
        <v>126.99</v>
      </c>
      <c r="O44" s="348">
        <v>525</v>
      </c>
      <c r="P44" s="345">
        <v>95.75</v>
      </c>
      <c r="Q44" s="345">
        <v>85.17</v>
      </c>
      <c r="R44" s="345">
        <v>47.2</v>
      </c>
      <c r="S44" s="345">
        <v>142.94</v>
      </c>
      <c r="T44" s="345">
        <v>281</v>
      </c>
      <c r="U44" s="345">
        <v>144.54</v>
      </c>
      <c r="V44" s="345">
        <v>73</v>
      </c>
      <c r="W44" s="345">
        <v>0</v>
      </c>
      <c r="X44" s="345">
        <v>0</v>
      </c>
      <c r="Y44" s="345">
        <v>0</v>
      </c>
      <c r="Z44" s="345">
        <v>0</v>
      </c>
      <c r="AA44" s="345">
        <v>0</v>
      </c>
      <c r="AB44" s="345">
        <v>1</v>
      </c>
      <c r="AC44" s="345">
        <v>12</v>
      </c>
      <c r="AD44" s="349">
        <v>601</v>
      </c>
      <c r="AE44" s="349">
        <v>2</v>
      </c>
      <c r="AF44" s="349">
        <v>1</v>
      </c>
      <c r="AG44" s="349">
        <v>3</v>
      </c>
    </row>
    <row r="45" spans="1:33" x14ac:dyDescent="0.2">
      <c r="A45" s="344" t="s">
        <v>148</v>
      </c>
      <c r="B45" s="350" t="s">
        <v>149</v>
      </c>
      <c r="C45" s="346">
        <v>4691</v>
      </c>
      <c r="D45" s="346">
        <v>65</v>
      </c>
      <c r="E45" s="346">
        <v>1043</v>
      </c>
      <c r="F45" s="346">
        <v>1025</v>
      </c>
      <c r="G45" s="346">
        <v>840</v>
      </c>
      <c r="H45" s="346">
        <v>7664</v>
      </c>
      <c r="I45" s="345">
        <v>6824</v>
      </c>
      <c r="J45" s="345">
        <v>6</v>
      </c>
      <c r="K45" s="347">
        <v>100.04</v>
      </c>
      <c r="L45" s="347">
        <v>99.98</v>
      </c>
      <c r="M45" s="347">
        <v>9.61</v>
      </c>
      <c r="N45" s="347">
        <v>107.86</v>
      </c>
      <c r="O45" s="348">
        <v>3863</v>
      </c>
      <c r="P45" s="345">
        <v>86.56</v>
      </c>
      <c r="Q45" s="345">
        <v>84.58</v>
      </c>
      <c r="R45" s="345">
        <v>43</v>
      </c>
      <c r="S45" s="345">
        <v>126.84</v>
      </c>
      <c r="T45" s="345">
        <v>1249</v>
      </c>
      <c r="U45" s="345">
        <v>162.88</v>
      </c>
      <c r="V45" s="345">
        <v>377</v>
      </c>
      <c r="W45" s="345">
        <v>186.26</v>
      </c>
      <c r="X45" s="345">
        <v>9</v>
      </c>
      <c r="Y45" s="345">
        <v>0</v>
      </c>
      <c r="Z45" s="345">
        <v>17</v>
      </c>
      <c r="AA45" s="345">
        <v>6</v>
      </c>
      <c r="AB45" s="345">
        <v>71</v>
      </c>
      <c r="AC45" s="345">
        <v>27</v>
      </c>
      <c r="AD45" s="349">
        <v>4304</v>
      </c>
      <c r="AE45" s="349">
        <v>34</v>
      </c>
      <c r="AF45" s="349">
        <v>24</v>
      </c>
      <c r="AG45" s="349">
        <v>58</v>
      </c>
    </row>
    <row r="46" spans="1:33" x14ac:dyDescent="0.2">
      <c r="A46" s="344" t="s">
        <v>150</v>
      </c>
      <c r="B46" s="350" t="s">
        <v>151</v>
      </c>
      <c r="C46" s="346">
        <v>8239</v>
      </c>
      <c r="D46" s="346">
        <v>9</v>
      </c>
      <c r="E46" s="346">
        <v>1458</v>
      </c>
      <c r="F46" s="346">
        <v>2206</v>
      </c>
      <c r="G46" s="346">
        <v>1037</v>
      </c>
      <c r="H46" s="346">
        <v>12949</v>
      </c>
      <c r="I46" s="345">
        <v>11912</v>
      </c>
      <c r="J46" s="345">
        <v>40</v>
      </c>
      <c r="K46" s="347">
        <v>98.66</v>
      </c>
      <c r="L46" s="347">
        <v>97.69</v>
      </c>
      <c r="M46" s="347">
        <v>7</v>
      </c>
      <c r="N46" s="347">
        <v>103.84</v>
      </c>
      <c r="O46" s="348">
        <v>6282</v>
      </c>
      <c r="P46" s="345">
        <v>89.11</v>
      </c>
      <c r="Q46" s="345">
        <v>88.62</v>
      </c>
      <c r="R46" s="345">
        <v>35.65</v>
      </c>
      <c r="S46" s="345">
        <v>124.35</v>
      </c>
      <c r="T46" s="345">
        <v>3037</v>
      </c>
      <c r="U46" s="345">
        <v>128.56</v>
      </c>
      <c r="V46" s="345">
        <v>744</v>
      </c>
      <c r="W46" s="345">
        <v>116.46</v>
      </c>
      <c r="X46" s="345">
        <v>5</v>
      </c>
      <c r="Y46" s="345">
        <v>0</v>
      </c>
      <c r="Z46" s="345">
        <v>6</v>
      </c>
      <c r="AA46" s="345">
        <v>15</v>
      </c>
      <c r="AB46" s="345">
        <v>25</v>
      </c>
      <c r="AC46" s="345">
        <v>37</v>
      </c>
      <c r="AD46" s="349">
        <v>7221</v>
      </c>
      <c r="AE46" s="349">
        <v>25</v>
      </c>
      <c r="AF46" s="349">
        <v>29</v>
      </c>
      <c r="AG46" s="349">
        <v>54</v>
      </c>
    </row>
    <row r="47" spans="1:33" x14ac:dyDescent="0.2">
      <c r="A47" s="344" t="s">
        <v>152</v>
      </c>
      <c r="B47" s="350" t="s">
        <v>153</v>
      </c>
      <c r="C47" s="346">
        <v>4384</v>
      </c>
      <c r="D47" s="346">
        <v>0</v>
      </c>
      <c r="E47" s="346">
        <v>190</v>
      </c>
      <c r="F47" s="346">
        <v>537</v>
      </c>
      <c r="G47" s="346">
        <v>298</v>
      </c>
      <c r="H47" s="346">
        <v>5409</v>
      </c>
      <c r="I47" s="345">
        <v>5111</v>
      </c>
      <c r="J47" s="345">
        <v>8</v>
      </c>
      <c r="K47" s="347">
        <v>94.86</v>
      </c>
      <c r="L47" s="347">
        <v>91.16</v>
      </c>
      <c r="M47" s="347">
        <v>1.92</v>
      </c>
      <c r="N47" s="347">
        <v>95.57</v>
      </c>
      <c r="O47" s="348">
        <v>3676</v>
      </c>
      <c r="P47" s="345">
        <v>90.29</v>
      </c>
      <c r="Q47" s="345">
        <v>77.88</v>
      </c>
      <c r="R47" s="345">
        <v>22.11</v>
      </c>
      <c r="S47" s="345">
        <v>112.16</v>
      </c>
      <c r="T47" s="345">
        <v>717</v>
      </c>
      <c r="U47" s="345">
        <v>106.59</v>
      </c>
      <c r="V47" s="345">
        <v>651</v>
      </c>
      <c r="W47" s="345">
        <v>0</v>
      </c>
      <c r="X47" s="345">
        <v>0</v>
      </c>
      <c r="Y47" s="345">
        <v>0</v>
      </c>
      <c r="Z47" s="345">
        <v>4</v>
      </c>
      <c r="AA47" s="345">
        <v>9</v>
      </c>
      <c r="AB47" s="345">
        <v>20</v>
      </c>
      <c r="AC47" s="345">
        <v>9</v>
      </c>
      <c r="AD47" s="349">
        <v>4384</v>
      </c>
      <c r="AE47" s="349">
        <v>41</v>
      </c>
      <c r="AF47" s="349">
        <v>7</v>
      </c>
      <c r="AG47" s="349">
        <v>48</v>
      </c>
    </row>
    <row r="48" spans="1:33" x14ac:dyDescent="0.2">
      <c r="A48" s="344" t="s">
        <v>154</v>
      </c>
      <c r="B48" s="350" t="s">
        <v>155</v>
      </c>
      <c r="C48" s="346">
        <v>15996</v>
      </c>
      <c r="D48" s="346">
        <v>71</v>
      </c>
      <c r="E48" s="346">
        <v>609</v>
      </c>
      <c r="F48" s="346">
        <v>2200</v>
      </c>
      <c r="G48" s="346">
        <v>905</v>
      </c>
      <c r="H48" s="346">
        <v>19781</v>
      </c>
      <c r="I48" s="345">
        <v>18876</v>
      </c>
      <c r="J48" s="345">
        <v>26</v>
      </c>
      <c r="K48" s="347">
        <v>118.13</v>
      </c>
      <c r="L48" s="347">
        <v>118.49</v>
      </c>
      <c r="M48" s="347">
        <v>12.28</v>
      </c>
      <c r="N48" s="347">
        <v>125.06</v>
      </c>
      <c r="O48" s="348">
        <v>13463</v>
      </c>
      <c r="P48" s="345">
        <v>106.76</v>
      </c>
      <c r="Q48" s="345">
        <v>106.47</v>
      </c>
      <c r="R48" s="345">
        <v>41.23</v>
      </c>
      <c r="S48" s="345">
        <v>146.63999999999999</v>
      </c>
      <c r="T48" s="345">
        <v>2316</v>
      </c>
      <c r="U48" s="345">
        <v>171.54</v>
      </c>
      <c r="V48" s="345">
        <v>1414</v>
      </c>
      <c r="W48" s="345">
        <v>0</v>
      </c>
      <c r="X48" s="345">
        <v>0</v>
      </c>
      <c r="Y48" s="345">
        <v>27</v>
      </c>
      <c r="Z48" s="345">
        <v>15</v>
      </c>
      <c r="AA48" s="345">
        <v>20</v>
      </c>
      <c r="AB48" s="345">
        <v>57</v>
      </c>
      <c r="AC48" s="345">
        <v>39</v>
      </c>
      <c r="AD48" s="349">
        <v>15193</v>
      </c>
      <c r="AE48" s="349">
        <v>148</v>
      </c>
      <c r="AF48" s="349">
        <v>44</v>
      </c>
      <c r="AG48" s="349">
        <v>192</v>
      </c>
    </row>
    <row r="49" spans="1:33" x14ac:dyDescent="0.2">
      <c r="A49" s="344" t="s">
        <v>156</v>
      </c>
      <c r="B49" s="350" t="s">
        <v>157</v>
      </c>
      <c r="C49" s="346">
        <v>3189</v>
      </c>
      <c r="D49" s="346">
        <v>0</v>
      </c>
      <c r="E49" s="346">
        <v>97</v>
      </c>
      <c r="F49" s="346">
        <v>991</v>
      </c>
      <c r="G49" s="346">
        <v>354</v>
      </c>
      <c r="H49" s="346">
        <v>4631</v>
      </c>
      <c r="I49" s="345">
        <v>4277</v>
      </c>
      <c r="J49" s="345">
        <v>0</v>
      </c>
      <c r="K49" s="347">
        <v>92.91</v>
      </c>
      <c r="L49" s="347">
        <v>92.92</v>
      </c>
      <c r="M49" s="347">
        <v>4.2699999999999996</v>
      </c>
      <c r="N49" s="347">
        <v>95.23</v>
      </c>
      <c r="O49" s="348">
        <v>2878</v>
      </c>
      <c r="P49" s="345">
        <v>83.31</v>
      </c>
      <c r="Q49" s="345">
        <v>85.57</v>
      </c>
      <c r="R49" s="345">
        <v>22.48</v>
      </c>
      <c r="S49" s="345">
        <v>105.64</v>
      </c>
      <c r="T49" s="345">
        <v>1013</v>
      </c>
      <c r="U49" s="345">
        <v>116.58</v>
      </c>
      <c r="V49" s="345">
        <v>264</v>
      </c>
      <c r="W49" s="345">
        <v>0</v>
      </c>
      <c r="X49" s="345">
        <v>0</v>
      </c>
      <c r="Y49" s="345">
        <v>0</v>
      </c>
      <c r="Z49" s="345">
        <v>7</v>
      </c>
      <c r="AA49" s="345">
        <v>1</v>
      </c>
      <c r="AB49" s="345">
        <v>44</v>
      </c>
      <c r="AC49" s="345">
        <v>10</v>
      </c>
      <c r="AD49" s="349">
        <v>3189</v>
      </c>
      <c r="AE49" s="349">
        <v>15</v>
      </c>
      <c r="AF49" s="349">
        <v>3</v>
      </c>
      <c r="AG49" s="349">
        <v>18</v>
      </c>
    </row>
    <row r="50" spans="1:33" x14ac:dyDescent="0.2">
      <c r="A50" s="344" t="s">
        <v>158</v>
      </c>
      <c r="B50" s="350" t="s">
        <v>159</v>
      </c>
      <c r="C50" s="346">
        <v>4334</v>
      </c>
      <c r="D50" s="346">
        <v>0</v>
      </c>
      <c r="E50" s="346">
        <v>178</v>
      </c>
      <c r="F50" s="346">
        <v>717</v>
      </c>
      <c r="G50" s="346">
        <v>383</v>
      </c>
      <c r="H50" s="346">
        <v>5612</v>
      </c>
      <c r="I50" s="345">
        <v>5229</v>
      </c>
      <c r="J50" s="345">
        <v>0</v>
      </c>
      <c r="K50" s="347">
        <v>117.23</v>
      </c>
      <c r="L50" s="347">
        <v>118.04</v>
      </c>
      <c r="M50" s="347">
        <v>6.59</v>
      </c>
      <c r="N50" s="347">
        <v>121.03</v>
      </c>
      <c r="O50" s="348">
        <v>3722</v>
      </c>
      <c r="P50" s="345">
        <v>105.85</v>
      </c>
      <c r="Q50" s="345">
        <v>109.2</v>
      </c>
      <c r="R50" s="345">
        <v>27.36</v>
      </c>
      <c r="S50" s="345">
        <v>129.03</v>
      </c>
      <c r="T50" s="345">
        <v>881</v>
      </c>
      <c r="U50" s="345">
        <v>158.46</v>
      </c>
      <c r="V50" s="345">
        <v>507</v>
      </c>
      <c r="W50" s="345">
        <v>145.88999999999999</v>
      </c>
      <c r="X50" s="345">
        <v>13</v>
      </c>
      <c r="Y50" s="345">
        <v>0</v>
      </c>
      <c r="Z50" s="345">
        <v>24</v>
      </c>
      <c r="AA50" s="345">
        <v>3</v>
      </c>
      <c r="AB50" s="345">
        <v>34</v>
      </c>
      <c r="AC50" s="345">
        <v>4</v>
      </c>
      <c r="AD50" s="349">
        <v>4334</v>
      </c>
      <c r="AE50" s="349">
        <v>8</v>
      </c>
      <c r="AF50" s="349">
        <v>18</v>
      </c>
      <c r="AG50" s="349">
        <v>26</v>
      </c>
    </row>
    <row r="51" spans="1:33" x14ac:dyDescent="0.2">
      <c r="A51" s="344" t="s">
        <v>160</v>
      </c>
      <c r="B51" s="350" t="s">
        <v>161</v>
      </c>
      <c r="C51" s="346">
        <v>1053</v>
      </c>
      <c r="D51" s="346">
        <v>0</v>
      </c>
      <c r="E51" s="346">
        <v>92</v>
      </c>
      <c r="F51" s="346">
        <v>120</v>
      </c>
      <c r="G51" s="346">
        <v>83</v>
      </c>
      <c r="H51" s="346">
        <v>1348</v>
      </c>
      <c r="I51" s="345">
        <v>1265</v>
      </c>
      <c r="J51" s="345">
        <v>7</v>
      </c>
      <c r="K51" s="347">
        <v>82.43</v>
      </c>
      <c r="L51" s="347">
        <v>80.47</v>
      </c>
      <c r="M51" s="347">
        <v>7.13</v>
      </c>
      <c r="N51" s="347">
        <v>88.34</v>
      </c>
      <c r="O51" s="348">
        <v>928</v>
      </c>
      <c r="P51" s="345">
        <v>86.7</v>
      </c>
      <c r="Q51" s="345">
        <v>66.680000000000007</v>
      </c>
      <c r="R51" s="345">
        <v>37.93</v>
      </c>
      <c r="S51" s="345">
        <v>121.83</v>
      </c>
      <c r="T51" s="345">
        <v>149</v>
      </c>
      <c r="U51" s="345">
        <v>97.71</v>
      </c>
      <c r="V51" s="345">
        <v>104</v>
      </c>
      <c r="W51" s="345">
        <v>177.73</v>
      </c>
      <c r="X51" s="345">
        <v>29</v>
      </c>
      <c r="Y51" s="345">
        <v>0</v>
      </c>
      <c r="Z51" s="345">
        <v>0</v>
      </c>
      <c r="AA51" s="345">
        <v>2</v>
      </c>
      <c r="AB51" s="345">
        <v>10</v>
      </c>
      <c r="AC51" s="345">
        <v>2</v>
      </c>
      <c r="AD51" s="349">
        <v>1047</v>
      </c>
      <c r="AE51" s="349">
        <v>8</v>
      </c>
      <c r="AF51" s="349">
        <v>5</v>
      </c>
      <c r="AG51" s="349">
        <v>13</v>
      </c>
    </row>
    <row r="52" spans="1:33" x14ac:dyDescent="0.2">
      <c r="A52" s="344" t="s">
        <v>775</v>
      </c>
      <c r="B52" s="350" t="s">
        <v>770</v>
      </c>
      <c r="C52" s="346">
        <v>23439</v>
      </c>
      <c r="D52" s="346">
        <v>29</v>
      </c>
      <c r="E52" s="346">
        <v>961</v>
      </c>
      <c r="F52" s="346">
        <v>3821</v>
      </c>
      <c r="G52" s="346">
        <v>1988</v>
      </c>
      <c r="H52" s="346">
        <v>30238</v>
      </c>
      <c r="I52" s="345">
        <v>28250</v>
      </c>
      <c r="J52" s="345">
        <v>37</v>
      </c>
      <c r="K52" s="347">
        <v>113.24</v>
      </c>
      <c r="L52" s="347">
        <v>114.7</v>
      </c>
      <c r="M52" s="347">
        <v>3.95</v>
      </c>
      <c r="N52" s="347">
        <v>115.66</v>
      </c>
      <c r="O52" s="348">
        <v>21075</v>
      </c>
      <c r="P52" s="345">
        <v>101.13</v>
      </c>
      <c r="Q52" s="345">
        <v>98.64</v>
      </c>
      <c r="R52" s="345">
        <v>23.5</v>
      </c>
      <c r="S52" s="345">
        <v>122.1</v>
      </c>
      <c r="T52" s="345">
        <v>4435</v>
      </c>
      <c r="U52" s="345">
        <v>153.93</v>
      </c>
      <c r="V52" s="345">
        <v>1994</v>
      </c>
      <c r="W52" s="345">
        <v>147.88</v>
      </c>
      <c r="X52" s="345">
        <v>40</v>
      </c>
      <c r="Y52" s="345">
        <v>24</v>
      </c>
      <c r="Z52" s="345">
        <v>67</v>
      </c>
      <c r="AA52" s="345">
        <v>22</v>
      </c>
      <c r="AB52" s="345">
        <v>108</v>
      </c>
      <c r="AC52" s="345">
        <v>70</v>
      </c>
      <c r="AD52" s="349">
        <v>23116</v>
      </c>
      <c r="AE52" s="349">
        <v>67</v>
      </c>
      <c r="AF52" s="349">
        <v>152</v>
      </c>
      <c r="AG52" s="349">
        <v>219</v>
      </c>
    </row>
    <row r="53" spans="1:33" x14ac:dyDescent="0.2">
      <c r="A53" s="344" t="s">
        <v>162</v>
      </c>
      <c r="B53" s="350" t="s">
        <v>163</v>
      </c>
      <c r="C53" s="346">
        <v>4142</v>
      </c>
      <c r="D53" s="346">
        <v>0</v>
      </c>
      <c r="E53" s="346">
        <v>182</v>
      </c>
      <c r="F53" s="346">
        <v>1574</v>
      </c>
      <c r="G53" s="346">
        <v>12</v>
      </c>
      <c r="H53" s="346">
        <v>5910</v>
      </c>
      <c r="I53" s="345">
        <v>5898</v>
      </c>
      <c r="J53" s="345">
        <v>16</v>
      </c>
      <c r="K53" s="347">
        <v>82.9</v>
      </c>
      <c r="L53" s="347">
        <v>79.989999999999995</v>
      </c>
      <c r="M53" s="347">
        <v>2.2799999999999998</v>
      </c>
      <c r="N53" s="347">
        <v>84.97</v>
      </c>
      <c r="O53" s="348">
        <v>3869</v>
      </c>
      <c r="P53" s="345">
        <v>78.180000000000007</v>
      </c>
      <c r="Q53" s="345">
        <v>69.83</v>
      </c>
      <c r="R53" s="345">
        <v>17.079999999999998</v>
      </c>
      <c r="S53" s="345">
        <v>94.85</v>
      </c>
      <c r="T53" s="345">
        <v>1672</v>
      </c>
      <c r="U53" s="345">
        <v>97.8</v>
      </c>
      <c r="V53" s="345">
        <v>266</v>
      </c>
      <c r="W53" s="345">
        <v>87.36</v>
      </c>
      <c r="X53" s="345">
        <v>1</v>
      </c>
      <c r="Y53" s="345">
        <v>0</v>
      </c>
      <c r="Z53" s="345">
        <v>18</v>
      </c>
      <c r="AA53" s="345">
        <v>13</v>
      </c>
      <c r="AB53" s="345">
        <v>0</v>
      </c>
      <c r="AC53" s="345">
        <v>0</v>
      </c>
      <c r="AD53" s="349">
        <v>4142</v>
      </c>
      <c r="AE53" s="349">
        <v>64</v>
      </c>
      <c r="AF53" s="349">
        <v>8</v>
      </c>
      <c r="AG53" s="349">
        <v>72</v>
      </c>
    </row>
    <row r="54" spans="1:33" x14ac:dyDescent="0.2">
      <c r="A54" s="344" t="s">
        <v>164</v>
      </c>
      <c r="B54" s="350" t="s">
        <v>165</v>
      </c>
      <c r="C54" s="346">
        <v>3727</v>
      </c>
      <c r="D54" s="346">
        <v>0</v>
      </c>
      <c r="E54" s="346">
        <v>319</v>
      </c>
      <c r="F54" s="346">
        <v>593</v>
      </c>
      <c r="G54" s="346">
        <v>144</v>
      </c>
      <c r="H54" s="346">
        <v>4783</v>
      </c>
      <c r="I54" s="345">
        <v>4639</v>
      </c>
      <c r="J54" s="345">
        <v>0</v>
      </c>
      <c r="K54" s="347">
        <v>83.88</v>
      </c>
      <c r="L54" s="347">
        <v>83.21</v>
      </c>
      <c r="M54" s="347">
        <v>5.59</v>
      </c>
      <c r="N54" s="347">
        <v>86.97</v>
      </c>
      <c r="O54" s="348">
        <v>3108</v>
      </c>
      <c r="P54" s="345">
        <v>85.54</v>
      </c>
      <c r="Q54" s="345">
        <v>78.650000000000006</v>
      </c>
      <c r="R54" s="345">
        <v>33.700000000000003</v>
      </c>
      <c r="S54" s="345">
        <v>116.83</v>
      </c>
      <c r="T54" s="345">
        <v>742</v>
      </c>
      <c r="U54" s="345">
        <v>105.76</v>
      </c>
      <c r="V54" s="345">
        <v>347</v>
      </c>
      <c r="W54" s="345">
        <v>87.69</v>
      </c>
      <c r="X54" s="345">
        <v>1</v>
      </c>
      <c r="Y54" s="345">
        <v>0</v>
      </c>
      <c r="Z54" s="345">
        <v>7</v>
      </c>
      <c r="AA54" s="345">
        <v>6</v>
      </c>
      <c r="AB54" s="345">
        <v>0</v>
      </c>
      <c r="AC54" s="345">
        <v>1</v>
      </c>
      <c r="AD54" s="349">
        <v>3421</v>
      </c>
      <c r="AE54" s="349">
        <v>13</v>
      </c>
      <c r="AF54" s="349">
        <v>26</v>
      </c>
      <c r="AG54" s="349">
        <v>39</v>
      </c>
    </row>
    <row r="55" spans="1:33" x14ac:dyDescent="0.2">
      <c r="A55" s="344" t="s">
        <v>166</v>
      </c>
      <c r="B55" s="350" t="s">
        <v>167</v>
      </c>
      <c r="C55" s="346">
        <v>12823</v>
      </c>
      <c r="D55" s="346">
        <v>0</v>
      </c>
      <c r="E55" s="346">
        <v>243</v>
      </c>
      <c r="F55" s="346">
        <v>1159</v>
      </c>
      <c r="G55" s="346">
        <v>280</v>
      </c>
      <c r="H55" s="346">
        <v>14505</v>
      </c>
      <c r="I55" s="345">
        <v>14225</v>
      </c>
      <c r="J55" s="345">
        <v>22</v>
      </c>
      <c r="K55" s="347">
        <v>79.36</v>
      </c>
      <c r="L55" s="347">
        <v>81.75</v>
      </c>
      <c r="M55" s="347">
        <v>6.46</v>
      </c>
      <c r="N55" s="347">
        <v>85.51</v>
      </c>
      <c r="O55" s="348">
        <v>12375</v>
      </c>
      <c r="P55" s="345">
        <v>83.4</v>
      </c>
      <c r="Q55" s="345">
        <v>77.290000000000006</v>
      </c>
      <c r="R55" s="345">
        <v>29.42</v>
      </c>
      <c r="S55" s="345">
        <v>112.68</v>
      </c>
      <c r="T55" s="345">
        <v>1281</v>
      </c>
      <c r="U55" s="345">
        <v>97.67</v>
      </c>
      <c r="V55" s="345">
        <v>375</v>
      </c>
      <c r="W55" s="345">
        <v>0</v>
      </c>
      <c r="X55" s="345">
        <v>0</v>
      </c>
      <c r="Y55" s="345">
        <v>0</v>
      </c>
      <c r="Z55" s="345">
        <v>29</v>
      </c>
      <c r="AA55" s="345">
        <v>6</v>
      </c>
      <c r="AB55" s="345">
        <v>5</v>
      </c>
      <c r="AC55" s="345">
        <v>9</v>
      </c>
      <c r="AD55" s="349">
        <v>12797</v>
      </c>
      <c r="AE55" s="349">
        <v>335</v>
      </c>
      <c r="AF55" s="349">
        <v>135</v>
      </c>
      <c r="AG55" s="349">
        <v>470</v>
      </c>
    </row>
    <row r="56" spans="1:33" x14ac:dyDescent="0.2">
      <c r="A56" s="344" t="s">
        <v>168</v>
      </c>
      <c r="B56" s="350" t="s">
        <v>169</v>
      </c>
      <c r="C56" s="346">
        <v>3354</v>
      </c>
      <c r="D56" s="346">
        <v>607</v>
      </c>
      <c r="E56" s="346">
        <v>530</v>
      </c>
      <c r="F56" s="346">
        <v>395</v>
      </c>
      <c r="G56" s="346">
        <v>445</v>
      </c>
      <c r="H56" s="346">
        <v>5331</v>
      </c>
      <c r="I56" s="345">
        <v>4886</v>
      </c>
      <c r="J56" s="345">
        <v>3</v>
      </c>
      <c r="K56" s="347">
        <v>112.14</v>
      </c>
      <c r="L56" s="347">
        <v>113.85</v>
      </c>
      <c r="M56" s="347">
        <v>6.61</v>
      </c>
      <c r="N56" s="347">
        <v>116.59</v>
      </c>
      <c r="O56" s="348">
        <v>2555</v>
      </c>
      <c r="P56" s="345">
        <v>91.23</v>
      </c>
      <c r="Q56" s="345">
        <v>91.09</v>
      </c>
      <c r="R56" s="345">
        <v>52.77</v>
      </c>
      <c r="S56" s="345">
        <v>140.75</v>
      </c>
      <c r="T56" s="345">
        <v>778</v>
      </c>
      <c r="U56" s="345">
        <v>150.71</v>
      </c>
      <c r="V56" s="345">
        <v>424</v>
      </c>
      <c r="W56" s="345">
        <v>142</v>
      </c>
      <c r="X56" s="345">
        <v>19</v>
      </c>
      <c r="Y56" s="345">
        <v>52</v>
      </c>
      <c r="Z56" s="345">
        <v>1</v>
      </c>
      <c r="AA56" s="345">
        <v>4</v>
      </c>
      <c r="AB56" s="345">
        <v>27</v>
      </c>
      <c r="AC56" s="345">
        <v>76</v>
      </c>
      <c r="AD56" s="349">
        <v>3081</v>
      </c>
      <c r="AE56" s="349">
        <v>40</v>
      </c>
      <c r="AF56" s="349">
        <v>17</v>
      </c>
      <c r="AG56" s="349">
        <v>57</v>
      </c>
    </row>
    <row r="57" spans="1:33" x14ac:dyDescent="0.2">
      <c r="A57" s="344" t="s">
        <v>170</v>
      </c>
      <c r="B57" s="350" t="s">
        <v>171</v>
      </c>
      <c r="C57" s="346">
        <v>7933</v>
      </c>
      <c r="D57" s="346">
        <v>716</v>
      </c>
      <c r="E57" s="346">
        <v>1607</v>
      </c>
      <c r="F57" s="346">
        <v>1004</v>
      </c>
      <c r="G57" s="346">
        <v>591</v>
      </c>
      <c r="H57" s="346">
        <v>11851</v>
      </c>
      <c r="I57" s="345">
        <v>11260</v>
      </c>
      <c r="J57" s="345">
        <v>77</v>
      </c>
      <c r="K57" s="347">
        <v>134.18</v>
      </c>
      <c r="L57" s="347">
        <v>141.59</v>
      </c>
      <c r="M57" s="347">
        <v>11.16</v>
      </c>
      <c r="N57" s="347">
        <v>143.24</v>
      </c>
      <c r="O57" s="348">
        <v>6201</v>
      </c>
      <c r="P57" s="345">
        <v>111.79</v>
      </c>
      <c r="Q57" s="345">
        <v>112.8</v>
      </c>
      <c r="R57" s="345">
        <v>55.63</v>
      </c>
      <c r="S57" s="345">
        <v>159.69</v>
      </c>
      <c r="T57" s="345">
        <v>2439</v>
      </c>
      <c r="U57" s="345">
        <v>215.66</v>
      </c>
      <c r="V57" s="345">
        <v>207</v>
      </c>
      <c r="W57" s="345">
        <v>0</v>
      </c>
      <c r="X57" s="345">
        <v>0</v>
      </c>
      <c r="Y57" s="345">
        <v>0</v>
      </c>
      <c r="Z57" s="345">
        <v>3</v>
      </c>
      <c r="AA57" s="345">
        <v>7</v>
      </c>
      <c r="AB57" s="345">
        <v>8</v>
      </c>
      <c r="AC57" s="345">
        <v>32</v>
      </c>
      <c r="AD57" s="349">
        <v>6550</v>
      </c>
      <c r="AE57" s="349">
        <v>43</v>
      </c>
      <c r="AF57" s="349">
        <v>53</v>
      </c>
      <c r="AG57" s="349">
        <v>96</v>
      </c>
    </row>
    <row r="58" spans="1:33" x14ac:dyDescent="0.2">
      <c r="A58" s="344" t="s">
        <v>172</v>
      </c>
      <c r="B58" s="350" t="s">
        <v>173</v>
      </c>
      <c r="C58" s="346">
        <v>1300</v>
      </c>
      <c r="D58" s="346">
        <v>3</v>
      </c>
      <c r="E58" s="346">
        <v>210</v>
      </c>
      <c r="F58" s="346">
        <v>268</v>
      </c>
      <c r="G58" s="346">
        <v>228</v>
      </c>
      <c r="H58" s="346">
        <v>2009</v>
      </c>
      <c r="I58" s="345">
        <v>1781</v>
      </c>
      <c r="J58" s="345">
        <v>7</v>
      </c>
      <c r="K58" s="347">
        <v>91.89</v>
      </c>
      <c r="L58" s="347">
        <v>92.02</v>
      </c>
      <c r="M58" s="347">
        <v>4.8</v>
      </c>
      <c r="N58" s="347">
        <v>95.08</v>
      </c>
      <c r="O58" s="348">
        <v>1140</v>
      </c>
      <c r="P58" s="345">
        <v>86.29</v>
      </c>
      <c r="Q58" s="345">
        <v>86.1</v>
      </c>
      <c r="R58" s="345">
        <v>53.17</v>
      </c>
      <c r="S58" s="345">
        <v>137.72</v>
      </c>
      <c r="T58" s="345">
        <v>337</v>
      </c>
      <c r="U58" s="345">
        <v>111.72</v>
      </c>
      <c r="V58" s="345">
        <v>113</v>
      </c>
      <c r="W58" s="345">
        <v>160.38</v>
      </c>
      <c r="X58" s="345">
        <v>69</v>
      </c>
      <c r="Y58" s="345">
        <v>0</v>
      </c>
      <c r="Z58" s="345">
        <v>1</v>
      </c>
      <c r="AA58" s="345">
        <v>2</v>
      </c>
      <c r="AB58" s="345">
        <v>1</v>
      </c>
      <c r="AC58" s="345">
        <v>10</v>
      </c>
      <c r="AD58" s="349">
        <v>1281</v>
      </c>
      <c r="AE58" s="349">
        <v>6</v>
      </c>
      <c r="AF58" s="349">
        <v>0</v>
      </c>
      <c r="AG58" s="349">
        <v>6</v>
      </c>
    </row>
    <row r="59" spans="1:33" x14ac:dyDescent="0.2">
      <c r="A59" s="344" t="s">
        <v>174</v>
      </c>
      <c r="B59" s="350" t="s">
        <v>175</v>
      </c>
      <c r="C59" s="346">
        <v>1937</v>
      </c>
      <c r="D59" s="346">
        <v>0</v>
      </c>
      <c r="E59" s="346">
        <v>127</v>
      </c>
      <c r="F59" s="346">
        <v>380</v>
      </c>
      <c r="G59" s="346">
        <v>423</v>
      </c>
      <c r="H59" s="346">
        <v>2867</v>
      </c>
      <c r="I59" s="345">
        <v>2444</v>
      </c>
      <c r="J59" s="345">
        <v>0</v>
      </c>
      <c r="K59" s="347">
        <v>105.64</v>
      </c>
      <c r="L59" s="347">
        <v>106.93</v>
      </c>
      <c r="M59" s="347">
        <v>7.7</v>
      </c>
      <c r="N59" s="347">
        <v>111.98</v>
      </c>
      <c r="O59" s="348">
        <v>1378</v>
      </c>
      <c r="P59" s="345">
        <v>85.22</v>
      </c>
      <c r="Q59" s="345">
        <v>82.87</v>
      </c>
      <c r="R59" s="345">
        <v>47.77</v>
      </c>
      <c r="S59" s="345">
        <v>132.71</v>
      </c>
      <c r="T59" s="345">
        <v>497</v>
      </c>
      <c r="U59" s="345">
        <v>147.09</v>
      </c>
      <c r="V59" s="345">
        <v>270</v>
      </c>
      <c r="W59" s="345">
        <v>0</v>
      </c>
      <c r="X59" s="345">
        <v>0</v>
      </c>
      <c r="Y59" s="345">
        <v>0</v>
      </c>
      <c r="Z59" s="345">
        <v>7</v>
      </c>
      <c r="AA59" s="345">
        <v>2</v>
      </c>
      <c r="AB59" s="345">
        <v>4</v>
      </c>
      <c r="AC59" s="345">
        <v>10</v>
      </c>
      <c r="AD59" s="349">
        <v>1752</v>
      </c>
      <c r="AE59" s="349">
        <v>2</v>
      </c>
      <c r="AF59" s="349">
        <v>14</v>
      </c>
      <c r="AG59" s="349">
        <v>16</v>
      </c>
    </row>
    <row r="60" spans="1:33" x14ac:dyDescent="0.2">
      <c r="A60" s="344" t="s">
        <v>176</v>
      </c>
      <c r="B60" s="350" t="s">
        <v>177</v>
      </c>
      <c r="C60" s="346">
        <v>6971</v>
      </c>
      <c r="D60" s="346">
        <v>0</v>
      </c>
      <c r="E60" s="346">
        <v>242</v>
      </c>
      <c r="F60" s="346">
        <v>344</v>
      </c>
      <c r="G60" s="346">
        <v>353</v>
      </c>
      <c r="H60" s="346">
        <v>7910</v>
      </c>
      <c r="I60" s="345">
        <v>7557</v>
      </c>
      <c r="J60" s="345">
        <v>5</v>
      </c>
      <c r="K60" s="347">
        <v>85.14</v>
      </c>
      <c r="L60" s="347">
        <v>85.03</v>
      </c>
      <c r="M60" s="347">
        <v>2.94</v>
      </c>
      <c r="N60" s="347">
        <v>86.6</v>
      </c>
      <c r="O60" s="348">
        <v>6167</v>
      </c>
      <c r="P60" s="345">
        <v>81.63</v>
      </c>
      <c r="Q60" s="345">
        <v>78.27</v>
      </c>
      <c r="R60" s="345">
        <v>28.86</v>
      </c>
      <c r="S60" s="345">
        <v>105.53</v>
      </c>
      <c r="T60" s="345">
        <v>506</v>
      </c>
      <c r="U60" s="345">
        <v>93.31</v>
      </c>
      <c r="V60" s="345">
        <v>789</v>
      </c>
      <c r="W60" s="345">
        <v>93.13</v>
      </c>
      <c r="X60" s="345">
        <v>4</v>
      </c>
      <c r="Y60" s="345">
        <v>0</v>
      </c>
      <c r="Z60" s="345">
        <v>27</v>
      </c>
      <c r="AA60" s="345">
        <v>8</v>
      </c>
      <c r="AB60" s="345">
        <v>0</v>
      </c>
      <c r="AC60" s="345">
        <v>2</v>
      </c>
      <c r="AD60" s="349">
        <v>6961</v>
      </c>
      <c r="AE60" s="349">
        <v>68</v>
      </c>
      <c r="AF60" s="349">
        <v>31</v>
      </c>
      <c r="AG60" s="349">
        <v>99</v>
      </c>
    </row>
    <row r="61" spans="1:33" x14ac:dyDescent="0.2">
      <c r="A61" s="344" t="s">
        <v>178</v>
      </c>
      <c r="B61" s="350" t="s">
        <v>179</v>
      </c>
      <c r="C61" s="346">
        <v>442</v>
      </c>
      <c r="D61" s="346">
        <v>0</v>
      </c>
      <c r="E61" s="346">
        <v>52</v>
      </c>
      <c r="F61" s="346">
        <v>73</v>
      </c>
      <c r="G61" s="346">
        <v>85</v>
      </c>
      <c r="H61" s="346">
        <v>652</v>
      </c>
      <c r="I61" s="345">
        <v>567</v>
      </c>
      <c r="J61" s="345">
        <v>0</v>
      </c>
      <c r="K61" s="347">
        <v>109.72</v>
      </c>
      <c r="L61" s="347">
        <v>107.16</v>
      </c>
      <c r="M61" s="347">
        <v>6.08</v>
      </c>
      <c r="N61" s="347">
        <v>113.28</v>
      </c>
      <c r="O61" s="348">
        <v>381</v>
      </c>
      <c r="P61" s="345">
        <v>88.77</v>
      </c>
      <c r="Q61" s="345">
        <v>85.42</v>
      </c>
      <c r="R61" s="345">
        <v>54.71</v>
      </c>
      <c r="S61" s="345">
        <v>142.47999999999999</v>
      </c>
      <c r="T61" s="345">
        <v>109</v>
      </c>
      <c r="U61" s="345">
        <v>143.61000000000001</v>
      </c>
      <c r="V61" s="345">
        <v>49</v>
      </c>
      <c r="W61" s="345">
        <v>0</v>
      </c>
      <c r="X61" s="345">
        <v>0</v>
      </c>
      <c r="Y61" s="345">
        <v>12</v>
      </c>
      <c r="Z61" s="345">
        <v>0</v>
      </c>
      <c r="AA61" s="345">
        <v>18</v>
      </c>
      <c r="AB61" s="345">
        <v>3</v>
      </c>
      <c r="AC61" s="345">
        <v>0</v>
      </c>
      <c r="AD61" s="349">
        <v>442</v>
      </c>
      <c r="AE61" s="349">
        <v>1</v>
      </c>
      <c r="AF61" s="349">
        <v>0</v>
      </c>
      <c r="AG61" s="349">
        <v>1</v>
      </c>
    </row>
    <row r="62" spans="1:33" x14ac:dyDescent="0.2">
      <c r="A62" s="344" t="s">
        <v>180</v>
      </c>
      <c r="B62" s="350" t="s">
        <v>181</v>
      </c>
      <c r="C62" s="346">
        <v>7855</v>
      </c>
      <c r="D62" s="346">
        <v>0</v>
      </c>
      <c r="E62" s="346">
        <v>242</v>
      </c>
      <c r="F62" s="346">
        <v>1821</v>
      </c>
      <c r="G62" s="346">
        <v>1263</v>
      </c>
      <c r="H62" s="346">
        <v>11181</v>
      </c>
      <c r="I62" s="345">
        <v>9918</v>
      </c>
      <c r="J62" s="345">
        <v>15</v>
      </c>
      <c r="K62" s="347">
        <v>106.57</v>
      </c>
      <c r="L62" s="347">
        <v>107.42</v>
      </c>
      <c r="M62" s="347">
        <v>4.46</v>
      </c>
      <c r="N62" s="347">
        <v>107.93</v>
      </c>
      <c r="O62" s="348">
        <v>7173</v>
      </c>
      <c r="P62" s="345">
        <v>88.75</v>
      </c>
      <c r="Q62" s="345">
        <v>88.5</v>
      </c>
      <c r="R62" s="345">
        <v>23.12</v>
      </c>
      <c r="S62" s="345">
        <v>97.11</v>
      </c>
      <c r="T62" s="345">
        <v>1963</v>
      </c>
      <c r="U62" s="345">
        <v>136.41</v>
      </c>
      <c r="V62" s="345">
        <v>514</v>
      </c>
      <c r="W62" s="345">
        <v>91.71</v>
      </c>
      <c r="X62" s="345">
        <v>17</v>
      </c>
      <c r="Y62" s="345">
        <v>0</v>
      </c>
      <c r="Z62" s="345">
        <v>9</v>
      </c>
      <c r="AA62" s="345">
        <v>3</v>
      </c>
      <c r="AB62" s="345">
        <v>65</v>
      </c>
      <c r="AC62" s="345">
        <v>62</v>
      </c>
      <c r="AD62" s="349">
        <v>7750</v>
      </c>
      <c r="AE62" s="349">
        <v>42</v>
      </c>
      <c r="AF62" s="349">
        <v>8</v>
      </c>
      <c r="AG62" s="349">
        <v>50</v>
      </c>
    </row>
    <row r="63" spans="1:33" x14ac:dyDescent="0.2">
      <c r="A63" s="344" t="s">
        <v>182</v>
      </c>
      <c r="B63" s="350" t="s">
        <v>183</v>
      </c>
      <c r="C63" s="346">
        <v>2649</v>
      </c>
      <c r="D63" s="346">
        <v>0</v>
      </c>
      <c r="E63" s="346">
        <v>199</v>
      </c>
      <c r="F63" s="346">
        <v>297</v>
      </c>
      <c r="G63" s="346">
        <v>488</v>
      </c>
      <c r="H63" s="346">
        <v>3633</v>
      </c>
      <c r="I63" s="345">
        <v>3145</v>
      </c>
      <c r="J63" s="345">
        <v>1</v>
      </c>
      <c r="K63" s="347">
        <v>94.03</v>
      </c>
      <c r="L63" s="347">
        <v>92.54</v>
      </c>
      <c r="M63" s="347">
        <v>5.96</v>
      </c>
      <c r="N63" s="347">
        <v>98.53</v>
      </c>
      <c r="O63" s="348">
        <v>2273</v>
      </c>
      <c r="P63" s="345">
        <v>88.33</v>
      </c>
      <c r="Q63" s="345">
        <v>81.540000000000006</v>
      </c>
      <c r="R63" s="345">
        <v>47.7</v>
      </c>
      <c r="S63" s="345">
        <v>133.72</v>
      </c>
      <c r="T63" s="345">
        <v>454</v>
      </c>
      <c r="U63" s="345">
        <v>106.65</v>
      </c>
      <c r="V63" s="345">
        <v>306</v>
      </c>
      <c r="W63" s="345">
        <v>0</v>
      </c>
      <c r="X63" s="345">
        <v>0</v>
      </c>
      <c r="Y63" s="345">
        <v>0</v>
      </c>
      <c r="Z63" s="345">
        <v>1</v>
      </c>
      <c r="AA63" s="345">
        <v>22</v>
      </c>
      <c r="AB63" s="345">
        <v>51</v>
      </c>
      <c r="AC63" s="345">
        <v>17</v>
      </c>
      <c r="AD63" s="349">
        <v>2649</v>
      </c>
      <c r="AE63" s="349">
        <v>15</v>
      </c>
      <c r="AF63" s="349">
        <v>13</v>
      </c>
      <c r="AG63" s="349">
        <v>28</v>
      </c>
    </row>
    <row r="64" spans="1:33" x14ac:dyDescent="0.2">
      <c r="A64" s="344" t="s">
        <v>184</v>
      </c>
      <c r="B64" s="350" t="s">
        <v>185</v>
      </c>
      <c r="C64" s="346">
        <v>7079</v>
      </c>
      <c r="D64" s="346">
        <v>250</v>
      </c>
      <c r="E64" s="346">
        <v>1215</v>
      </c>
      <c r="F64" s="346">
        <v>1520</v>
      </c>
      <c r="G64" s="346">
        <v>412</v>
      </c>
      <c r="H64" s="346">
        <v>10476</v>
      </c>
      <c r="I64" s="345">
        <v>10064</v>
      </c>
      <c r="J64" s="345">
        <v>1</v>
      </c>
      <c r="K64" s="347">
        <v>107.07</v>
      </c>
      <c r="L64" s="347">
        <v>107.24</v>
      </c>
      <c r="M64" s="347">
        <v>6.12</v>
      </c>
      <c r="N64" s="347">
        <v>109.86</v>
      </c>
      <c r="O64" s="348">
        <v>6552</v>
      </c>
      <c r="P64" s="345">
        <v>92</v>
      </c>
      <c r="Q64" s="345">
        <v>91.52</v>
      </c>
      <c r="R64" s="345">
        <v>25.81</v>
      </c>
      <c r="S64" s="345">
        <v>109.15</v>
      </c>
      <c r="T64" s="345">
        <v>2647</v>
      </c>
      <c r="U64" s="345">
        <v>132.49</v>
      </c>
      <c r="V64" s="345">
        <v>372</v>
      </c>
      <c r="W64" s="345">
        <v>0</v>
      </c>
      <c r="X64" s="345">
        <v>0</v>
      </c>
      <c r="Y64" s="345">
        <v>0</v>
      </c>
      <c r="Z64" s="345">
        <v>7</v>
      </c>
      <c r="AA64" s="345">
        <v>18</v>
      </c>
      <c r="AB64" s="345">
        <v>38</v>
      </c>
      <c r="AC64" s="345">
        <v>13</v>
      </c>
      <c r="AD64" s="349">
        <v>7071</v>
      </c>
      <c r="AE64" s="349">
        <v>32</v>
      </c>
      <c r="AF64" s="349">
        <v>12</v>
      </c>
      <c r="AG64" s="349">
        <v>44</v>
      </c>
    </row>
    <row r="65" spans="1:33" x14ac:dyDescent="0.2">
      <c r="A65" s="344" t="s">
        <v>186</v>
      </c>
      <c r="B65" s="350" t="s">
        <v>187</v>
      </c>
      <c r="C65" s="346">
        <v>1700</v>
      </c>
      <c r="D65" s="346">
        <v>11</v>
      </c>
      <c r="E65" s="346">
        <v>443</v>
      </c>
      <c r="F65" s="346">
        <v>242</v>
      </c>
      <c r="G65" s="346">
        <v>321</v>
      </c>
      <c r="H65" s="346">
        <v>2717</v>
      </c>
      <c r="I65" s="345">
        <v>2396</v>
      </c>
      <c r="J65" s="345">
        <v>0</v>
      </c>
      <c r="K65" s="347">
        <v>96.9</v>
      </c>
      <c r="L65" s="347">
        <v>95.2</v>
      </c>
      <c r="M65" s="347">
        <v>5.34</v>
      </c>
      <c r="N65" s="347">
        <v>100.84</v>
      </c>
      <c r="O65" s="348">
        <v>1452</v>
      </c>
      <c r="P65" s="345">
        <v>85.75</v>
      </c>
      <c r="Q65" s="345">
        <v>83.57</v>
      </c>
      <c r="R65" s="345">
        <v>46.43</v>
      </c>
      <c r="S65" s="345">
        <v>121.94</v>
      </c>
      <c r="T65" s="345">
        <v>535</v>
      </c>
      <c r="U65" s="345">
        <v>132.9</v>
      </c>
      <c r="V65" s="345">
        <v>164</v>
      </c>
      <c r="W65" s="345">
        <v>202.97</v>
      </c>
      <c r="X65" s="345">
        <v>110</v>
      </c>
      <c r="Y65" s="345">
        <v>0</v>
      </c>
      <c r="Z65" s="345">
        <v>1</v>
      </c>
      <c r="AA65" s="345">
        <v>27</v>
      </c>
      <c r="AB65" s="345">
        <v>9</v>
      </c>
      <c r="AC65" s="345">
        <v>9</v>
      </c>
      <c r="AD65" s="349">
        <v>1577</v>
      </c>
      <c r="AE65" s="349">
        <v>10</v>
      </c>
      <c r="AF65" s="349">
        <v>1</v>
      </c>
      <c r="AG65" s="349">
        <v>11</v>
      </c>
    </row>
    <row r="66" spans="1:33" x14ac:dyDescent="0.2">
      <c r="A66" s="344" t="s">
        <v>188</v>
      </c>
      <c r="B66" s="350" t="s">
        <v>189</v>
      </c>
      <c r="C66" s="346">
        <v>5904</v>
      </c>
      <c r="D66" s="346">
        <v>10</v>
      </c>
      <c r="E66" s="346">
        <v>210</v>
      </c>
      <c r="F66" s="346">
        <v>1485</v>
      </c>
      <c r="G66" s="346">
        <v>503</v>
      </c>
      <c r="H66" s="346">
        <v>8112</v>
      </c>
      <c r="I66" s="345">
        <v>7609</v>
      </c>
      <c r="J66" s="345">
        <v>1</v>
      </c>
      <c r="K66" s="347">
        <v>107.69</v>
      </c>
      <c r="L66" s="347">
        <v>107.66</v>
      </c>
      <c r="M66" s="347">
        <v>6.02</v>
      </c>
      <c r="N66" s="347">
        <v>109.38</v>
      </c>
      <c r="O66" s="348">
        <v>5079</v>
      </c>
      <c r="P66" s="345">
        <v>97.85</v>
      </c>
      <c r="Q66" s="345">
        <v>97.55</v>
      </c>
      <c r="R66" s="345">
        <v>21.31</v>
      </c>
      <c r="S66" s="345">
        <v>117.08</v>
      </c>
      <c r="T66" s="345">
        <v>1571</v>
      </c>
      <c r="U66" s="345">
        <v>153.18</v>
      </c>
      <c r="V66" s="345">
        <v>718</v>
      </c>
      <c r="W66" s="345">
        <v>199.51</v>
      </c>
      <c r="X66" s="345">
        <v>95</v>
      </c>
      <c r="Y66" s="345">
        <v>0</v>
      </c>
      <c r="Z66" s="345">
        <v>14</v>
      </c>
      <c r="AA66" s="345">
        <v>0</v>
      </c>
      <c r="AB66" s="345">
        <v>74</v>
      </c>
      <c r="AC66" s="345">
        <v>14</v>
      </c>
      <c r="AD66" s="349">
        <v>5829</v>
      </c>
      <c r="AE66" s="349">
        <v>27</v>
      </c>
      <c r="AF66" s="349">
        <v>30</v>
      </c>
      <c r="AG66" s="349">
        <v>57</v>
      </c>
    </row>
    <row r="67" spans="1:33" x14ac:dyDescent="0.2">
      <c r="A67" s="344" t="s">
        <v>190</v>
      </c>
      <c r="B67" s="350" t="s">
        <v>191</v>
      </c>
      <c r="C67" s="346">
        <v>14787</v>
      </c>
      <c r="D67" s="346">
        <v>0</v>
      </c>
      <c r="E67" s="346">
        <v>1723</v>
      </c>
      <c r="F67" s="346">
        <v>3420</v>
      </c>
      <c r="G67" s="346">
        <v>714</v>
      </c>
      <c r="H67" s="346">
        <v>20644</v>
      </c>
      <c r="I67" s="345">
        <v>19930</v>
      </c>
      <c r="J67" s="345">
        <v>18</v>
      </c>
      <c r="K67" s="347">
        <v>92.6</v>
      </c>
      <c r="L67" s="347">
        <v>94.55</v>
      </c>
      <c r="M67" s="347">
        <v>5.95</v>
      </c>
      <c r="N67" s="347">
        <v>94.62</v>
      </c>
      <c r="O67" s="348">
        <v>12156</v>
      </c>
      <c r="P67" s="345">
        <v>87.67</v>
      </c>
      <c r="Q67" s="345">
        <v>88.62</v>
      </c>
      <c r="R67" s="345">
        <v>36.619999999999997</v>
      </c>
      <c r="S67" s="345">
        <v>101.94</v>
      </c>
      <c r="T67" s="345">
        <v>4795</v>
      </c>
      <c r="U67" s="345">
        <v>111.85</v>
      </c>
      <c r="V67" s="345">
        <v>2572</v>
      </c>
      <c r="W67" s="345">
        <v>106.97</v>
      </c>
      <c r="X67" s="345">
        <v>134</v>
      </c>
      <c r="Y67" s="345">
        <v>0</v>
      </c>
      <c r="Z67" s="345">
        <v>54</v>
      </c>
      <c r="AA67" s="345">
        <v>34</v>
      </c>
      <c r="AB67" s="345">
        <v>102</v>
      </c>
      <c r="AC67" s="345">
        <v>19</v>
      </c>
      <c r="AD67" s="349">
        <v>14783</v>
      </c>
      <c r="AE67" s="349">
        <v>85</v>
      </c>
      <c r="AF67" s="349">
        <v>55</v>
      </c>
      <c r="AG67" s="349">
        <v>140</v>
      </c>
    </row>
    <row r="68" spans="1:33" x14ac:dyDescent="0.2">
      <c r="A68" s="344" t="s">
        <v>192</v>
      </c>
      <c r="B68" s="350" t="s">
        <v>193</v>
      </c>
      <c r="C68" s="345">
        <v>11900</v>
      </c>
      <c r="D68" s="345">
        <v>44</v>
      </c>
      <c r="E68" s="345">
        <v>577</v>
      </c>
      <c r="F68" s="345">
        <v>5067</v>
      </c>
      <c r="G68" s="345">
        <v>1143</v>
      </c>
      <c r="H68" s="345">
        <v>18731</v>
      </c>
      <c r="I68" s="345">
        <v>17588</v>
      </c>
      <c r="J68" s="345">
        <v>10</v>
      </c>
      <c r="K68" s="345">
        <v>95.12</v>
      </c>
      <c r="L68" s="345">
        <v>97.63</v>
      </c>
      <c r="M68" s="345">
        <v>4.84</v>
      </c>
      <c r="N68" s="345">
        <v>96.72</v>
      </c>
      <c r="O68" s="348">
        <v>10281</v>
      </c>
      <c r="P68" s="345">
        <v>87.42</v>
      </c>
      <c r="Q68" s="345">
        <v>88.1</v>
      </c>
      <c r="R68" s="345">
        <v>21.86</v>
      </c>
      <c r="S68" s="345">
        <v>100.11</v>
      </c>
      <c r="T68" s="345">
        <v>5003</v>
      </c>
      <c r="U68" s="345">
        <v>113.33</v>
      </c>
      <c r="V68" s="345">
        <v>1407</v>
      </c>
      <c r="W68" s="345">
        <v>145.96</v>
      </c>
      <c r="X68" s="345">
        <v>394</v>
      </c>
      <c r="Y68" s="345">
        <v>0</v>
      </c>
      <c r="Z68" s="345">
        <v>45</v>
      </c>
      <c r="AA68" s="345">
        <v>22</v>
      </c>
      <c r="AB68" s="345">
        <v>66</v>
      </c>
      <c r="AC68" s="345">
        <v>18</v>
      </c>
      <c r="AD68" s="345">
        <v>11793</v>
      </c>
      <c r="AE68" s="345">
        <v>64</v>
      </c>
      <c r="AF68" s="345">
        <v>18</v>
      </c>
      <c r="AG68" s="345">
        <v>82</v>
      </c>
    </row>
    <row r="69" spans="1:33" x14ac:dyDescent="0.2">
      <c r="A69" s="344" t="s">
        <v>194</v>
      </c>
      <c r="B69" s="350" t="s">
        <v>195</v>
      </c>
      <c r="C69" s="345">
        <v>802</v>
      </c>
      <c r="D69" s="345">
        <v>0</v>
      </c>
      <c r="E69" s="345">
        <v>141</v>
      </c>
      <c r="F69" s="345">
        <v>538</v>
      </c>
      <c r="G69" s="345">
        <v>89</v>
      </c>
      <c r="H69" s="345">
        <v>1570</v>
      </c>
      <c r="I69" s="345">
        <v>1481</v>
      </c>
      <c r="J69" s="345">
        <v>0</v>
      </c>
      <c r="K69" s="345">
        <v>88.99</v>
      </c>
      <c r="L69" s="347">
        <v>87.93</v>
      </c>
      <c r="M69" s="347">
        <v>6.37</v>
      </c>
      <c r="N69" s="347">
        <v>92</v>
      </c>
      <c r="O69" s="348">
        <v>655</v>
      </c>
      <c r="P69" s="345">
        <v>91.03</v>
      </c>
      <c r="Q69" s="345">
        <v>91</v>
      </c>
      <c r="R69" s="345">
        <v>24.99</v>
      </c>
      <c r="S69" s="345">
        <v>113.7</v>
      </c>
      <c r="T69" s="345">
        <v>624</v>
      </c>
      <c r="U69" s="345">
        <v>95.71</v>
      </c>
      <c r="V69" s="345">
        <v>50</v>
      </c>
      <c r="W69" s="345">
        <v>0</v>
      </c>
      <c r="X69" s="345">
        <v>0</v>
      </c>
      <c r="Y69" s="345">
        <v>0</v>
      </c>
      <c r="Z69" s="345">
        <v>1</v>
      </c>
      <c r="AA69" s="345">
        <v>6</v>
      </c>
      <c r="AB69" s="345">
        <v>4</v>
      </c>
      <c r="AC69" s="345">
        <v>4</v>
      </c>
      <c r="AD69" s="345">
        <v>705</v>
      </c>
      <c r="AE69" s="345">
        <v>12</v>
      </c>
      <c r="AF69" s="345">
        <v>3</v>
      </c>
      <c r="AG69" s="345">
        <v>15</v>
      </c>
    </row>
    <row r="70" spans="1:33" ht="15" x14ac:dyDescent="0.25">
      <c r="A70" s="351" t="s">
        <v>196</v>
      </c>
      <c r="B70" s="351" t="s">
        <v>197</v>
      </c>
      <c r="C70" s="345">
        <v>6942</v>
      </c>
      <c r="D70" s="345">
        <v>0</v>
      </c>
      <c r="E70" s="345">
        <v>178</v>
      </c>
      <c r="F70" s="345">
        <v>735</v>
      </c>
      <c r="G70" s="345">
        <v>442</v>
      </c>
      <c r="H70" s="345">
        <v>8297</v>
      </c>
      <c r="I70" s="345">
        <v>7855</v>
      </c>
      <c r="J70" s="345">
        <v>2</v>
      </c>
      <c r="K70" s="352">
        <v>114.65</v>
      </c>
      <c r="L70" s="352">
        <v>116.22</v>
      </c>
      <c r="M70" s="352">
        <v>7.2</v>
      </c>
      <c r="N70" s="352">
        <v>118.09</v>
      </c>
      <c r="O70" s="345">
        <v>6334</v>
      </c>
      <c r="P70" s="352">
        <v>94.77</v>
      </c>
      <c r="Q70" s="352">
        <v>96.98</v>
      </c>
      <c r="R70" s="352">
        <v>33.96</v>
      </c>
      <c r="S70" s="352">
        <v>127.87</v>
      </c>
      <c r="T70" s="345">
        <v>712</v>
      </c>
      <c r="U70" s="352">
        <v>152.94</v>
      </c>
      <c r="V70" s="345">
        <v>557</v>
      </c>
      <c r="W70" s="352">
        <v>0</v>
      </c>
      <c r="X70" s="345">
        <v>0</v>
      </c>
      <c r="Y70" s="345">
        <v>2</v>
      </c>
      <c r="Z70" s="345">
        <v>12</v>
      </c>
      <c r="AA70" s="345">
        <v>3</v>
      </c>
      <c r="AB70" s="345">
        <v>69</v>
      </c>
      <c r="AC70" s="345">
        <v>13</v>
      </c>
      <c r="AD70" s="345">
        <v>6890</v>
      </c>
      <c r="AE70" s="345">
        <v>123</v>
      </c>
      <c r="AF70" s="345">
        <v>34</v>
      </c>
      <c r="AG70" s="345">
        <v>157</v>
      </c>
    </row>
    <row r="71" spans="1:33" x14ac:dyDescent="0.2">
      <c r="A71" s="344" t="s">
        <v>198</v>
      </c>
      <c r="B71" s="350" t="s">
        <v>199</v>
      </c>
      <c r="C71" s="346">
        <v>5646</v>
      </c>
      <c r="D71" s="346">
        <v>1</v>
      </c>
      <c r="E71" s="346">
        <v>305</v>
      </c>
      <c r="F71" s="346">
        <v>652</v>
      </c>
      <c r="G71" s="346">
        <v>286</v>
      </c>
      <c r="H71" s="346">
        <v>6890</v>
      </c>
      <c r="I71" s="345">
        <v>6604</v>
      </c>
      <c r="J71" s="345">
        <v>85</v>
      </c>
      <c r="K71" s="347">
        <v>82.47</v>
      </c>
      <c r="L71" s="347">
        <v>79.930000000000007</v>
      </c>
      <c r="M71" s="347">
        <v>5.04</v>
      </c>
      <c r="N71" s="347">
        <v>85.89</v>
      </c>
      <c r="O71" s="348">
        <v>5239</v>
      </c>
      <c r="P71" s="345">
        <v>86.68</v>
      </c>
      <c r="Q71" s="345">
        <v>69.84</v>
      </c>
      <c r="R71" s="345">
        <v>22.69</v>
      </c>
      <c r="S71" s="345">
        <v>108.93</v>
      </c>
      <c r="T71" s="345">
        <v>887</v>
      </c>
      <c r="U71" s="345">
        <v>103.95</v>
      </c>
      <c r="V71" s="345">
        <v>384</v>
      </c>
      <c r="W71" s="345">
        <v>0</v>
      </c>
      <c r="X71" s="345">
        <v>0</v>
      </c>
      <c r="Y71" s="345">
        <v>0</v>
      </c>
      <c r="Z71" s="345">
        <v>11</v>
      </c>
      <c r="AA71" s="345">
        <v>1</v>
      </c>
      <c r="AB71" s="345">
        <v>26</v>
      </c>
      <c r="AC71" s="345">
        <v>1</v>
      </c>
      <c r="AD71" s="349">
        <v>5639</v>
      </c>
      <c r="AE71" s="349">
        <v>32</v>
      </c>
      <c r="AF71" s="349">
        <v>6</v>
      </c>
      <c r="AG71" s="349">
        <v>38</v>
      </c>
    </row>
    <row r="72" spans="1:33" x14ac:dyDescent="0.2">
      <c r="A72" s="344" t="s">
        <v>200</v>
      </c>
      <c r="B72" s="350" t="s">
        <v>201</v>
      </c>
      <c r="C72" s="346">
        <v>194</v>
      </c>
      <c r="D72" s="346">
        <v>0</v>
      </c>
      <c r="E72" s="346">
        <v>20</v>
      </c>
      <c r="F72" s="346">
        <v>18</v>
      </c>
      <c r="G72" s="346">
        <v>0</v>
      </c>
      <c r="H72" s="346">
        <v>232</v>
      </c>
      <c r="I72" s="345">
        <v>232</v>
      </c>
      <c r="J72" s="345">
        <v>0</v>
      </c>
      <c r="K72" s="347">
        <v>126.67</v>
      </c>
      <c r="L72" s="347">
        <v>134.35</v>
      </c>
      <c r="M72" s="347">
        <v>11.16</v>
      </c>
      <c r="N72" s="347">
        <v>137.83000000000001</v>
      </c>
      <c r="O72" s="348">
        <v>173</v>
      </c>
      <c r="P72" s="345">
        <v>109.3</v>
      </c>
      <c r="Q72" s="345">
        <v>122.86</v>
      </c>
      <c r="R72" s="345">
        <v>33.869999999999997</v>
      </c>
      <c r="S72" s="345">
        <v>143.16999999999999</v>
      </c>
      <c r="T72" s="345">
        <v>18</v>
      </c>
      <c r="U72" s="345">
        <v>232.57</v>
      </c>
      <c r="V72" s="345">
        <v>21</v>
      </c>
      <c r="W72" s="345">
        <v>0</v>
      </c>
      <c r="X72" s="345">
        <v>0</v>
      </c>
      <c r="Y72" s="345">
        <v>0</v>
      </c>
      <c r="Z72" s="345">
        <v>0</v>
      </c>
      <c r="AA72" s="345">
        <v>0</v>
      </c>
      <c r="AB72" s="345">
        <v>0</v>
      </c>
      <c r="AC72" s="345">
        <v>0</v>
      </c>
      <c r="AD72" s="349">
        <v>194</v>
      </c>
      <c r="AE72" s="349">
        <v>1</v>
      </c>
      <c r="AF72" s="349">
        <v>0</v>
      </c>
      <c r="AG72" s="349">
        <v>1</v>
      </c>
    </row>
    <row r="73" spans="1:33" x14ac:dyDescent="0.2">
      <c r="A73" s="344" t="s">
        <v>202</v>
      </c>
      <c r="B73" s="350" t="s">
        <v>203</v>
      </c>
      <c r="C73" s="346">
        <v>3796</v>
      </c>
      <c r="D73" s="346">
        <v>184</v>
      </c>
      <c r="E73" s="346">
        <v>575</v>
      </c>
      <c r="F73" s="346">
        <v>348</v>
      </c>
      <c r="G73" s="346">
        <v>273</v>
      </c>
      <c r="H73" s="346">
        <v>5176</v>
      </c>
      <c r="I73" s="345">
        <v>4903</v>
      </c>
      <c r="J73" s="345">
        <v>6</v>
      </c>
      <c r="K73" s="347">
        <v>105.25</v>
      </c>
      <c r="L73" s="347">
        <v>105.24</v>
      </c>
      <c r="M73" s="347">
        <v>5.19</v>
      </c>
      <c r="N73" s="347">
        <v>109.41</v>
      </c>
      <c r="O73" s="348">
        <v>2888</v>
      </c>
      <c r="P73" s="345">
        <v>94.47</v>
      </c>
      <c r="Q73" s="345">
        <v>88.18</v>
      </c>
      <c r="R73" s="345">
        <v>36.299999999999997</v>
      </c>
      <c r="S73" s="345">
        <v>128.49</v>
      </c>
      <c r="T73" s="345">
        <v>605</v>
      </c>
      <c r="U73" s="345">
        <v>133.68</v>
      </c>
      <c r="V73" s="345">
        <v>642</v>
      </c>
      <c r="W73" s="345">
        <v>111.61</v>
      </c>
      <c r="X73" s="345">
        <v>34</v>
      </c>
      <c r="Y73" s="345">
        <v>0</v>
      </c>
      <c r="Z73" s="345">
        <v>2</v>
      </c>
      <c r="AA73" s="345">
        <v>4</v>
      </c>
      <c r="AB73" s="345">
        <v>3</v>
      </c>
      <c r="AC73" s="345">
        <v>7</v>
      </c>
      <c r="AD73" s="349">
        <v>3735</v>
      </c>
      <c r="AE73" s="349">
        <v>15</v>
      </c>
      <c r="AF73" s="349">
        <v>3</v>
      </c>
      <c r="AG73" s="349">
        <v>18</v>
      </c>
    </row>
    <row r="74" spans="1:33" x14ac:dyDescent="0.2">
      <c r="A74" s="344" t="s">
        <v>204</v>
      </c>
      <c r="B74" s="350" t="s">
        <v>205</v>
      </c>
      <c r="C74" s="346">
        <v>5673</v>
      </c>
      <c r="D74" s="346">
        <v>27</v>
      </c>
      <c r="E74" s="346">
        <v>79</v>
      </c>
      <c r="F74" s="346">
        <v>307</v>
      </c>
      <c r="G74" s="346">
        <v>46</v>
      </c>
      <c r="H74" s="346">
        <v>6132</v>
      </c>
      <c r="I74" s="345">
        <v>6086</v>
      </c>
      <c r="J74" s="345">
        <v>12</v>
      </c>
      <c r="K74" s="347">
        <v>86.62</v>
      </c>
      <c r="L74" s="347">
        <v>88.05</v>
      </c>
      <c r="M74" s="347">
        <v>1.2</v>
      </c>
      <c r="N74" s="347">
        <v>87.59</v>
      </c>
      <c r="O74" s="348">
        <v>5543</v>
      </c>
      <c r="P74" s="345">
        <v>81.260000000000005</v>
      </c>
      <c r="Q74" s="345">
        <v>77.27</v>
      </c>
      <c r="R74" s="345">
        <v>29.05</v>
      </c>
      <c r="S74" s="345">
        <v>109.28</v>
      </c>
      <c r="T74" s="345">
        <v>368</v>
      </c>
      <c r="U74" s="345">
        <v>96.26</v>
      </c>
      <c r="V74" s="345">
        <v>144</v>
      </c>
      <c r="W74" s="345">
        <v>0</v>
      </c>
      <c r="X74" s="345">
        <v>0</v>
      </c>
      <c r="Y74" s="345">
        <v>0</v>
      </c>
      <c r="Z74" s="345">
        <v>25</v>
      </c>
      <c r="AA74" s="345">
        <v>4</v>
      </c>
      <c r="AB74" s="345">
        <v>0</v>
      </c>
      <c r="AC74" s="345">
        <v>0</v>
      </c>
      <c r="AD74" s="349">
        <v>5660</v>
      </c>
      <c r="AE74" s="349">
        <v>109</v>
      </c>
      <c r="AF74" s="349">
        <v>92</v>
      </c>
      <c r="AG74" s="349">
        <v>201</v>
      </c>
    </row>
    <row r="75" spans="1:33" x14ac:dyDescent="0.2">
      <c r="A75" s="344" t="s">
        <v>206</v>
      </c>
      <c r="B75" s="350" t="s">
        <v>207</v>
      </c>
      <c r="C75" s="346">
        <v>16768</v>
      </c>
      <c r="D75" s="346">
        <v>15</v>
      </c>
      <c r="E75" s="346">
        <v>819</v>
      </c>
      <c r="F75" s="346">
        <v>3132</v>
      </c>
      <c r="G75" s="346">
        <v>1683</v>
      </c>
      <c r="H75" s="346">
        <v>22417</v>
      </c>
      <c r="I75" s="345">
        <v>20734</v>
      </c>
      <c r="J75" s="345">
        <v>28</v>
      </c>
      <c r="K75" s="347">
        <v>86.91</v>
      </c>
      <c r="L75" s="347">
        <v>82.48</v>
      </c>
      <c r="M75" s="347">
        <v>3.33</v>
      </c>
      <c r="N75" s="347">
        <v>89.31</v>
      </c>
      <c r="O75" s="348">
        <v>14058</v>
      </c>
      <c r="P75" s="345">
        <v>79.260000000000005</v>
      </c>
      <c r="Q75" s="345">
        <v>72.349999999999994</v>
      </c>
      <c r="R75" s="345">
        <v>32.130000000000003</v>
      </c>
      <c r="S75" s="345">
        <v>107.84</v>
      </c>
      <c r="T75" s="345">
        <v>3751</v>
      </c>
      <c r="U75" s="345">
        <v>119.58</v>
      </c>
      <c r="V75" s="345">
        <v>2023</v>
      </c>
      <c r="W75" s="345">
        <v>130.06</v>
      </c>
      <c r="X75" s="345">
        <v>53</v>
      </c>
      <c r="Y75" s="345">
        <v>0</v>
      </c>
      <c r="Z75" s="345">
        <v>12</v>
      </c>
      <c r="AA75" s="345">
        <v>45</v>
      </c>
      <c r="AB75" s="345">
        <v>119</v>
      </c>
      <c r="AC75" s="345">
        <v>37</v>
      </c>
      <c r="AD75" s="349">
        <v>16363</v>
      </c>
      <c r="AE75" s="349">
        <v>56</v>
      </c>
      <c r="AF75" s="349">
        <v>27</v>
      </c>
      <c r="AG75" s="349">
        <v>83</v>
      </c>
    </row>
    <row r="76" spans="1:33" x14ac:dyDescent="0.2">
      <c r="A76" s="344" t="s">
        <v>208</v>
      </c>
      <c r="B76" s="350" t="s">
        <v>209</v>
      </c>
      <c r="C76" s="346">
        <v>5015</v>
      </c>
      <c r="D76" s="346">
        <v>0</v>
      </c>
      <c r="E76" s="346">
        <v>64</v>
      </c>
      <c r="F76" s="346">
        <v>576</v>
      </c>
      <c r="G76" s="346">
        <v>584</v>
      </c>
      <c r="H76" s="346">
        <v>6239</v>
      </c>
      <c r="I76" s="345">
        <v>5655</v>
      </c>
      <c r="J76" s="345">
        <v>0</v>
      </c>
      <c r="K76" s="347">
        <v>106.06</v>
      </c>
      <c r="L76" s="347">
        <v>101.83</v>
      </c>
      <c r="M76" s="347">
        <v>4.32</v>
      </c>
      <c r="N76" s="347">
        <v>107.24</v>
      </c>
      <c r="O76" s="348">
        <v>4425</v>
      </c>
      <c r="P76" s="345">
        <v>97.14</v>
      </c>
      <c r="Q76" s="345">
        <v>90.61</v>
      </c>
      <c r="R76" s="345">
        <v>41.07</v>
      </c>
      <c r="S76" s="345">
        <v>113.22</v>
      </c>
      <c r="T76" s="345">
        <v>572</v>
      </c>
      <c r="U76" s="345">
        <v>137.1</v>
      </c>
      <c r="V76" s="345">
        <v>375</v>
      </c>
      <c r="W76" s="345">
        <v>173.08</v>
      </c>
      <c r="X76" s="345">
        <v>38</v>
      </c>
      <c r="Y76" s="345">
        <v>0</v>
      </c>
      <c r="Z76" s="345">
        <v>5</v>
      </c>
      <c r="AA76" s="345">
        <v>12</v>
      </c>
      <c r="AB76" s="345">
        <v>19</v>
      </c>
      <c r="AC76" s="345">
        <v>28</v>
      </c>
      <c r="AD76" s="349">
        <v>4794</v>
      </c>
      <c r="AE76" s="349">
        <v>7</v>
      </c>
      <c r="AF76" s="349">
        <v>6</v>
      </c>
      <c r="AG76" s="349">
        <v>13</v>
      </c>
    </row>
    <row r="77" spans="1:33" x14ac:dyDescent="0.2">
      <c r="A77" s="344" t="s">
        <v>210</v>
      </c>
      <c r="B77" s="350" t="s">
        <v>211</v>
      </c>
      <c r="C77" s="346">
        <v>41384</v>
      </c>
      <c r="D77" s="346">
        <v>102</v>
      </c>
      <c r="E77" s="346">
        <v>1202</v>
      </c>
      <c r="F77" s="346">
        <v>5264</v>
      </c>
      <c r="G77" s="346">
        <v>214</v>
      </c>
      <c r="H77" s="346">
        <v>48166</v>
      </c>
      <c r="I77" s="345">
        <v>47952</v>
      </c>
      <c r="J77" s="345">
        <v>94</v>
      </c>
      <c r="K77" s="347">
        <v>74.42</v>
      </c>
      <c r="L77" s="347">
        <v>77.180000000000007</v>
      </c>
      <c r="M77" s="347">
        <v>6.66</v>
      </c>
      <c r="N77" s="347">
        <v>75.349999999999994</v>
      </c>
      <c r="O77" s="348">
        <v>38578</v>
      </c>
      <c r="P77" s="345">
        <v>79.680000000000007</v>
      </c>
      <c r="Q77" s="345">
        <v>75.33</v>
      </c>
      <c r="R77" s="345">
        <v>40.409999999999997</v>
      </c>
      <c r="S77" s="345">
        <v>95.43</v>
      </c>
      <c r="T77" s="345">
        <v>5803</v>
      </c>
      <c r="U77" s="345">
        <v>90.89</v>
      </c>
      <c r="V77" s="345">
        <v>2182</v>
      </c>
      <c r="W77" s="345">
        <v>101.57</v>
      </c>
      <c r="X77" s="345">
        <v>439</v>
      </c>
      <c r="Y77" s="345">
        <v>0</v>
      </c>
      <c r="Z77" s="345">
        <v>173</v>
      </c>
      <c r="AA77" s="345">
        <v>150</v>
      </c>
      <c r="AB77" s="345">
        <v>7</v>
      </c>
      <c r="AC77" s="345">
        <v>4</v>
      </c>
      <c r="AD77" s="349">
        <v>40545</v>
      </c>
      <c r="AE77" s="349">
        <v>328</v>
      </c>
      <c r="AF77" s="349">
        <v>453</v>
      </c>
      <c r="AG77" s="349">
        <v>781</v>
      </c>
    </row>
    <row r="78" spans="1:33" x14ac:dyDescent="0.2">
      <c r="A78" s="344" t="s">
        <v>212</v>
      </c>
      <c r="B78" s="350" t="s">
        <v>213</v>
      </c>
      <c r="C78" s="346">
        <v>22150</v>
      </c>
      <c r="D78" s="346">
        <v>1</v>
      </c>
      <c r="E78" s="346">
        <v>641</v>
      </c>
      <c r="F78" s="346">
        <v>1934</v>
      </c>
      <c r="G78" s="346">
        <v>623</v>
      </c>
      <c r="H78" s="346">
        <v>25349</v>
      </c>
      <c r="I78" s="345">
        <v>24726</v>
      </c>
      <c r="J78" s="345">
        <v>147</v>
      </c>
      <c r="K78" s="347">
        <v>86.63</v>
      </c>
      <c r="L78" s="347">
        <v>87.48</v>
      </c>
      <c r="M78" s="347">
        <v>5.01</v>
      </c>
      <c r="N78" s="347">
        <v>91.27</v>
      </c>
      <c r="O78" s="348">
        <v>20087</v>
      </c>
      <c r="P78" s="345">
        <v>88.95</v>
      </c>
      <c r="Q78" s="345">
        <v>85.14</v>
      </c>
      <c r="R78" s="345">
        <v>45.3</v>
      </c>
      <c r="S78" s="345">
        <v>133.72999999999999</v>
      </c>
      <c r="T78" s="345">
        <v>2330</v>
      </c>
      <c r="U78" s="345">
        <v>107.65</v>
      </c>
      <c r="V78" s="345">
        <v>1576</v>
      </c>
      <c r="W78" s="345">
        <v>0</v>
      </c>
      <c r="X78" s="345">
        <v>0</v>
      </c>
      <c r="Y78" s="345">
        <v>0</v>
      </c>
      <c r="Z78" s="345">
        <v>86</v>
      </c>
      <c r="AA78" s="345">
        <v>25</v>
      </c>
      <c r="AB78" s="345">
        <v>31</v>
      </c>
      <c r="AC78" s="345">
        <v>32</v>
      </c>
      <c r="AD78" s="349">
        <v>21881</v>
      </c>
      <c r="AE78" s="349">
        <v>150</v>
      </c>
      <c r="AF78" s="349">
        <v>64</v>
      </c>
      <c r="AG78" s="349">
        <v>214</v>
      </c>
    </row>
    <row r="79" spans="1:33" x14ac:dyDescent="0.2">
      <c r="A79" s="344" t="s">
        <v>214</v>
      </c>
      <c r="B79" s="350" t="s">
        <v>215</v>
      </c>
      <c r="C79" s="346">
        <v>2129</v>
      </c>
      <c r="D79" s="346">
        <v>22</v>
      </c>
      <c r="E79" s="346">
        <v>44</v>
      </c>
      <c r="F79" s="346">
        <v>217</v>
      </c>
      <c r="G79" s="346">
        <v>57</v>
      </c>
      <c r="H79" s="346">
        <v>2469</v>
      </c>
      <c r="I79" s="345">
        <v>2412</v>
      </c>
      <c r="J79" s="345">
        <v>6</v>
      </c>
      <c r="K79" s="347">
        <v>87.36</v>
      </c>
      <c r="L79" s="347">
        <v>84.1</v>
      </c>
      <c r="M79" s="347">
        <v>6.81</v>
      </c>
      <c r="N79" s="347">
        <v>91.33</v>
      </c>
      <c r="O79" s="348">
        <v>1661</v>
      </c>
      <c r="P79" s="345">
        <v>79.87</v>
      </c>
      <c r="Q79" s="345">
        <v>70.12</v>
      </c>
      <c r="R79" s="345">
        <v>42.59</v>
      </c>
      <c r="S79" s="345">
        <v>121</v>
      </c>
      <c r="T79" s="345">
        <v>206</v>
      </c>
      <c r="U79" s="345">
        <v>97.52</v>
      </c>
      <c r="V79" s="345">
        <v>443</v>
      </c>
      <c r="W79" s="345">
        <v>139.43</v>
      </c>
      <c r="X79" s="345">
        <v>45</v>
      </c>
      <c r="Y79" s="345">
        <v>0</v>
      </c>
      <c r="Z79" s="345">
        <v>0</v>
      </c>
      <c r="AA79" s="345">
        <v>0</v>
      </c>
      <c r="AB79" s="345">
        <v>0</v>
      </c>
      <c r="AC79" s="345">
        <v>5</v>
      </c>
      <c r="AD79" s="349">
        <v>2113</v>
      </c>
      <c r="AE79" s="349">
        <v>23</v>
      </c>
      <c r="AF79" s="349">
        <v>10</v>
      </c>
      <c r="AG79" s="349">
        <v>33</v>
      </c>
    </row>
    <row r="80" spans="1:33" x14ac:dyDescent="0.2">
      <c r="A80" s="344" t="s">
        <v>216</v>
      </c>
      <c r="B80" s="350" t="s">
        <v>217</v>
      </c>
      <c r="C80" s="346">
        <v>1886</v>
      </c>
      <c r="D80" s="346">
        <v>0</v>
      </c>
      <c r="E80" s="346">
        <v>285</v>
      </c>
      <c r="F80" s="346">
        <v>285</v>
      </c>
      <c r="G80" s="346">
        <v>370</v>
      </c>
      <c r="H80" s="346">
        <v>2826</v>
      </c>
      <c r="I80" s="345">
        <v>2456</v>
      </c>
      <c r="J80" s="345">
        <v>0</v>
      </c>
      <c r="K80" s="347">
        <v>109.4</v>
      </c>
      <c r="L80" s="347">
        <v>110.87</v>
      </c>
      <c r="M80" s="347">
        <v>8.15</v>
      </c>
      <c r="N80" s="347">
        <v>117.02</v>
      </c>
      <c r="O80" s="348">
        <v>1548</v>
      </c>
      <c r="P80" s="345">
        <v>122.89</v>
      </c>
      <c r="Q80" s="345">
        <v>105.28</v>
      </c>
      <c r="R80" s="345">
        <v>30.56</v>
      </c>
      <c r="S80" s="345">
        <v>146.5</v>
      </c>
      <c r="T80" s="345">
        <v>290</v>
      </c>
      <c r="U80" s="345">
        <v>154.63</v>
      </c>
      <c r="V80" s="345">
        <v>223</v>
      </c>
      <c r="W80" s="345">
        <v>186.76</v>
      </c>
      <c r="X80" s="345">
        <v>90</v>
      </c>
      <c r="Y80" s="345">
        <v>0</v>
      </c>
      <c r="Z80" s="345">
        <v>3</v>
      </c>
      <c r="AA80" s="345">
        <v>3</v>
      </c>
      <c r="AB80" s="345">
        <v>9</v>
      </c>
      <c r="AC80" s="345">
        <v>10</v>
      </c>
      <c r="AD80" s="349">
        <v>1857</v>
      </c>
      <c r="AE80" s="349">
        <v>25</v>
      </c>
      <c r="AF80" s="349">
        <v>2</v>
      </c>
      <c r="AG80" s="349">
        <v>27</v>
      </c>
    </row>
    <row r="81" spans="1:33" x14ac:dyDescent="0.2">
      <c r="A81" s="344" t="s">
        <v>218</v>
      </c>
      <c r="B81" s="350" t="s">
        <v>219</v>
      </c>
      <c r="C81" s="346">
        <v>10763</v>
      </c>
      <c r="D81" s="346">
        <v>44</v>
      </c>
      <c r="E81" s="346">
        <v>1039</v>
      </c>
      <c r="F81" s="346">
        <v>867</v>
      </c>
      <c r="G81" s="346">
        <v>1795</v>
      </c>
      <c r="H81" s="346">
        <v>14508</v>
      </c>
      <c r="I81" s="345">
        <v>12713</v>
      </c>
      <c r="J81" s="345">
        <v>8</v>
      </c>
      <c r="K81" s="347">
        <v>125.93</v>
      </c>
      <c r="L81" s="347">
        <v>125.27</v>
      </c>
      <c r="M81" s="347">
        <v>7.83</v>
      </c>
      <c r="N81" s="347">
        <v>131.28</v>
      </c>
      <c r="O81" s="348">
        <v>9066</v>
      </c>
      <c r="P81" s="345">
        <v>100.82</v>
      </c>
      <c r="Q81" s="345">
        <v>98.25</v>
      </c>
      <c r="R81" s="345">
        <v>54.52</v>
      </c>
      <c r="S81" s="345">
        <v>151.02000000000001</v>
      </c>
      <c r="T81" s="345">
        <v>1174</v>
      </c>
      <c r="U81" s="345">
        <v>182.16</v>
      </c>
      <c r="V81" s="345">
        <v>1309</v>
      </c>
      <c r="W81" s="345">
        <v>211.25</v>
      </c>
      <c r="X81" s="345">
        <v>21</v>
      </c>
      <c r="Y81" s="345">
        <v>791</v>
      </c>
      <c r="Z81" s="345">
        <v>9</v>
      </c>
      <c r="AA81" s="345">
        <v>57</v>
      </c>
      <c r="AB81" s="345">
        <v>175</v>
      </c>
      <c r="AC81" s="345">
        <v>72</v>
      </c>
      <c r="AD81" s="349">
        <v>10541</v>
      </c>
      <c r="AE81" s="349">
        <v>46</v>
      </c>
      <c r="AF81" s="349">
        <v>70</v>
      </c>
      <c r="AG81" s="349">
        <v>116</v>
      </c>
    </row>
    <row r="82" spans="1:33" x14ac:dyDescent="0.2">
      <c r="A82" s="344" t="s">
        <v>220</v>
      </c>
      <c r="B82" s="350" t="s">
        <v>221</v>
      </c>
      <c r="C82" s="346">
        <v>2516</v>
      </c>
      <c r="D82" s="346">
        <v>0</v>
      </c>
      <c r="E82" s="346">
        <v>260</v>
      </c>
      <c r="F82" s="346">
        <v>272</v>
      </c>
      <c r="G82" s="346">
        <v>344</v>
      </c>
      <c r="H82" s="346">
        <v>3392</v>
      </c>
      <c r="I82" s="345">
        <v>3048</v>
      </c>
      <c r="J82" s="345">
        <v>7</v>
      </c>
      <c r="K82" s="347">
        <v>119.33</v>
      </c>
      <c r="L82" s="347">
        <v>120.79</v>
      </c>
      <c r="M82" s="347">
        <v>6.24</v>
      </c>
      <c r="N82" s="347">
        <v>124.71</v>
      </c>
      <c r="O82" s="348">
        <v>1974</v>
      </c>
      <c r="P82" s="345">
        <v>107.82</v>
      </c>
      <c r="Q82" s="345">
        <v>100.14</v>
      </c>
      <c r="R82" s="345">
        <v>30.12</v>
      </c>
      <c r="S82" s="345">
        <v>137.79</v>
      </c>
      <c r="T82" s="345">
        <v>414</v>
      </c>
      <c r="U82" s="345">
        <v>156.69999999999999</v>
      </c>
      <c r="V82" s="345">
        <v>394</v>
      </c>
      <c r="W82" s="345">
        <v>0</v>
      </c>
      <c r="X82" s="345">
        <v>0</v>
      </c>
      <c r="Y82" s="345">
        <v>0</v>
      </c>
      <c r="Z82" s="345">
        <v>0</v>
      </c>
      <c r="AA82" s="345">
        <v>7</v>
      </c>
      <c r="AB82" s="345">
        <v>7</v>
      </c>
      <c r="AC82" s="345">
        <v>13</v>
      </c>
      <c r="AD82" s="349">
        <v>2483</v>
      </c>
      <c r="AE82" s="349">
        <v>17</v>
      </c>
      <c r="AF82" s="349">
        <v>6</v>
      </c>
      <c r="AG82" s="349">
        <v>23</v>
      </c>
    </row>
    <row r="83" spans="1:33" x14ac:dyDescent="0.2">
      <c r="A83" s="344" t="s">
        <v>222</v>
      </c>
      <c r="B83" s="350" t="s">
        <v>223</v>
      </c>
      <c r="C83" s="346">
        <v>1730</v>
      </c>
      <c r="D83" s="346">
        <v>44</v>
      </c>
      <c r="E83" s="346">
        <v>286</v>
      </c>
      <c r="F83" s="346">
        <v>563</v>
      </c>
      <c r="G83" s="346">
        <v>123</v>
      </c>
      <c r="H83" s="346">
        <v>2746</v>
      </c>
      <c r="I83" s="345">
        <v>2623</v>
      </c>
      <c r="J83" s="345">
        <v>0</v>
      </c>
      <c r="K83" s="347">
        <v>82.32</v>
      </c>
      <c r="L83" s="347">
        <v>80.27</v>
      </c>
      <c r="M83" s="347">
        <v>6.47</v>
      </c>
      <c r="N83" s="347">
        <v>86.19</v>
      </c>
      <c r="O83" s="348">
        <v>1127</v>
      </c>
      <c r="P83" s="345">
        <v>84.44</v>
      </c>
      <c r="Q83" s="345">
        <v>75.900000000000006</v>
      </c>
      <c r="R83" s="345">
        <v>35.39</v>
      </c>
      <c r="S83" s="345">
        <v>119.03</v>
      </c>
      <c r="T83" s="345">
        <v>616</v>
      </c>
      <c r="U83" s="345">
        <v>95.22</v>
      </c>
      <c r="V83" s="345">
        <v>306</v>
      </c>
      <c r="W83" s="345">
        <v>92.31</v>
      </c>
      <c r="X83" s="345">
        <v>10</v>
      </c>
      <c r="Y83" s="345">
        <v>0</v>
      </c>
      <c r="Z83" s="345">
        <v>0</v>
      </c>
      <c r="AA83" s="345">
        <v>3</v>
      </c>
      <c r="AB83" s="345">
        <v>10</v>
      </c>
      <c r="AC83" s="345">
        <v>4</v>
      </c>
      <c r="AD83" s="349">
        <v>1511</v>
      </c>
      <c r="AE83" s="349">
        <v>28</v>
      </c>
      <c r="AF83" s="349">
        <v>6</v>
      </c>
      <c r="AG83" s="349">
        <v>34</v>
      </c>
    </row>
    <row r="84" spans="1:33" x14ac:dyDescent="0.2">
      <c r="A84" s="344" t="s">
        <v>224</v>
      </c>
      <c r="B84" s="350" t="s">
        <v>225</v>
      </c>
      <c r="C84" s="346">
        <v>1471</v>
      </c>
      <c r="D84" s="346">
        <v>11</v>
      </c>
      <c r="E84" s="346">
        <v>154</v>
      </c>
      <c r="F84" s="346">
        <v>67</v>
      </c>
      <c r="G84" s="346">
        <v>581</v>
      </c>
      <c r="H84" s="346">
        <v>2284</v>
      </c>
      <c r="I84" s="345">
        <v>1703</v>
      </c>
      <c r="J84" s="345">
        <v>0</v>
      </c>
      <c r="K84" s="347">
        <v>111.02</v>
      </c>
      <c r="L84" s="347">
        <v>110.21</v>
      </c>
      <c r="M84" s="347">
        <v>6.4</v>
      </c>
      <c r="N84" s="347">
        <v>116.58</v>
      </c>
      <c r="O84" s="348">
        <v>856</v>
      </c>
      <c r="P84" s="345">
        <v>91.36</v>
      </c>
      <c r="Q84" s="345">
        <v>89.95</v>
      </c>
      <c r="R84" s="345">
        <v>30.17</v>
      </c>
      <c r="S84" s="345">
        <v>117.22</v>
      </c>
      <c r="T84" s="345">
        <v>105</v>
      </c>
      <c r="U84" s="345">
        <v>150.85</v>
      </c>
      <c r="V84" s="345">
        <v>161</v>
      </c>
      <c r="W84" s="345">
        <v>0</v>
      </c>
      <c r="X84" s="345">
        <v>0</v>
      </c>
      <c r="Y84" s="345">
        <v>0</v>
      </c>
      <c r="Z84" s="345">
        <v>11</v>
      </c>
      <c r="AA84" s="345">
        <v>4</v>
      </c>
      <c r="AB84" s="345">
        <v>38</v>
      </c>
      <c r="AC84" s="345">
        <v>29</v>
      </c>
      <c r="AD84" s="349">
        <v>1080</v>
      </c>
      <c r="AE84" s="349">
        <v>5</v>
      </c>
      <c r="AF84" s="349">
        <v>5</v>
      </c>
      <c r="AG84" s="349">
        <v>10</v>
      </c>
    </row>
    <row r="85" spans="1:33" x14ac:dyDescent="0.2">
      <c r="A85" s="344" t="s">
        <v>226</v>
      </c>
      <c r="B85" s="350" t="s">
        <v>227</v>
      </c>
      <c r="C85" s="346">
        <v>5780</v>
      </c>
      <c r="D85" s="346">
        <v>0</v>
      </c>
      <c r="E85" s="346">
        <v>571</v>
      </c>
      <c r="F85" s="346">
        <v>1351</v>
      </c>
      <c r="G85" s="346">
        <v>535</v>
      </c>
      <c r="H85" s="346">
        <v>8237</v>
      </c>
      <c r="I85" s="345">
        <v>7702</v>
      </c>
      <c r="J85" s="345">
        <v>1</v>
      </c>
      <c r="K85" s="347">
        <v>89.95</v>
      </c>
      <c r="L85" s="347">
        <v>91.99</v>
      </c>
      <c r="M85" s="347">
        <v>5.85</v>
      </c>
      <c r="N85" s="347">
        <v>94.05</v>
      </c>
      <c r="O85" s="348">
        <v>5481</v>
      </c>
      <c r="P85" s="345">
        <v>80.88</v>
      </c>
      <c r="Q85" s="345">
        <v>81.47</v>
      </c>
      <c r="R85" s="345">
        <v>43.78</v>
      </c>
      <c r="S85" s="345">
        <v>122.14</v>
      </c>
      <c r="T85" s="345">
        <v>1438</v>
      </c>
      <c r="U85" s="345">
        <v>103.24</v>
      </c>
      <c r="V85" s="345">
        <v>170</v>
      </c>
      <c r="W85" s="345">
        <v>156.19</v>
      </c>
      <c r="X85" s="345">
        <v>95</v>
      </c>
      <c r="Y85" s="345">
        <v>0</v>
      </c>
      <c r="Z85" s="345">
        <v>4</v>
      </c>
      <c r="AA85" s="345">
        <v>14</v>
      </c>
      <c r="AB85" s="345">
        <v>3</v>
      </c>
      <c r="AC85" s="345">
        <v>10</v>
      </c>
      <c r="AD85" s="349">
        <v>5683</v>
      </c>
      <c r="AE85" s="349">
        <v>58</v>
      </c>
      <c r="AF85" s="349">
        <v>10</v>
      </c>
      <c r="AG85" s="349">
        <v>68</v>
      </c>
    </row>
    <row r="86" spans="1:33" x14ac:dyDescent="0.2">
      <c r="A86" s="344" t="s">
        <v>228</v>
      </c>
      <c r="B86" s="350" t="s">
        <v>229</v>
      </c>
      <c r="C86" s="346">
        <v>3662</v>
      </c>
      <c r="D86" s="346">
        <v>0</v>
      </c>
      <c r="E86" s="346">
        <v>65</v>
      </c>
      <c r="F86" s="346">
        <v>294</v>
      </c>
      <c r="G86" s="346">
        <v>159</v>
      </c>
      <c r="H86" s="346">
        <v>4180</v>
      </c>
      <c r="I86" s="345">
        <v>4021</v>
      </c>
      <c r="J86" s="345">
        <v>0</v>
      </c>
      <c r="K86" s="347">
        <v>93.89</v>
      </c>
      <c r="L86" s="347">
        <v>95.28</v>
      </c>
      <c r="M86" s="347">
        <v>2.4700000000000002</v>
      </c>
      <c r="N86" s="347">
        <v>96.05</v>
      </c>
      <c r="O86" s="348">
        <v>3400</v>
      </c>
      <c r="P86" s="345">
        <v>84.58</v>
      </c>
      <c r="Q86" s="345">
        <v>83.16</v>
      </c>
      <c r="R86" s="345">
        <v>36.21</v>
      </c>
      <c r="S86" s="345">
        <v>119.94</v>
      </c>
      <c r="T86" s="345">
        <v>340</v>
      </c>
      <c r="U86" s="345">
        <v>115.34</v>
      </c>
      <c r="V86" s="345">
        <v>151</v>
      </c>
      <c r="W86" s="345">
        <v>0</v>
      </c>
      <c r="X86" s="345">
        <v>0</v>
      </c>
      <c r="Y86" s="345">
        <v>2</v>
      </c>
      <c r="Z86" s="345">
        <v>6</v>
      </c>
      <c r="AA86" s="345">
        <v>3</v>
      </c>
      <c r="AB86" s="345">
        <v>8</v>
      </c>
      <c r="AC86" s="345">
        <v>5</v>
      </c>
      <c r="AD86" s="349">
        <v>3551</v>
      </c>
      <c r="AE86" s="349">
        <v>26</v>
      </c>
      <c r="AF86" s="349">
        <v>36</v>
      </c>
      <c r="AG86" s="349">
        <v>62</v>
      </c>
    </row>
    <row r="87" spans="1:33" x14ac:dyDescent="0.2">
      <c r="A87" s="344" t="s">
        <v>230</v>
      </c>
      <c r="B87" s="350" t="s">
        <v>231</v>
      </c>
      <c r="C87" s="346">
        <v>2129</v>
      </c>
      <c r="D87" s="346">
        <v>0</v>
      </c>
      <c r="E87" s="346">
        <v>561</v>
      </c>
      <c r="F87" s="346">
        <v>1026</v>
      </c>
      <c r="G87" s="346">
        <v>220</v>
      </c>
      <c r="H87" s="346">
        <v>3936</v>
      </c>
      <c r="I87" s="345">
        <v>3716</v>
      </c>
      <c r="J87" s="345">
        <v>0</v>
      </c>
      <c r="K87" s="347">
        <v>84.55</v>
      </c>
      <c r="L87" s="347">
        <v>82.78</v>
      </c>
      <c r="M87" s="347">
        <v>5.16</v>
      </c>
      <c r="N87" s="347">
        <v>87.47</v>
      </c>
      <c r="O87" s="348">
        <v>1726</v>
      </c>
      <c r="P87" s="345">
        <v>94.32</v>
      </c>
      <c r="Q87" s="345">
        <v>79.03</v>
      </c>
      <c r="R87" s="345">
        <v>24.47</v>
      </c>
      <c r="S87" s="345">
        <v>117.88</v>
      </c>
      <c r="T87" s="345">
        <v>1370</v>
      </c>
      <c r="U87" s="345">
        <v>93.37</v>
      </c>
      <c r="V87" s="345">
        <v>265</v>
      </c>
      <c r="W87" s="345">
        <v>145.53</v>
      </c>
      <c r="X87" s="345">
        <v>77</v>
      </c>
      <c r="Y87" s="345">
        <v>0</v>
      </c>
      <c r="Z87" s="345">
        <v>0</v>
      </c>
      <c r="AA87" s="345">
        <v>5</v>
      </c>
      <c r="AB87" s="345">
        <v>11</v>
      </c>
      <c r="AC87" s="345">
        <v>12</v>
      </c>
      <c r="AD87" s="349">
        <v>2071</v>
      </c>
      <c r="AE87" s="349">
        <v>12</v>
      </c>
      <c r="AF87" s="349">
        <v>9</v>
      </c>
      <c r="AG87" s="349">
        <v>21</v>
      </c>
    </row>
    <row r="88" spans="1:33" x14ac:dyDescent="0.2">
      <c r="A88" s="344" t="s">
        <v>232</v>
      </c>
      <c r="B88" s="350" t="s">
        <v>233</v>
      </c>
      <c r="C88" s="346">
        <v>15659</v>
      </c>
      <c r="D88" s="346">
        <v>51</v>
      </c>
      <c r="E88" s="346">
        <v>563</v>
      </c>
      <c r="F88" s="346">
        <v>4374</v>
      </c>
      <c r="G88" s="346">
        <v>921</v>
      </c>
      <c r="H88" s="346">
        <v>21568</v>
      </c>
      <c r="I88" s="345">
        <v>20647</v>
      </c>
      <c r="J88" s="345">
        <v>30</v>
      </c>
      <c r="K88" s="347">
        <v>101.71</v>
      </c>
      <c r="L88" s="347">
        <v>102</v>
      </c>
      <c r="M88" s="347">
        <v>4.09</v>
      </c>
      <c r="N88" s="347">
        <v>103.84</v>
      </c>
      <c r="O88" s="348">
        <v>14594</v>
      </c>
      <c r="P88" s="345">
        <v>89.03</v>
      </c>
      <c r="Q88" s="345">
        <v>88.4</v>
      </c>
      <c r="R88" s="345">
        <v>20.37</v>
      </c>
      <c r="S88" s="345">
        <v>108.38</v>
      </c>
      <c r="T88" s="345">
        <v>4472</v>
      </c>
      <c r="U88" s="345">
        <v>136.4</v>
      </c>
      <c r="V88" s="345">
        <v>1028</v>
      </c>
      <c r="W88" s="345">
        <v>149.99</v>
      </c>
      <c r="X88" s="345">
        <v>32</v>
      </c>
      <c r="Y88" s="345">
        <v>469</v>
      </c>
      <c r="Z88" s="345">
        <v>14</v>
      </c>
      <c r="AA88" s="345">
        <v>18</v>
      </c>
      <c r="AB88" s="345">
        <v>85</v>
      </c>
      <c r="AC88" s="345">
        <v>15</v>
      </c>
      <c r="AD88" s="349">
        <v>15635</v>
      </c>
      <c r="AE88" s="349">
        <v>89</v>
      </c>
      <c r="AF88" s="349">
        <v>18</v>
      </c>
      <c r="AG88" s="349">
        <v>107</v>
      </c>
    </row>
    <row r="89" spans="1:33" x14ac:dyDescent="0.2">
      <c r="A89" s="344" t="s">
        <v>234</v>
      </c>
      <c r="B89" s="350" t="s">
        <v>235</v>
      </c>
      <c r="C89" s="346">
        <v>1954</v>
      </c>
      <c r="D89" s="346">
        <v>0</v>
      </c>
      <c r="E89" s="346">
        <v>122</v>
      </c>
      <c r="F89" s="346">
        <v>508</v>
      </c>
      <c r="G89" s="346">
        <v>172</v>
      </c>
      <c r="H89" s="346">
        <v>2756</v>
      </c>
      <c r="I89" s="345">
        <v>2584</v>
      </c>
      <c r="J89" s="345">
        <v>11</v>
      </c>
      <c r="K89" s="347">
        <v>92.69</v>
      </c>
      <c r="L89" s="347">
        <v>94.17</v>
      </c>
      <c r="M89" s="347">
        <v>5.54</v>
      </c>
      <c r="N89" s="347">
        <v>96.94</v>
      </c>
      <c r="O89" s="348">
        <v>1706</v>
      </c>
      <c r="P89" s="345">
        <v>91.51</v>
      </c>
      <c r="Q89" s="345">
        <v>90.28</v>
      </c>
      <c r="R89" s="345">
        <v>33.369999999999997</v>
      </c>
      <c r="S89" s="345">
        <v>123.89</v>
      </c>
      <c r="T89" s="345">
        <v>609</v>
      </c>
      <c r="U89" s="345">
        <v>116.47</v>
      </c>
      <c r="V89" s="345">
        <v>154</v>
      </c>
      <c r="W89" s="345">
        <v>0</v>
      </c>
      <c r="X89" s="345">
        <v>0</v>
      </c>
      <c r="Y89" s="345">
        <v>0</v>
      </c>
      <c r="Z89" s="345">
        <v>6</v>
      </c>
      <c r="AA89" s="345">
        <v>14</v>
      </c>
      <c r="AB89" s="345">
        <v>8</v>
      </c>
      <c r="AC89" s="345">
        <v>11</v>
      </c>
      <c r="AD89" s="349">
        <v>1902</v>
      </c>
      <c r="AE89" s="349">
        <v>20</v>
      </c>
      <c r="AF89" s="349">
        <v>6</v>
      </c>
      <c r="AG89" s="349">
        <v>26</v>
      </c>
    </row>
    <row r="90" spans="1:33" x14ac:dyDescent="0.2">
      <c r="A90" s="344" t="s">
        <v>236</v>
      </c>
      <c r="B90" s="350" t="s">
        <v>237</v>
      </c>
      <c r="C90" s="346">
        <v>3453</v>
      </c>
      <c r="D90" s="346">
        <v>0</v>
      </c>
      <c r="E90" s="346">
        <v>418</v>
      </c>
      <c r="F90" s="346">
        <v>889</v>
      </c>
      <c r="G90" s="346">
        <v>727</v>
      </c>
      <c r="H90" s="346">
        <v>5487</v>
      </c>
      <c r="I90" s="345">
        <v>4760</v>
      </c>
      <c r="J90" s="345">
        <v>41</v>
      </c>
      <c r="K90" s="347">
        <v>95.98</v>
      </c>
      <c r="L90" s="347">
        <v>95.53</v>
      </c>
      <c r="M90" s="347">
        <v>6.21</v>
      </c>
      <c r="N90" s="347">
        <v>101.04</v>
      </c>
      <c r="O90" s="348">
        <v>3193</v>
      </c>
      <c r="P90" s="345">
        <v>97.65</v>
      </c>
      <c r="Q90" s="345">
        <v>95.48</v>
      </c>
      <c r="R90" s="345">
        <v>38.61</v>
      </c>
      <c r="S90" s="345">
        <v>133.43</v>
      </c>
      <c r="T90" s="345">
        <v>1048</v>
      </c>
      <c r="U90" s="345">
        <v>111.66</v>
      </c>
      <c r="V90" s="345">
        <v>172</v>
      </c>
      <c r="W90" s="345">
        <v>0</v>
      </c>
      <c r="X90" s="345">
        <v>0</v>
      </c>
      <c r="Y90" s="345">
        <v>0</v>
      </c>
      <c r="Z90" s="345">
        <v>5</v>
      </c>
      <c r="AA90" s="345">
        <v>2</v>
      </c>
      <c r="AB90" s="345">
        <v>11</v>
      </c>
      <c r="AC90" s="345">
        <v>20</v>
      </c>
      <c r="AD90" s="349">
        <v>3453</v>
      </c>
      <c r="AE90" s="349">
        <v>12</v>
      </c>
      <c r="AF90" s="349">
        <v>6</v>
      </c>
      <c r="AG90" s="349">
        <v>18</v>
      </c>
    </row>
    <row r="91" spans="1:33" x14ac:dyDescent="0.2">
      <c r="A91" s="344" t="s">
        <v>238</v>
      </c>
      <c r="B91" s="350" t="s">
        <v>239</v>
      </c>
      <c r="C91" s="346">
        <v>9311</v>
      </c>
      <c r="D91" s="346">
        <v>20</v>
      </c>
      <c r="E91" s="346">
        <v>1202</v>
      </c>
      <c r="F91" s="346">
        <v>790</v>
      </c>
      <c r="G91" s="346">
        <v>2115</v>
      </c>
      <c r="H91" s="346">
        <v>13438</v>
      </c>
      <c r="I91" s="345">
        <v>11323</v>
      </c>
      <c r="J91" s="345">
        <v>97</v>
      </c>
      <c r="K91" s="347">
        <v>132.57</v>
      </c>
      <c r="L91" s="347">
        <v>130.80000000000001</v>
      </c>
      <c r="M91" s="347">
        <v>10.029999999999999</v>
      </c>
      <c r="N91" s="347">
        <v>139.62</v>
      </c>
      <c r="O91" s="348">
        <v>8204</v>
      </c>
      <c r="P91" s="345">
        <v>117.72</v>
      </c>
      <c r="Q91" s="345">
        <v>115.99</v>
      </c>
      <c r="R91" s="345">
        <v>41.8</v>
      </c>
      <c r="S91" s="345">
        <v>155.09</v>
      </c>
      <c r="T91" s="345">
        <v>1122</v>
      </c>
      <c r="U91" s="345">
        <v>194.93</v>
      </c>
      <c r="V91" s="345">
        <v>626</v>
      </c>
      <c r="W91" s="345">
        <v>198.91</v>
      </c>
      <c r="X91" s="345">
        <v>29</v>
      </c>
      <c r="Y91" s="345">
        <v>25</v>
      </c>
      <c r="Z91" s="345">
        <v>6</v>
      </c>
      <c r="AA91" s="345">
        <v>29</v>
      </c>
      <c r="AB91" s="345">
        <v>59</v>
      </c>
      <c r="AC91" s="345">
        <v>82</v>
      </c>
      <c r="AD91" s="349">
        <v>9006</v>
      </c>
      <c r="AE91" s="349">
        <v>15</v>
      </c>
      <c r="AF91" s="349">
        <v>35</v>
      </c>
      <c r="AG91" s="349">
        <v>50</v>
      </c>
    </row>
    <row r="92" spans="1:33" x14ac:dyDescent="0.2">
      <c r="A92" s="344" t="s">
        <v>240</v>
      </c>
      <c r="B92" s="350" t="s">
        <v>241</v>
      </c>
      <c r="C92" s="346">
        <v>4028</v>
      </c>
      <c r="D92" s="346">
        <v>6</v>
      </c>
      <c r="E92" s="346">
        <v>111</v>
      </c>
      <c r="F92" s="346">
        <v>1054</v>
      </c>
      <c r="G92" s="346">
        <v>500</v>
      </c>
      <c r="H92" s="346">
        <v>5699</v>
      </c>
      <c r="I92" s="345">
        <v>5199</v>
      </c>
      <c r="J92" s="345">
        <v>0</v>
      </c>
      <c r="K92" s="347">
        <v>104.44</v>
      </c>
      <c r="L92" s="347">
        <v>104.96</v>
      </c>
      <c r="M92" s="347">
        <v>4.4800000000000004</v>
      </c>
      <c r="N92" s="347">
        <v>105.13</v>
      </c>
      <c r="O92" s="348">
        <v>3672</v>
      </c>
      <c r="P92" s="345">
        <v>95.13</v>
      </c>
      <c r="Q92" s="345">
        <v>95.73</v>
      </c>
      <c r="R92" s="345">
        <v>16.71</v>
      </c>
      <c r="S92" s="345">
        <v>111.32</v>
      </c>
      <c r="T92" s="345">
        <v>1128</v>
      </c>
      <c r="U92" s="345">
        <v>123.34</v>
      </c>
      <c r="V92" s="345">
        <v>312</v>
      </c>
      <c r="W92" s="345">
        <v>0</v>
      </c>
      <c r="X92" s="345">
        <v>0</v>
      </c>
      <c r="Y92" s="345">
        <v>0</v>
      </c>
      <c r="Z92" s="345">
        <v>6</v>
      </c>
      <c r="AA92" s="345">
        <v>0</v>
      </c>
      <c r="AB92" s="345">
        <v>0</v>
      </c>
      <c r="AC92" s="345">
        <v>21</v>
      </c>
      <c r="AD92" s="349">
        <v>4020</v>
      </c>
      <c r="AE92" s="349">
        <v>1</v>
      </c>
      <c r="AF92" s="349">
        <v>7</v>
      </c>
      <c r="AG92" s="349">
        <v>8</v>
      </c>
    </row>
    <row r="93" spans="1:33" x14ac:dyDescent="0.2">
      <c r="A93" s="344" t="s">
        <v>242</v>
      </c>
      <c r="B93" s="350" t="s">
        <v>243</v>
      </c>
      <c r="C93" s="346">
        <v>1926</v>
      </c>
      <c r="D93" s="346">
        <v>0</v>
      </c>
      <c r="E93" s="346">
        <v>189</v>
      </c>
      <c r="F93" s="346">
        <v>170</v>
      </c>
      <c r="G93" s="346">
        <v>424</v>
      </c>
      <c r="H93" s="346">
        <v>2709</v>
      </c>
      <c r="I93" s="345">
        <v>2285</v>
      </c>
      <c r="J93" s="345">
        <v>3</v>
      </c>
      <c r="K93" s="347">
        <v>96.13</v>
      </c>
      <c r="L93" s="347">
        <v>93.56</v>
      </c>
      <c r="M93" s="347">
        <v>3.99</v>
      </c>
      <c r="N93" s="347">
        <v>99.12</v>
      </c>
      <c r="O93" s="348">
        <v>1410</v>
      </c>
      <c r="P93" s="345">
        <v>98.04</v>
      </c>
      <c r="Q93" s="345">
        <v>80.77</v>
      </c>
      <c r="R93" s="345">
        <v>58.34</v>
      </c>
      <c r="S93" s="345">
        <v>149.65</v>
      </c>
      <c r="T93" s="345">
        <v>234</v>
      </c>
      <c r="U93" s="345">
        <v>127.52</v>
      </c>
      <c r="V93" s="345">
        <v>416</v>
      </c>
      <c r="W93" s="345">
        <v>0</v>
      </c>
      <c r="X93" s="345">
        <v>0</v>
      </c>
      <c r="Y93" s="345">
        <v>125</v>
      </c>
      <c r="Z93" s="345">
        <v>0</v>
      </c>
      <c r="AA93" s="345">
        <v>1</v>
      </c>
      <c r="AB93" s="345">
        <v>53</v>
      </c>
      <c r="AC93" s="345">
        <v>5</v>
      </c>
      <c r="AD93" s="349">
        <v>1869</v>
      </c>
      <c r="AE93" s="349">
        <v>3</v>
      </c>
      <c r="AF93" s="349">
        <v>3</v>
      </c>
      <c r="AG93" s="349">
        <v>6</v>
      </c>
    </row>
    <row r="94" spans="1:33" x14ac:dyDescent="0.2">
      <c r="A94" s="344" t="s">
        <v>244</v>
      </c>
      <c r="B94" s="350" t="s">
        <v>245</v>
      </c>
      <c r="C94" s="346">
        <v>5212</v>
      </c>
      <c r="D94" s="346">
        <v>10</v>
      </c>
      <c r="E94" s="346">
        <v>94</v>
      </c>
      <c r="F94" s="346">
        <v>806</v>
      </c>
      <c r="G94" s="346">
        <v>404</v>
      </c>
      <c r="H94" s="346">
        <v>6526</v>
      </c>
      <c r="I94" s="345">
        <v>6122</v>
      </c>
      <c r="J94" s="345">
        <v>0</v>
      </c>
      <c r="K94" s="347">
        <v>118.05</v>
      </c>
      <c r="L94" s="347">
        <v>116.06</v>
      </c>
      <c r="M94" s="347">
        <v>1.55</v>
      </c>
      <c r="N94" s="347">
        <v>119.41</v>
      </c>
      <c r="O94" s="348">
        <v>4245</v>
      </c>
      <c r="P94" s="345">
        <v>95.39</v>
      </c>
      <c r="Q94" s="345">
        <v>94.26</v>
      </c>
      <c r="R94" s="345">
        <v>13.54</v>
      </c>
      <c r="S94" s="345">
        <v>108.77</v>
      </c>
      <c r="T94" s="345">
        <v>871</v>
      </c>
      <c r="U94" s="345">
        <v>145.51</v>
      </c>
      <c r="V94" s="345">
        <v>588</v>
      </c>
      <c r="W94" s="345">
        <v>0</v>
      </c>
      <c r="X94" s="345">
        <v>0</v>
      </c>
      <c r="Y94" s="345">
        <v>0</v>
      </c>
      <c r="Z94" s="345">
        <v>6</v>
      </c>
      <c r="AA94" s="345">
        <v>0</v>
      </c>
      <c r="AB94" s="345">
        <v>20</v>
      </c>
      <c r="AC94" s="345">
        <v>7</v>
      </c>
      <c r="AD94" s="349">
        <v>4948</v>
      </c>
      <c r="AE94" s="349">
        <v>18</v>
      </c>
      <c r="AF94" s="349">
        <v>17</v>
      </c>
      <c r="AG94" s="349">
        <v>35</v>
      </c>
    </row>
    <row r="95" spans="1:33" x14ac:dyDescent="0.2">
      <c r="A95" s="344" t="s">
        <v>246</v>
      </c>
      <c r="B95" s="350" t="s">
        <v>247</v>
      </c>
      <c r="C95" s="346">
        <v>6633</v>
      </c>
      <c r="D95" s="346">
        <v>0</v>
      </c>
      <c r="E95" s="346">
        <v>189</v>
      </c>
      <c r="F95" s="346">
        <v>1061</v>
      </c>
      <c r="G95" s="346">
        <v>617</v>
      </c>
      <c r="H95" s="346">
        <v>8500</v>
      </c>
      <c r="I95" s="345">
        <v>7883</v>
      </c>
      <c r="J95" s="345">
        <v>13</v>
      </c>
      <c r="K95" s="347">
        <v>118.33</v>
      </c>
      <c r="L95" s="347">
        <v>120.33</v>
      </c>
      <c r="M95" s="347">
        <v>5.44</v>
      </c>
      <c r="N95" s="347">
        <v>120.22</v>
      </c>
      <c r="O95" s="348">
        <v>5374</v>
      </c>
      <c r="P95" s="345">
        <v>103.11</v>
      </c>
      <c r="Q95" s="345">
        <v>98.14</v>
      </c>
      <c r="R95" s="345">
        <v>22.9</v>
      </c>
      <c r="S95" s="345">
        <v>125.22</v>
      </c>
      <c r="T95" s="345">
        <v>758</v>
      </c>
      <c r="U95" s="345">
        <v>155.69999999999999</v>
      </c>
      <c r="V95" s="345">
        <v>1149</v>
      </c>
      <c r="W95" s="345">
        <v>0</v>
      </c>
      <c r="X95" s="345">
        <v>0</v>
      </c>
      <c r="Y95" s="345">
        <v>0</v>
      </c>
      <c r="Z95" s="345">
        <v>12</v>
      </c>
      <c r="AA95" s="345">
        <v>1</v>
      </c>
      <c r="AB95" s="345">
        <v>35</v>
      </c>
      <c r="AC95" s="345">
        <v>21</v>
      </c>
      <c r="AD95" s="349">
        <v>6633</v>
      </c>
      <c r="AE95" s="349">
        <v>29</v>
      </c>
      <c r="AF95" s="349">
        <v>70</v>
      </c>
      <c r="AG95" s="349">
        <v>99</v>
      </c>
    </row>
    <row r="96" spans="1:33" x14ac:dyDescent="0.2">
      <c r="A96" s="344" t="s">
        <v>248</v>
      </c>
      <c r="B96" s="350" t="s">
        <v>249</v>
      </c>
      <c r="C96" s="346">
        <v>6183</v>
      </c>
      <c r="D96" s="346">
        <v>0</v>
      </c>
      <c r="E96" s="346">
        <v>215</v>
      </c>
      <c r="F96" s="346">
        <v>899</v>
      </c>
      <c r="G96" s="346">
        <v>447</v>
      </c>
      <c r="H96" s="346">
        <v>7744</v>
      </c>
      <c r="I96" s="345">
        <v>7297</v>
      </c>
      <c r="J96" s="345">
        <v>0</v>
      </c>
      <c r="K96" s="347">
        <v>85.26</v>
      </c>
      <c r="L96" s="347">
        <v>85.39</v>
      </c>
      <c r="M96" s="347">
        <v>1.8</v>
      </c>
      <c r="N96" s="347">
        <v>86.72</v>
      </c>
      <c r="O96" s="348">
        <v>5160</v>
      </c>
      <c r="P96" s="345">
        <v>80.63</v>
      </c>
      <c r="Q96" s="345">
        <v>78.58</v>
      </c>
      <c r="R96" s="345">
        <v>23.35</v>
      </c>
      <c r="S96" s="345">
        <v>103.11</v>
      </c>
      <c r="T96" s="345">
        <v>1068</v>
      </c>
      <c r="U96" s="345">
        <v>93.09</v>
      </c>
      <c r="V96" s="345">
        <v>830</v>
      </c>
      <c r="W96" s="345">
        <v>144.91</v>
      </c>
      <c r="X96" s="345">
        <v>40</v>
      </c>
      <c r="Y96" s="345">
        <v>0</v>
      </c>
      <c r="Z96" s="345">
        <v>4</v>
      </c>
      <c r="AA96" s="345">
        <v>7</v>
      </c>
      <c r="AB96" s="345">
        <v>34</v>
      </c>
      <c r="AC96" s="345">
        <v>2</v>
      </c>
      <c r="AD96" s="349">
        <v>6056</v>
      </c>
      <c r="AE96" s="349">
        <v>33</v>
      </c>
      <c r="AF96" s="349">
        <v>18</v>
      </c>
      <c r="AG96" s="349">
        <v>51</v>
      </c>
    </row>
    <row r="97" spans="1:33" x14ac:dyDescent="0.2">
      <c r="A97" s="344" t="s">
        <v>250</v>
      </c>
      <c r="B97" s="350" t="s">
        <v>251</v>
      </c>
      <c r="C97" s="346">
        <v>1743</v>
      </c>
      <c r="D97" s="346">
        <v>0</v>
      </c>
      <c r="E97" s="346">
        <v>184</v>
      </c>
      <c r="F97" s="346">
        <v>633</v>
      </c>
      <c r="G97" s="346">
        <v>162</v>
      </c>
      <c r="H97" s="346">
        <v>2722</v>
      </c>
      <c r="I97" s="345">
        <v>2560</v>
      </c>
      <c r="J97" s="345">
        <v>7</v>
      </c>
      <c r="K97" s="347">
        <v>92.53</v>
      </c>
      <c r="L97" s="347">
        <v>91.04</v>
      </c>
      <c r="M97" s="347">
        <v>4.8099999999999996</v>
      </c>
      <c r="N97" s="347">
        <v>95.3</v>
      </c>
      <c r="O97" s="348">
        <v>1410</v>
      </c>
      <c r="P97" s="345">
        <v>85.96</v>
      </c>
      <c r="Q97" s="345">
        <v>80.099999999999994</v>
      </c>
      <c r="R97" s="345">
        <v>33.42</v>
      </c>
      <c r="S97" s="345">
        <v>119.18</v>
      </c>
      <c r="T97" s="345">
        <v>694</v>
      </c>
      <c r="U97" s="345">
        <v>101.23</v>
      </c>
      <c r="V97" s="345">
        <v>176</v>
      </c>
      <c r="W97" s="345">
        <v>127.86</v>
      </c>
      <c r="X97" s="345">
        <v>16</v>
      </c>
      <c r="Y97" s="345">
        <v>0</v>
      </c>
      <c r="Z97" s="345">
        <v>0</v>
      </c>
      <c r="AA97" s="345">
        <v>13</v>
      </c>
      <c r="AB97" s="345">
        <v>0</v>
      </c>
      <c r="AC97" s="345">
        <v>2</v>
      </c>
      <c r="AD97" s="349">
        <v>1606</v>
      </c>
      <c r="AE97" s="349">
        <v>4</v>
      </c>
      <c r="AF97" s="349">
        <v>4</v>
      </c>
      <c r="AG97" s="349">
        <v>8</v>
      </c>
    </row>
    <row r="98" spans="1:33" x14ac:dyDescent="0.2">
      <c r="A98" s="344" t="s">
        <v>252</v>
      </c>
      <c r="B98" s="350" t="s">
        <v>253</v>
      </c>
      <c r="C98" s="346">
        <v>5435</v>
      </c>
      <c r="D98" s="346">
        <v>0</v>
      </c>
      <c r="E98" s="346">
        <v>160</v>
      </c>
      <c r="F98" s="346">
        <v>977</v>
      </c>
      <c r="G98" s="346">
        <v>164</v>
      </c>
      <c r="H98" s="346">
        <v>6736</v>
      </c>
      <c r="I98" s="345">
        <v>6572</v>
      </c>
      <c r="J98" s="345">
        <v>1</v>
      </c>
      <c r="K98" s="347">
        <v>83.61</v>
      </c>
      <c r="L98" s="347">
        <v>80.62</v>
      </c>
      <c r="M98" s="347">
        <v>7.57</v>
      </c>
      <c r="N98" s="347">
        <v>86.3</v>
      </c>
      <c r="O98" s="348">
        <v>4464</v>
      </c>
      <c r="P98" s="345">
        <v>80.89</v>
      </c>
      <c r="Q98" s="345">
        <v>79.75</v>
      </c>
      <c r="R98" s="345">
        <v>29.2</v>
      </c>
      <c r="S98" s="345">
        <v>104.13</v>
      </c>
      <c r="T98" s="345">
        <v>1089</v>
      </c>
      <c r="U98" s="345">
        <v>94.25</v>
      </c>
      <c r="V98" s="345">
        <v>873</v>
      </c>
      <c r="W98" s="345">
        <v>85.96</v>
      </c>
      <c r="X98" s="345">
        <v>48</v>
      </c>
      <c r="Y98" s="345">
        <v>0</v>
      </c>
      <c r="Z98" s="345">
        <v>32</v>
      </c>
      <c r="AA98" s="345">
        <v>19</v>
      </c>
      <c r="AB98" s="345">
        <v>1</v>
      </c>
      <c r="AC98" s="345">
        <v>11</v>
      </c>
      <c r="AD98" s="349">
        <v>5435</v>
      </c>
      <c r="AE98" s="349">
        <v>27</v>
      </c>
      <c r="AF98" s="349">
        <v>3</v>
      </c>
      <c r="AG98" s="349">
        <v>30</v>
      </c>
    </row>
    <row r="99" spans="1:33" x14ac:dyDescent="0.2">
      <c r="A99" s="344" t="s">
        <v>254</v>
      </c>
      <c r="B99" s="350" t="s">
        <v>255</v>
      </c>
      <c r="C99" s="346">
        <v>7620</v>
      </c>
      <c r="D99" s="346">
        <v>0</v>
      </c>
      <c r="E99" s="346">
        <v>414</v>
      </c>
      <c r="F99" s="346">
        <v>1445</v>
      </c>
      <c r="G99" s="346">
        <v>264</v>
      </c>
      <c r="H99" s="346">
        <v>9743</v>
      </c>
      <c r="I99" s="345">
        <v>9479</v>
      </c>
      <c r="J99" s="345">
        <v>25</v>
      </c>
      <c r="K99" s="347">
        <v>93.69</v>
      </c>
      <c r="L99" s="347">
        <v>92.24</v>
      </c>
      <c r="M99" s="347">
        <v>3.61</v>
      </c>
      <c r="N99" s="347">
        <v>95.06</v>
      </c>
      <c r="O99" s="348">
        <v>7039</v>
      </c>
      <c r="P99" s="345">
        <v>81.569999999999993</v>
      </c>
      <c r="Q99" s="345">
        <v>78.11</v>
      </c>
      <c r="R99" s="345">
        <v>33.270000000000003</v>
      </c>
      <c r="S99" s="345">
        <v>113.52</v>
      </c>
      <c r="T99" s="345">
        <v>1720</v>
      </c>
      <c r="U99" s="345">
        <v>104.11</v>
      </c>
      <c r="V99" s="345">
        <v>385</v>
      </c>
      <c r="W99" s="345">
        <v>168.32</v>
      </c>
      <c r="X99" s="345">
        <v>23</v>
      </c>
      <c r="Y99" s="345">
        <v>0</v>
      </c>
      <c r="Z99" s="345">
        <v>4</v>
      </c>
      <c r="AA99" s="345">
        <v>12</v>
      </c>
      <c r="AB99" s="345">
        <v>12</v>
      </c>
      <c r="AC99" s="345">
        <v>12</v>
      </c>
      <c r="AD99" s="349">
        <v>7606</v>
      </c>
      <c r="AE99" s="349">
        <v>50</v>
      </c>
      <c r="AF99" s="349">
        <v>15</v>
      </c>
      <c r="AG99" s="349">
        <v>65</v>
      </c>
    </row>
    <row r="100" spans="1:33" x14ac:dyDescent="0.2">
      <c r="A100" s="344" t="s">
        <v>256</v>
      </c>
      <c r="B100" s="350" t="s">
        <v>257</v>
      </c>
      <c r="C100" s="346">
        <v>1621</v>
      </c>
      <c r="D100" s="346">
        <v>12</v>
      </c>
      <c r="E100" s="346">
        <v>234</v>
      </c>
      <c r="F100" s="346">
        <v>593</v>
      </c>
      <c r="G100" s="346">
        <v>155</v>
      </c>
      <c r="H100" s="346">
        <v>2615</v>
      </c>
      <c r="I100" s="345">
        <v>2460</v>
      </c>
      <c r="J100" s="345">
        <v>54</v>
      </c>
      <c r="K100" s="347">
        <v>98.2</v>
      </c>
      <c r="L100" s="347">
        <v>94.85</v>
      </c>
      <c r="M100" s="347">
        <v>5.61</v>
      </c>
      <c r="N100" s="347">
        <v>102.92</v>
      </c>
      <c r="O100" s="348">
        <v>1447</v>
      </c>
      <c r="P100" s="345">
        <v>79</v>
      </c>
      <c r="Q100" s="345">
        <v>74.31</v>
      </c>
      <c r="R100" s="345">
        <v>39.049999999999997</v>
      </c>
      <c r="S100" s="345">
        <v>117.71</v>
      </c>
      <c r="T100" s="345">
        <v>689</v>
      </c>
      <c r="U100" s="345">
        <v>132.88999999999999</v>
      </c>
      <c r="V100" s="345">
        <v>169</v>
      </c>
      <c r="W100" s="345">
        <v>170.79</v>
      </c>
      <c r="X100" s="345">
        <v>32</v>
      </c>
      <c r="Y100" s="345">
        <v>0</v>
      </c>
      <c r="Z100" s="345">
        <v>0</v>
      </c>
      <c r="AA100" s="345">
        <v>5</v>
      </c>
      <c r="AB100" s="345">
        <v>0</v>
      </c>
      <c r="AC100" s="345">
        <v>5</v>
      </c>
      <c r="AD100" s="349">
        <v>1621</v>
      </c>
      <c r="AE100" s="349">
        <v>3</v>
      </c>
      <c r="AF100" s="349">
        <v>2</v>
      </c>
      <c r="AG100" s="349">
        <v>5</v>
      </c>
    </row>
    <row r="101" spans="1:33" x14ac:dyDescent="0.2">
      <c r="A101" s="344" t="s">
        <v>258</v>
      </c>
      <c r="B101" s="350" t="s">
        <v>259</v>
      </c>
      <c r="C101" s="346">
        <v>5272</v>
      </c>
      <c r="D101" s="346">
        <v>0</v>
      </c>
      <c r="E101" s="346">
        <v>181</v>
      </c>
      <c r="F101" s="346">
        <v>1189</v>
      </c>
      <c r="G101" s="346">
        <v>537</v>
      </c>
      <c r="H101" s="346">
        <v>7179</v>
      </c>
      <c r="I101" s="345">
        <v>6642</v>
      </c>
      <c r="J101" s="345">
        <v>0</v>
      </c>
      <c r="K101" s="347">
        <v>110.94</v>
      </c>
      <c r="L101" s="347">
        <v>110.4</v>
      </c>
      <c r="M101" s="347">
        <v>4.63</v>
      </c>
      <c r="N101" s="347">
        <v>113.33</v>
      </c>
      <c r="O101" s="348">
        <v>4367</v>
      </c>
      <c r="P101" s="345">
        <v>96.55</v>
      </c>
      <c r="Q101" s="345">
        <v>96.11</v>
      </c>
      <c r="R101" s="345">
        <v>22.49</v>
      </c>
      <c r="S101" s="345">
        <v>115.93</v>
      </c>
      <c r="T101" s="345">
        <v>1111</v>
      </c>
      <c r="U101" s="345">
        <v>143.9</v>
      </c>
      <c r="V101" s="345">
        <v>766</v>
      </c>
      <c r="W101" s="345">
        <v>145.74</v>
      </c>
      <c r="X101" s="345">
        <v>191</v>
      </c>
      <c r="Y101" s="345">
        <v>9</v>
      </c>
      <c r="Z101" s="345">
        <v>26</v>
      </c>
      <c r="AA101" s="345">
        <v>2</v>
      </c>
      <c r="AB101" s="345">
        <v>23</v>
      </c>
      <c r="AC101" s="345">
        <v>85</v>
      </c>
      <c r="AD101" s="349">
        <v>5272</v>
      </c>
      <c r="AE101" s="349">
        <v>7</v>
      </c>
      <c r="AF101" s="349">
        <v>23</v>
      </c>
      <c r="AG101" s="349">
        <v>30</v>
      </c>
    </row>
    <row r="102" spans="1:33" x14ac:dyDescent="0.2">
      <c r="A102" s="344" t="s">
        <v>260</v>
      </c>
      <c r="B102" s="350" t="s">
        <v>261</v>
      </c>
      <c r="C102" s="346">
        <v>2128</v>
      </c>
      <c r="D102" s="346">
        <v>0</v>
      </c>
      <c r="E102" s="346">
        <v>160</v>
      </c>
      <c r="F102" s="346">
        <v>185</v>
      </c>
      <c r="G102" s="346">
        <v>187</v>
      </c>
      <c r="H102" s="346">
        <v>2660</v>
      </c>
      <c r="I102" s="345">
        <v>2473</v>
      </c>
      <c r="J102" s="345">
        <v>45</v>
      </c>
      <c r="K102" s="347">
        <v>97.94</v>
      </c>
      <c r="L102" s="347">
        <v>97.19</v>
      </c>
      <c r="M102" s="347">
        <v>4.49</v>
      </c>
      <c r="N102" s="347">
        <v>99.6</v>
      </c>
      <c r="O102" s="348">
        <v>1963</v>
      </c>
      <c r="P102" s="345">
        <v>85.94</v>
      </c>
      <c r="Q102" s="345">
        <v>81.790000000000006</v>
      </c>
      <c r="R102" s="345">
        <v>33.65</v>
      </c>
      <c r="S102" s="345">
        <v>118.21</v>
      </c>
      <c r="T102" s="345">
        <v>342</v>
      </c>
      <c r="U102" s="345">
        <v>111</v>
      </c>
      <c r="V102" s="345">
        <v>129</v>
      </c>
      <c r="W102" s="345">
        <v>0</v>
      </c>
      <c r="X102" s="345">
        <v>0</v>
      </c>
      <c r="Y102" s="345">
        <v>0</v>
      </c>
      <c r="Z102" s="345">
        <v>6</v>
      </c>
      <c r="AA102" s="345">
        <v>6</v>
      </c>
      <c r="AB102" s="345">
        <v>3</v>
      </c>
      <c r="AC102" s="345">
        <v>1</v>
      </c>
      <c r="AD102" s="349">
        <v>2091</v>
      </c>
      <c r="AE102" s="349">
        <v>36</v>
      </c>
      <c r="AF102" s="349">
        <v>7</v>
      </c>
      <c r="AG102" s="349">
        <v>43</v>
      </c>
    </row>
    <row r="103" spans="1:33" x14ac:dyDescent="0.2">
      <c r="A103" s="344" t="s">
        <v>262</v>
      </c>
      <c r="B103" s="350" t="s">
        <v>263</v>
      </c>
      <c r="C103" s="346">
        <v>4474</v>
      </c>
      <c r="D103" s="346">
        <v>19</v>
      </c>
      <c r="E103" s="346">
        <v>93</v>
      </c>
      <c r="F103" s="346">
        <v>956</v>
      </c>
      <c r="G103" s="346">
        <v>377</v>
      </c>
      <c r="H103" s="346">
        <v>5919</v>
      </c>
      <c r="I103" s="345">
        <v>5542</v>
      </c>
      <c r="J103" s="345">
        <v>17</v>
      </c>
      <c r="K103" s="347">
        <v>128.97</v>
      </c>
      <c r="L103" s="347">
        <v>132.38999999999999</v>
      </c>
      <c r="M103" s="347">
        <v>7.42</v>
      </c>
      <c r="N103" s="347">
        <v>132.63</v>
      </c>
      <c r="O103" s="348">
        <v>3757</v>
      </c>
      <c r="P103" s="345">
        <v>109.91</v>
      </c>
      <c r="Q103" s="345">
        <v>107.81</v>
      </c>
      <c r="R103" s="345">
        <v>24.37</v>
      </c>
      <c r="S103" s="345">
        <v>134.25</v>
      </c>
      <c r="T103" s="345">
        <v>802</v>
      </c>
      <c r="U103" s="345">
        <v>198.95</v>
      </c>
      <c r="V103" s="345">
        <v>485</v>
      </c>
      <c r="W103" s="345">
        <v>151.72999999999999</v>
      </c>
      <c r="X103" s="345">
        <v>8</v>
      </c>
      <c r="Y103" s="345">
        <v>1</v>
      </c>
      <c r="Z103" s="345">
        <v>11</v>
      </c>
      <c r="AA103" s="345">
        <v>4</v>
      </c>
      <c r="AB103" s="345">
        <v>31</v>
      </c>
      <c r="AC103" s="345">
        <v>14</v>
      </c>
      <c r="AD103" s="349">
        <v>4354</v>
      </c>
      <c r="AE103" s="349">
        <v>4</v>
      </c>
      <c r="AF103" s="349">
        <v>35</v>
      </c>
      <c r="AG103" s="349">
        <v>39</v>
      </c>
    </row>
    <row r="104" spans="1:33" x14ac:dyDescent="0.2">
      <c r="A104" s="344" t="s">
        <v>264</v>
      </c>
      <c r="B104" s="350" t="s">
        <v>265</v>
      </c>
      <c r="C104" s="346">
        <v>6700</v>
      </c>
      <c r="D104" s="346">
        <v>21</v>
      </c>
      <c r="E104" s="346">
        <v>989</v>
      </c>
      <c r="F104" s="346">
        <v>655</v>
      </c>
      <c r="G104" s="346">
        <v>1090</v>
      </c>
      <c r="H104" s="346">
        <v>9455</v>
      </c>
      <c r="I104" s="345">
        <v>8365</v>
      </c>
      <c r="J104" s="345">
        <v>16</v>
      </c>
      <c r="K104" s="347">
        <v>128.84</v>
      </c>
      <c r="L104" s="347">
        <v>129.19999999999999</v>
      </c>
      <c r="M104" s="347">
        <v>9.77</v>
      </c>
      <c r="N104" s="347">
        <v>135.08000000000001</v>
      </c>
      <c r="O104" s="348">
        <v>5549</v>
      </c>
      <c r="P104" s="345">
        <v>99.4</v>
      </c>
      <c r="Q104" s="345">
        <v>96.07</v>
      </c>
      <c r="R104" s="345">
        <v>53.16</v>
      </c>
      <c r="S104" s="345">
        <v>149.22</v>
      </c>
      <c r="T104" s="345">
        <v>1498</v>
      </c>
      <c r="U104" s="345">
        <v>187.5</v>
      </c>
      <c r="V104" s="345">
        <v>454</v>
      </c>
      <c r="W104" s="345">
        <v>0</v>
      </c>
      <c r="X104" s="345">
        <v>0</v>
      </c>
      <c r="Y104" s="345">
        <v>4</v>
      </c>
      <c r="Z104" s="345">
        <v>5</v>
      </c>
      <c r="AA104" s="345">
        <v>6</v>
      </c>
      <c r="AB104" s="345">
        <v>98</v>
      </c>
      <c r="AC104" s="345">
        <v>25</v>
      </c>
      <c r="AD104" s="349">
        <v>6431</v>
      </c>
      <c r="AE104" s="349">
        <v>30</v>
      </c>
      <c r="AF104" s="349">
        <v>63</v>
      </c>
      <c r="AG104" s="349">
        <v>93</v>
      </c>
    </row>
    <row r="105" spans="1:33" x14ac:dyDescent="0.2">
      <c r="A105" s="344" t="s">
        <v>266</v>
      </c>
      <c r="B105" s="350" t="s">
        <v>267</v>
      </c>
      <c r="C105" s="346">
        <v>1381</v>
      </c>
      <c r="D105" s="346">
        <v>0</v>
      </c>
      <c r="E105" s="346">
        <v>148</v>
      </c>
      <c r="F105" s="346">
        <v>232</v>
      </c>
      <c r="G105" s="346">
        <v>319</v>
      </c>
      <c r="H105" s="346">
        <v>2080</v>
      </c>
      <c r="I105" s="345">
        <v>1761</v>
      </c>
      <c r="J105" s="345">
        <v>2</v>
      </c>
      <c r="K105" s="347">
        <v>123.03</v>
      </c>
      <c r="L105" s="347">
        <v>121.49</v>
      </c>
      <c r="M105" s="347">
        <v>4.62</v>
      </c>
      <c r="N105" s="347">
        <v>127.08</v>
      </c>
      <c r="O105" s="348">
        <v>1234</v>
      </c>
      <c r="P105" s="345">
        <v>97.78</v>
      </c>
      <c r="Q105" s="345">
        <v>92.12</v>
      </c>
      <c r="R105" s="345">
        <v>59.13</v>
      </c>
      <c r="S105" s="345">
        <v>156.28</v>
      </c>
      <c r="T105" s="345">
        <v>280</v>
      </c>
      <c r="U105" s="345">
        <v>174.09</v>
      </c>
      <c r="V105" s="345">
        <v>125</v>
      </c>
      <c r="W105" s="345">
        <v>0</v>
      </c>
      <c r="X105" s="345">
        <v>0</v>
      </c>
      <c r="Y105" s="345">
        <v>0</v>
      </c>
      <c r="Z105" s="345">
        <v>0</v>
      </c>
      <c r="AA105" s="345">
        <v>0</v>
      </c>
      <c r="AB105" s="345">
        <v>41</v>
      </c>
      <c r="AC105" s="345">
        <v>9</v>
      </c>
      <c r="AD105" s="349">
        <v>1379</v>
      </c>
      <c r="AE105" s="349">
        <v>2</v>
      </c>
      <c r="AF105" s="349">
        <v>3</v>
      </c>
      <c r="AG105" s="349">
        <v>5</v>
      </c>
    </row>
    <row r="106" spans="1:33" x14ac:dyDescent="0.2">
      <c r="A106" s="344" t="s">
        <v>268</v>
      </c>
      <c r="B106" s="350" t="s">
        <v>269</v>
      </c>
      <c r="C106" s="346">
        <v>2075</v>
      </c>
      <c r="D106" s="346">
        <v>0</v>
      </c>
      <c r="E106" s="346">
        <v>197</v>
      </c>
      <c r="F106" s="346">
        <v>382</v>
      </c>
      <c r="G106" s="346">
        <v>327</v>
      </c>
      <c r="H106" s="346">
        <v>2981</v>
      </c>
      <c r="I106" s="345">
        <v>2654</v>
      </c>
      <c r="J106" s="345">
        <v>0</v>
      </c>
      <c r="K106" s="347">
        <v>120.87</v>
      </c>
      <c r="L106" s="347">
        <v>114.57</v>
      </c>
      <c r="M106" s="347">
        <v>7.51</v>
      </c>
      <c r="N106" s="347">
        <v>125.12</v>
      </c>
      <c r="O106" s="348">
        <v>1917</v>
      </c>
      <c r="P106" s="345">
        <v>114.7</v>
      </c>
      <c r="Q106" s="345">
        <v>98.69</v>
      </c>
      <c r="R106" s="345">
        <v>25.43</v>
      </c>
      <c r="S106" s="345">
        <v>138.93</v>
      </c>
      <c r="T106" s="345">
        <v>382</v>
      </c>
      <c r="U106" s="345">
        <v>179.77</v>
      </c>
      <c r="V106" s="345">
        <v>141</v>
      </c>
      <c r="W106" s="345">
        <v>211.56</v>
      </c>
      <c r="X106" s="345">
        <v>49</v>
      </c>
      <c r="Y106" s="345">
        <v>36</v>
      </c>
      <c r="Z106" s="345">
        <v>2</v>
      </c>
      <c r="AA106" s="345">
        <v>15</v>
      </c>
      <c r="AB106" s="345">
        <v>3</v>
      </c>
      <c r="AC106" s="345">
        <v>15</v>
      </c>
      <c r="AD106" s="349">
        <v>2075</v>
      </c>
      <c r="AE106" s="349">
        <v>2</v>
      </c>
      <c r="AF106" s="349">
        <v>3</v>
      </c>
      <c r="AG106" s="349">
        <v>5</v>
      </c>
    </row>
    <row r="107" spans="1:33" x14ac:dyDescent="0.2">
      <c r="A107" s="344" t="s">
        <v>270</v>
      </c>
      <c r="B107" s="350" t="s">
        <v>271</v>
      </c>
      <c r="C107" s="346">
        <v>4603</v>
      </c>
      <c r="D107" s="346">
        <v>0</v>
      </c>
      <c r="E107" s="346">
        <v>80</v>
      </c>
      <c r="F107" s="346">
        <v>1901</v>
      </c>
      <c r="G107" s="346">
        <v>166</v>
      </c>
      <c r="H107" s="346">
        <v>6750</v>
      </c>
      <c r="I107" s="345">
        <v>6584</v>
      </c>
      <c r="J107" s="345">
        <v>1</v>
      </c>
      <c r="K107" s="347">
        <v>90.42</v>
      </c>
      <c r="L107" s="347">
        <v>92.57</v>
      </c>
      <c r="M107" s="347">
        <v>2.74</v>
      </c>
      <c r="N107" s="347">
        <v>91.95</v>
      </c>
      <c r="O107" s="348">
        <v>4426</v>
      </c>
      <c r="P107" s="345">
        <v>81.53</v>
      </c>
      <c r="Q107" s="345">
        <v>82.4</v>
      </c>
      <c r="R107" s="345">
        <v>7.83</v>
      </c>
      <c r="S107" s="345">
        <v>88.51</v>
      </c>
      <c r="T107" s="345">
        <v>1972</v>
      </c>
      <c r="U107" s="345">
        <v>95.36</v>
      </c>
      <c r="V107" s="345">
        <v>120</v>
      </c>
      <c r="W107" s="345">
        <v>0</v>
      </c>
      <c r="X107" s="345">
        <v>0</v>
      </c>
      <c r="Y107" s="345">
        <v>0</v>
      </c>
      <c r="Z107" s="345">
        <v>17</v>
      </c>
      <c r="AA107" s="345">
        <v>2</v>
      </c>
      <c r="AB107" s="345">
        <v>10</v>
      </c>
      <c r="AC107" s="345">
        <v>6</v>
      </c>
      <c r="AD107" s="349">
        <v>4602</v>
      </c>
      <c r="AE107" s="349">
        <v>24</v>
      </c>
      <c r="AF107" s="349">
        <v>17</v>
      </c>
      <c r="AG107" s="349">
        <v>41</v>
      </c>
    </row>
    <row r="108" spans="1:33" x14ac:dyDescent="0.2">
      <c r="A108" s="344" t="s">
        <v>272</v>
      </c>
      <c r="B108" s="350" t="s">
        <v>273</v>
      </c>
      <c r="C108" s="346">
        <v>3486</v>
      </c>
      <c r="D108" s="346">
        <v>0</v>
      </c>
      <c r="E108" s="346">
        <v>586</v>
      </c>
      <c r="F108" s="346">
        <v>238</v>
      </c>
      <c r="G108" s="346">
        <v>402</v>
      </c>
      <c r="H108" s="346">
        <v>4712</v>
      </c>
      <c r="I108" s="345">
        <v>4310</v>
      </c>
      <c r="J108" s="345">
        <v>26</v>
      </c>
      <c r="K108" s="347">
        <v>89.42</v>
      </c>
      <c r="L108" s="347">
        <v>88.65</v>
      </c>
      <c r="M108" s="347">
        <v>7.6</v>
      </c>
      <c r="N108" s="347">
        <v>95.09</v>
      </c>
      <c r="O108" s="348">
        <v>3135</v>
      </c>
      <c r="P108" s="345">
        <v>85.56</v>
      </c>
      <c r="Q108" s="345">
        <v>66.959999999999994</v>
      </c>
      <c r="R108" s="345">
        <v>65.290000000000006</v>
      </c>
      <c r="S108" s="345">
        <v>144.04</v>
      </c>
      <c r="T108" s="345">
        <v>499</v>
      </c>
      <c r="U108" s="345">
        <v>120.84</v>
      </c>
      <c r="V108" s="345">
        <v>171</v>
      </c>
      <c r="W108" s="345">
        <v>0</v>
      </c>
      <c r="X108" s="345">
        <v>0</v>
      </c>
      <c r="Y108" s="345">
        <v>74</v>
      </c>
      <c r="Z108" s="345">
        <v>0</v>
      </c>
      <c r="AA108" s="345">
        <v>15</v>
      </c>
      <c r="AB108" s="345">
        <v>24</v>
      </c>
      <c r="AC108" s="345">
        <v>4</v>
      </c>
      <c r="AD108" s="349">
        <v>3318</v>
      </c>
      <c r="AE108" s="349">
        <v>17</v>
      </c>
      <c r="AF108" s="349">
        <v>45</v>
      </c>
      <c r="AG108" s="349">
        <v>62</v>
      </c>
    </row>
    <row r="109" spans="1:33" x14ac:dyDescent="0.2">
      <c r="A109" s="344" t="s">
        <v>274</v>
      </c>
      <c r="B109" s="350" t="s">
        <v>275</v>
      </c>
      <c r="C109" s="346">
        <v>1405</v>
      </c>
      <c r="D109" s="346">
        <v>0</v>
      </c>
      <c r="E109" s="346">
        <v>182</v>
      </c>
      <c r="F109" s="346">
        <v>182</v>
      </c>
      <c r="G109" s="346">
        <v>276</v>
      </c>
      <c r="H109" s="346">
        <v>2045</v>
      </c>
      <c r="I109" s="345">
        <v>1769</v>
      </c>
      <c r="J109" s="345">
        <v>0</v>
      </c>
      <c r="K109" s="347">
        <v>110.09</v>
      </c>
      <c r="L109" s="347">
        <v>109.68</v>
      </c>
      <c r="M109" s="347">
        <v>7.22</v>
      </c>
      <c r="N109" s="347">
        <v>115.45</v>
      </c>
      <c r="O109" s="348">
        <v>1050</v>
      </c>
      <c r="P109" s="345">
        <v>93.15</v>
      </c>
      <c r="Q109" s="345">
        <v>89.35</v>
      </c>
      <c r="R109" s="345">
        <v>39.76</v>
      </c>
      <c r="S109" s="345">
        <v>130.5</v>
      </c>
      <c r="T109" s="345">
        <v>247</v>
      </c>
      <c r="U109" s="345">
        <v>144.68</v>
      </c>
      <c r="V109" s="345">
        <v>235</v>
      </c>
      <c r="W109" s="345">
        <v>113.63</v>
      </c>
      <c r="X109" s="345">
        <v>1</v>
      </c>
      <c r="Y109" s="345">
        <v>1</v>
      </c>
      <c r="Z109" s="345">
        <v>13</v>
      </c>
      <c r="AA109" s="345">
        <v>1</v>
      </c>
      <c r="AB109" s="345">
        <v>24</v>
      </c>
      <c r="AC109" s="345">
        <v>7</v>
      </c>
      <c r="AD109" s="349">
        <v>1393</v>
      </c>
      <c r="AE109" s="349">
        <v>2</v>
      </c>
      <c r="AF109" s="349">
        <v>4</v>
      </c>
      <c r="AG109" s="349">
        <v>6</v>
      </c>
    </row>
    <row r="110" spans="1:33" x14ac:dyDescent="0.2">
      <c r="A110" s="344" t="s">
        <v>276</v>
      </c>
      <c r="B110" s="350" t="s">
        <v>277</v>
      </c>
      <c r="C110" s="346">
        <v>4661</v>
      </c>
      <c r="D110" s="346">
        <v>0</v>
      </c>
      <c r="E110" s="346">
        <v>216</v>
      </c>
      <c r="F110" s="346">
        <v>685</v>
      </c>
      <c r="G110" s="346">
        <v>162</v>
      </c>
      <c r="H110" s="346">
        <v>5724</v>
      </c>
      <c r="I110" s="345">
        <v>5562</v>
      </c>
      <c r="J110" s="345">
        <v>13</v>
      </c>
      <c r="K110" s="347">
        <v>92.02</v>
      </c>
      <c r="L110" s="347">
        <v>89.08</v>
      </c>
      <c r="M110" s="347">
        <v>3.58</v>
      </c>
      <c r="N110" s="347">
        <v>93.25</v>
      </c>
      <c r="O110" s="348">
        <v>4445</v>
      </c>
      <c r="P110" s="345">
        <v>86.25</v>
      </c>
      <c r="Q110" s="345">
        <v>83.66</v>
      </c>
      <c r="R110" s="345">
        <v>34.200000000000003</v>
      </c>
      <c r="S110" s="345">
        <v>120.45</v>
      </c>
      <c r="T110" s="345">
        <v>827</v>
      </c>
      <c r="U110" s="345">
        <v>111.36</v>
      </c>
      <c r="V110" s="345">
        <v>204</v>
      </c>
      <c r="W110" s="345">
        <v>0</v>
      </c>
      <c r="X110" s="345">
        <v>0</v>
      </c>
      <c r="Y110" s="345">
        <v>0</v>
      </c>
      <c r="Z110" s="345">
        <v>16</v>
      </c>
      <c r="AA110" s="345">
        <v>1</v>
      </c>
      <c r="AB110" s="345">
        <v>7</v>
      </c>
      <c r="AC110" s="345">
        <v>10</v>
      </c>
      <c r="AD110" s="349">
        <v>4658</v>
      </c>
      <c r="AE110" s="349">
        <v>19</v>
      </c>
      <c r="AF110" s="349">
        <v>23</v>
      </c>
      <c r="AG110" s="349">
        <v>42</v>
      </c>
    </row>
    <row r="111" spans="1:33" x14ac:dyDescent="0.2">
      <c r="A111" s="344" t="s">
        <v>278</v>
      </c>
      <c r="B111" s="350" t="s">
        <v>279</v>
      </c>
      <c r="C111" s="346">
        <v>1584</v>
      </c>
      <c r="D111" s="346">
        <v>0</v>
      </c>
      <c r="E111" s="346">
        <v>112</v>
      </c>
      <c r="F111" s="346">
        <v>293</v>
      </c>
      <c r="G111" s="346">
        <v>227</v>
      </c>
      <c r="H111" s="346">
        <v>2216</v>
      </c>
      <c r="I111" s="345">
        <v>1989</v>
      </c>
      <c r="J111" s="345">
        <v>10</v>
      </c>
      <c r="K111" s="347">
        <v>96.79</v>
      </c>
      <c r="L111" s="347">
        <v>97.46</v>
      </c>
      <c r="M111" s="347">
        <v>5.63</v>
      </c>
      <c r="N111" s="347">
        <v>100.71</v>
      </c>
      <c r="O111" s="348">
        <v>1223</v>
      </c>
      <c r="P111" s="345">
        <v>92.76</v>
      </c>
      <c r="Q111" s="345">
        <v>87.25</v>
      </c>
      <c r="R111" s="345">
        <v>33.54</v>
      </c>
      <c r="S111" s="345">
        <v>121.67</v>
      </c>
      <c r="T111" s="345">
        <v>362</v>
      </c>
      <c r="U111" s="345">
        <v>140.57</v>
      </c>
      <c r="V111" s="345">
        <v>155</v>
      </c>
      <c r="W111" s="345">
        <v>0</v>
      </c>
      <c r="X111" s="345">
        <v>0</v>
      </c>
      <c r="Y111" s="345">
        <v>18</v>
      </c>
      <c r="Z111" s="345">
        <v>2</v>
      </c>
      <c r="AA111" s="345">
        <v>3</v>
      </c>
      <c r="AB111" s="345">
        <v>11</v>
      </c>
      <c r="AC111" s="345">
        <v>3</v>
      </c>
      <c r="AD111" s="349">
        <v>1425</v>
      </c>
      <c r="AE111" s="349">
        <v>11</v>
      </c>
      <c r="AF111" s="349">
        <v>29</v>
      </c>
      <c r="AG111" s="349">
        <v>40</v>
      </c>
    </row>
    <row r="112" spans="1:33" x14ac:dyDescent="0.2">
      <c r="A112" s="344" t="s">
        <v>280</v>
      </c>
      <c r="B112" s="350" t="s">
        <v>281</v>
      </c>
      <c r="C112" s="346">
        <v>3786</v>
      </c>
      <c r="D112" s="346">
        <v>14</v>
      </c>
      <c r="E112" s="346">
        <v>57</v>
      </c>
      <c r="F112" s="346">
        <v>1130</v>
      </c>
      <c r="G112" s="346">
        <v>185</v>
      </c>
      <c r="H112" s="346">
        <v>5172</v>
      </c>
      <c r="I112" s="345">
        <v>4987</v>
      </c>
      <c r="J112" s="345">
        <v>8</v>
      </c>
      <c r="K112" s="347">
        <v>96.81</v>
      </c>
      <c r="L112" s="347">
        <v>93.87</v>
      </c>
      <c r="M112" s="347">
        <v>1.44</v>
      </c>
      <c r="N112" s="347">
        <v>98</v>
      </c>
      <c r="O112" s="348">
        <v>3058</v>
      </c>
      <c r="P112" s="345">
        <v>90.23</v>
      </c>
      <c r="Q112" s="345">
        <v>82.89</v>
      </c>
      <c r="R112" s="345">
        <v>16.690000000000001</v>
      </c>
      <c r="S112" s="345">
        <v>106.9</v>
      </c>
      <c r="T112" s="345">
        <v>1097</v>
      </c>
      <c r="U112" s="345">
        <v>111.23</v>
      </c>
      <c r="V112" s="345">
        <v>330</v>
      </c>
      <c r="W112" s="345">
        <v>202.49</v>
      </c>
      <c r="X112" s="345">
        <v>68</v>
      </c>
      <c r="Y112" s="345">
        <v>0</v>
      </c>
      <c r="Z112" s="345">
        <v>8</v>
      </c>
      <c r="AA112" s="345">
        <v>15</v>
      </c>
      <c r="AB112" s="345">
        <v>10</v>
      </c>
      <c r="AC112" s="345">
        <v>6</v>
      </c>
      <c r="AD112" s="349">
        <v>3384</v>
      </c>
      <c r="AE112" s="349">
        <v>8</v>
      </c>
      <c r="AF112" s="349">
        <v>24</v>
      </c>
      <c r="AG112" s="349">
        <v>32</v>
      </c>
    </row>
    <row r="113" spans="1:33" x14ac:dyDescent="0.2">
      <c r="A113" s="344" t="s">
        <v>282</v>
      </c>
      <c r="B113" s="350" t="s">
        <v>283</v>
      </c>
      <c r="C113" s="346">
        <v>1963</v>
      </c>
      <c r="D113" s="346">
        <v>0</v>
      </c>
      <c r="E113" s="346">
        <v>132</v>
      </c>
      <c r="F113" s="346">
        <v>542</v>
      </c>
      <c r="G113" s="346">
        <v>73</v>
      </c>
      <c r="H113" s="346">
        <v>2710</v>
      </c>
      <c r="I113" s="345">
        <v>2637</v>
      </c>
      <c r="J113" s="345">
        <v>0</v>
      </c>
      <c r="K113" s="347">
        <v>89.21</v>
      </c>
      <c r="L113" s="347">
        <v>90.06</v>
      </c>
      <c r="M113" s="347">
        <v>3.26</v>
      </c>
      <c r="N113" s="347">
        <v>92.11</v>
      </c>
      <c r="O113" s="348">
        <v>1738</v>
      </c>
      <c r="P113" s="345">
        <v>90.69</v>
      </c>
      <c r="Q113" s="345">
        <v>80.290000000000006</v>
      </c>
      <c r="R113" s="345">
        <v>18.55</v>
      </c>
      <c r="S113" s="345">
        <v>109.19</v>
      </c>
      <c r="T113" s="345">
        <v>639</v>
      </c>
      <c r="U113" s="345">
        <v>107.58</v>
      </c>
      <c r="V113" s="345">
        <v>204</v>
      </c>
      <c r="W113" s="345">
        <v>0</v>
      </c>
      <c r="X113" s="345">
        <v>0</v>
      </c>
      <c r="Y113" s="345">
        <v>0</v>
      </c>
      <c r="Z113" s="345">
        <v>7</v>
      </c>
      <c r="AA113" s="345">
        <v>1</v>
      </c>
      <c r="AB113" s="345">
        <v>0</v>
      </c>
      <c r="AC113" s="345">
        <v>0</v>
      </c>
      <c r="AD113" s="349">
        <v>1961</v>
      </c>
      <c r="AE113" s="349">
        <v>16</v>
      </c>
      <c r="AF113" s="349">
        <v>1</v>
      </c>
      <c r="AG113" s="349">
        <v>17</v>
      </c>
    </row>
    <row r="114" spans="1:33" x14ac:dyDescent="0.2">
      <c r="A114" s="344" t="s">
        <v>284</v>
      </c>
      <c r="B114" s="350" t="s">
        <v>285</v>
      </c>
      <c r="C114" s="346">
        <v>3704</v>
      </c>
      <c r="D114" s="346">
        <v>46</v>
      </c>
      <c r="E114" s="346">
        <v>276</v>
      </c>
      <c r="F114" s="346">
        <v>1064</v>
      </c>
      <c r="G114" s="346">
        <v>251</v>
      </c>
      <c r="H114" s="346">
        <v>5341</v>
      </c>
      <c r="I114" s="345">
        <v>5090</v>
      </c>
      <c r="J114" s="345">
        <v>3</v>
      </c>
      <c r="K114" s="347">
        <v>80.510000000000005</v>
      </c>
      <c r="L114" s="347">
        <v>79.45</v>
      </c>
      <c r="M114" s="347">
        <v>6.43</v>
      </c>
      <c r="N114" s="347">
        <v>84.13</v>
      </c>
      <c r="O114" s="348">
        <v>3027</v>
      </c>
      <c r="P114" s="345">
        <v>87.57</v>
      </c>
      <c r="Q114" s="345">
        <v>78.47</v>
      </c>
      <c r="R114" s="345">
        <v>38.44</v>
      </c>
      <c r="S114" s="345">
        <v>125.07</v>
      </c>
      <c r="T114" s="345">
        <v>1152</v>
      </c>
      <c r="U114" s="345">
        <v>94.77</v>
      </c>
      <c r="V114" s="345">
        <v>710</v>
      </c>
      <c r="W114" s="345">
        <v>147.33000000000001</v>
      </c>
      <c r="X114" s="345">
        <v>172</v>
      </c>
      <c r="Y114" s="345">
        <v>0</v>
      </c>
      <c r="Z114" s="345">
        <v>4</v>
      </c>
      <c r="AA114" s="345">
        <v>4</v>
      </c>
      <c r="AB114" s="345">
        <v>9</v>
      </c>
      <c r="AC114" s="345">
        <v>2</v>
      </c>
      <c r="AD114" s="349">
        <v>3561</v>
      </c>
      <c r="AE114" s="349">
        <v>47</v>
      </c>
      <c r="AF114" s="349">
        <v>16</v>
      </c>
      <c r="AG114" s="349">
        <v>63</v>
      </c>
    </row>
    <row r="115" spans="1:33" x14ac:dyDescent="0.2">
      <c r="A115" s="344" t="s">
        <v>286</v>
      </c>
      <c r="B115" s="350" t="s">
        <v>287</v>
      </c>
      <c r="C115" s="346">
        <v>3733</v>
      </c>
      <c r="D115" s="346">
        <v>0</v>
      </c>
      <c r="E115" s="346">
        <v>152</v>
      </c>
      <c r="F115" s="346">
        <v>1212</v>
      </c>
      <c r="G115" s="346">
        <v>218</v>
      </c>
      <c r="H115" s="346">
        <v>5315</v>
      </c>
      <c r="I115" s="345">
        <v>5097</v>
      </c>
      <c r="J115" s="345">
        <v>56</v>
      </c>
      <c r="K115" s="347">
        <v>84.88</v>
      </c>
      <c r="L115" s="347">
        <v>89.32</v>
      </c>
      <c r="M115" s="347">
        <v>4.6399999999999997</v>
      </c>
      <c r="N115" s="347">
        <v>86.58</v>
      </c>
      <c r="O115" s="348">
        <v>3654</v>
      </c>
      <c r="P115" s="345">
        <v>81.41</v>
      </c>
      <c r="Q115" s="345">
        <v>80.25</v>
      </c>
      <c r="R115" s="345">
        <v>19.54</v>
      </c>
      <c r="S115" s="345">
        <v>100.87</v>
      </c>
      <c r="T115" s="345">
        <v>1287</v>
      </c>
      <c r="U115" s="345">
        <v>112.88</v>
      </c>
      <c r="V115" s="345">
        <v>65</v>
      </c>
      <c r="W115" s="345">
        <v>173.34</v>
      </c>
      <c r="X115" s="345">
        <v>2</v>
      </c>
      <c r="Y115" s="345">
        <v>0</v>
      </c>
      <c r="Z115" s="345">
        <v>19</v>
      </c>
      <c r="AA115" s="345">
        <v>7</v>
      </c>
      <c r="AB115" s="345">
        <v>1</v>
      </c>
      <c r="AC115" s="345">
        <v>6</v>
      </c>
      <c r="AD115" s="349">
        <v>3733</v>
      </c>
      <c r="AE115" s="349">
        <v>26</v>
      </c>
      <c r="AF115" s="349">
        <v>2</v>
      </c>
      <c r="AG115" s="349">
        <v>28</v>
      </c>
    </row>
    <row r="116" spans="1:33" x14ac:dyDescent="0.2">
      <c r="A116" s="344" t="s">
        <v>288</v>
      </c>
      <c r="B116" s="350" t="s">
        <v>289</v>
      </c>
      <c r="C116" s="346">
        <v>6588</v>
      </c>
      <c r="D116" s="346">
        <v>6</v>
      </c>
      <c r="E116" s="346">
        <v>428</v>
      </c>
      <c r="F116" s="346">
        <v>945</v>
      </c>
      <c r="G116" s="346">
        <v>463</v>
      </c>
      <c r="H116" s="346">
        <v>8430</v>
      </c>
      <c r="I116" s="345">
        <v>7967</v>
      </c>
      <c r="J116" s="345">
        <v>259</v>
      </c>
      <c r="K116" s="347">
        <v>86.48</v>
      </c>
      <c r="L116" s="347">
        <v>85.86</v>
      </c>
      <c r="M116" s="347">
        <v>5.82</v>
      </c>
      <c r="N116" s="347">
        <v>89.06</v>
      </c>
      <c r="O116" s="348">
        <v>5878</v>
      </c>
      <c r="P116" s="345">
        <v>86.29</v>
      </c>
      <c r="Q116" s="345">
        <v>83.61</v>
      </c>
      <c r="R116" s="345">
        <v>40.299999999999997</v>
      </c>
      <c r="S116" s="345">
        <v>124.87</v>
      </c>
      <c r="T116" s="345">
        <v>1122</v>
      </c>
      <c r="U116" s="345">
        <v>118.69</v>
      </c>
      <c r="V116" s="345">
        <v>156</v>
      </c>
      <c r="W116" s="345">
        <v>172.9</v>
      </c>
      <c r="X116" s="345">
        <v>31</v>
      </c>
      <c r="Y116" s="345">
        <v>0</v>
      </c>
      <c r="Z116" s="345">
        <v>25</v>
      </c>
      <c r="AA116" s="345">
        <v>3</v>
      </c>
      <c r="AB116" s="345">
        <v>24</v>
      </c>
      <c r="AC116" s="345">
        <v>16</v>
      </c>
      <c r="AD116" s="349">
        <v>6089</v>
      </c>
      <c r="AE116" s="349">
        <v>17</v>
      </c>
      <c r="AF116" s="349">
        <v>5</v>
      </c>
      <c r="AG116" s="349">
        <v>22</v>
      </c>
    </row>
    <row r="117" spans="1:33" x14ac:dyDescent="0.2">
      <c r="A117" s="344" t="s">
        <v>290</v>
      </c>
      <c r="B117" s="350" t="s">
        <v>291</v>
      </c>
      <c r="C117" s="346">
        <v>2290</v>
      </c>
      <c r="D117" s="346">
        <v>13</v>
      </c>
      <c r="E117" s="346">
        <v>74</v>
      </c>
      <c r="F117" s="346">
        <v>568</v>
      </c>
      <c r="G117" s="346">
        <v>356</v>
      </c>
      <c r="H117" s="346">
        <v>3301</v>
      </c>
      <c r="I117" s="345">
        <v>2945</v>
      </c>
      <c r="J117" s="345">
        <v>0</v>
      </c>
      <c r="K117" s="347">
        <v>101.84</v>
      </c>
      <c r="L117" s="347">
        <v>104.14</v>
      </c>
      <c r="M117" s="347">
        <v>8.98</v>
      </c>
      <c r="N117" s="347">
        <v>109.54</v>
      </c>
      <c r="O117" s="348">
        <v>1886</v>
      </c>
      <c r="P117" s="345">
        <v>91.22</v>
      </c>
      <c r="Q117" s="345">
        <v>89.48</v>
      </c>
      <c r="R117" s="345">
        <v>30.08</v>
      </c>
      <c r="S117" s="345">
        <v>119.62</v>
      </c>
      <c r="T117" s="345">
        <v>377</v>
      </c>
      <c r="U117" s="345">
        <v>129.37</v>
      </c>
      <c r="V117" s="345">
        <v>246</v>
      </c>
      <c r="W117" s="345">
        <v>101.78</v>
      </c>
      <c r="X117" s="345">
        <v>16</v>
      </c>
      <c r="Y117" s="345">
        <v>0</v>
      </c>
      <c r="Z117" s="345">
        <v>33</v>
      </c>
      <c r="AA117" s="345">
        <v>1</v>
      </c>
      <c r="AB117" s="345">
        <v>17</v>
      </c>
      <c r="AC117" s="345">
        <v>15</v>
      </c>
      <c r="AD117" s="349">
        <v>2257</v>
      </c>
      <c r="AE117" s="349">
        <v>11</v>
      </c>
      <c r="AF117" s="349">
        <v>5</v>
      </c>
      <c r="AG117" s="349">
        <v>16</v>
      </c>
    </row>
    <row r="118" spans="1:33" x14ac:dyDescent="0.2">
      <c r="A118" s="344" t="s">
        <v>292</v>
      </c>
      <c r="B118" s="350" t="s">
        <v>293</v>
      </c>
      <c r="C118" s="346">
        <v>1388</v>
      </c>
      <c r="D118" s="346">
        <v>0</v>
      </c>
      <c r="E118" s="346">
        <v>86</v>
      </c>
      <c r="F118" s="346">
        <v>212</v>
      </c>
      <c r="G118" s="346">
        <v>257</v>
      </c>
      <c r="H118" s="346">
        <v>1943</v>
      </c>
      <c r="I118" s="345">
        <v>1686</v>
      </c>
      <c r="J118" s="345">
        <v>0</v>
      </c>
      <c r="K118" s="347">
        <v>108.46</v>
      </c>
      <c r="L118" s="347">
        <v>108.55</v>
      </c>
      <c r="M118" s="347">
        <v>5.87</v>
      </c>
      <c r="N118" s="347">
        <v>112.88</v>
      </c>
      <c r="O118" s="348">
        <v>732</v>
      </c>
      <c r="P118" s="345">
        <v>95.59</v>
      </c>
      <c r="Q118" s="345">
        <v>92.43</v>
      </c>
      <c r="R118" s="345">
        <v>56.41</v>
      </c>
      <c r="S118" s="345">
        <v>146.21</v>
      </c>
      <c r="T118" s="345">
        <v>78</v>
      </c>
      <c r="U118" s="345">
        <v>140.41999999999999</v>
      </c>
      <c r="V118" s="345">
        <v>263</v>
      </c>
      <c r="W118" s="345">
        <v>164.81</v>
      </c>
      <c r="X118" s="345">
        <v>57</v>
      </c>
      <c r="Y118" s="345">
        <v>0</v>
      </c>
      <c r="Z118" s="345">
        <v>1</v>
      </c>
      <c r="AA118" s="345">
        <v>13</v>
      </c>
      <c r="AB118" s="345">
        <v>14</v>
      </c>
      <c r="AC118" s="345">
        <v>6</v>
      </c>
      <c r="AD118" s="349">
        <v>1005</v>
      </c>
      <c r="AE118" s="349">
        <v>6</v>
      </c>
      <c r="AF118" s="349">
        <v>6</v>
      </c>
      <c r="AG118" s="349">
        <v>12</v>
      </c>
    </row>
    <row r="119" spans="1:33" x14ac:dyDescent="0.2">
      <c r="A119" s="344" t="s">
        <v>294</v>
      </c>
      <c r="B119" s="350" t="s">
        <v>295</v>
      </c>
      <c r="C119" s="346">
        <v>1416</v>
      </c>
      <c r="D119" s="346">
        <v>0</v>
      </c>
      <c r="E119" s="346">
        <v>248</v>
      </c>
      <c r="F119" s="346">
        <v>147</v>
      </c>
      <c r="G119" s="346">
        <v>105</v>
      </c>
      <c r="H119" s="346">
        <v>1916</v>
      </c>
      <c r="I119" s="345">
        <v>1811</v>
      </c>
      <c r="J119" s="345">
        <v>11</v>
      </c>
      <c r="K119" s="347">
        <v>89.26</v>
      </c>
      <c r="L119" s="347">
        <v>87.71</v>
      </c>
      <c r="M119" s="347">
        <v>5.41</v>
      </c>
      <c r="N119" s="347">
        <v>92.5</v>
      </c>
      <c r="O119" s="348">
        <v>1266</v>
      </c>
      <c r="P119" s="345">
        <v>97.37</v>
      </c>
      <c r="Q119" s="345">
        <v>85.82</v>
      </c>
      <c r="R119" s="345">
        <v>53.44</v>
      </c>
      <c r="S119" s="345">
        <v>150.62</v>
      </c>
      <c r="T119" s="345">
        <v>275</v>
      </c>
      <c r="U119" s="345">
        <v>99.5</v>
      </c>
      <c r="V119" s="345">
        <v>130</v>
      </c>
      <c r="W119" s="345">
        <v>0</v>
      </c>
      <c r="X119" s="345">
        <v>0</v>
      </c>
      <c r="Y119" s="345">
        <v>0</v>
      </c>
      <c r="Z119" s="345">
        <v>0</v>
      </c>
      <c r="AA119" s="345">
        <v>8</v>
      </c>
      <c r="AB119" s="345">
        <v>0</v>
      </c>
      <c r="AC119" s="345">
        <v>5</v>
      </c>
      <c r="AD119" s="349">
        <v>1416</v>
      </c>
      <c r="AE119" s="349">
        <v>5</v>
      </c>
      <c r="AF119" s="349">
        <v>6</v>
      </c>
      <c r="AG119" s="349">
        <v>11</v>
      </c>
    </row>
    <row r="120" spans="1:33" x14ac:dyDescent="0.2">
      <c r="A120" s="344" t="s">
        <v>296</v>
      </c>
      <c r="B120" s="350" t="s">
        <v>297</v>
      </c>
      <c r="C120" s="346">
        <v>12314</v>
      </c>
      <c r="D120" s="346">
        <v>67</v>
      </c>
      <c r="E120" s="346">
        <v>487</v>
      </c>
      <c r="F120" s="346">
        <v>990</v>
      </c>
      <c r="G120" s="346">
        <v>2140</v>
      </c>
      <c r="H120" s="346">
        <v>15998</v>
      </c>
      <c r="I120" s="345">
        <v>13858</v>
      </c>
      <c r="J120" s="345">
        <v>5</v>
      </c>
      <c r="K120" s="347">
        <v>119.42</v>
      </c>
      <c r="L120" s="347">
        <v>121.24</v>
      </c>
      <c r="M120" s="347">
        <v>11.92</v>
      </c>
      <c r="N120" s="347">
        <v>127.86</v>
      </c>
      <c r="O120" s="348">
        <v>10654</v>
      </c>
      <c r="P120" s="345">
        <v>106.71</v>
      </c>
      <c r="Q120" s="345">
        <v>101.86</v>
      </c>
      <c r="R120" s="345">
        <v>43.12</v>
      </c>
      <c r="S120" s="345">
        <v>144.54</v>
      </c>
      <c r="T120" s="345">
        <v>1199</v>
      </c>
      <c r="U120" s="345">
        <v>172.66</v>
      </c>
      <c r="V120" s="345">
        <v>930</v>
      </c>
      <c r="W120" s="345">
        <v>0</v>
      </c>
      <c r="X120" s="345">
        <v>0</v>
      </c>
      <c r="Y120" s="345">
        <v>0</v>
      </c>
      <c r="Z120" s="345">
        <v>15</v>
      </c>
      <c r="AA120" s="345">
        <v>8</v>
      </c>
      <c r="AB120" s="345">
        <v>307</v>
      </c>
      <c r="AC120" s="345">
        <v>65</v>
      </c>
      <c r="AD120" s="349">
        <v>12021</v>
      </c>
      <c r="AE120" s="349">
        <v>88</v>
      </c>
      <c r="AF120" s="349">
        <v>36</v>
      </c>
      <c r="AG120" s="349">
        <v>124</v>
      </c>
    </row>
    <row r="121" spans="1:33" x14ac:dyDescent="0.2">
      <c r="A121" s="344" t="s">
        <v>298</v>
      </c>
      <c r="B121" s="350" t="s">
        <v>299</v>
      </c>
      <c r="C121" s="346">
        <v>1723</v>
      </c>
      <c r="D121" s="346">
        <v>10</v>
      </c>
      <c r="E121" s="346">
        <v>261</v>
      </c>
      <c r="F121" s="346">
        <v>210</v>
      </c>
      <c r="G121" s="346">
        <v>377</v>
      </c>
      <c r="H121" s="346">
        <v>2581</v>
      </c>
      <c r="I121" s="345">
        <v>2204</v>
      </c>
      <c r="J121" s="345">
        <v>0</v>
      </c>
      <c r="K121" s="347">
        <v>127.35</v>
      </c>
      <c r="L121" s="347">
        <v>125.88</v>
      </c>
      <c r="M121" s="347">
        <v>7.22</v>
      </c>
      <c r="N121" s="347">
        <v>133.43</v>
      </c>
      <c r="O121" s="348">
        <v>1374</v>
      </c>
      <c r="P121" s="345">
        <v>98.77</v>
      </c>
      <c r="Q121" s="345">
        <v>96.4</v>
      </c>
      <c r="R121" s="345">
        <v>72.599999999999994</v>
      </c>
      <c r="S121" s="345">
        <v>171.04</v>
      </c>
      <c r="T121" s="345">
        <v>224</v>
      </c>
      <c r="U121" s="345">
        <v>161.97</v>
      </c>
      <c r="V121" s="345">
        <v>181</v>
      </c>
      <c r="W121" s="345">
        <v>138.03</v>
      </c>
      <c r="X121" s="345">
        <v>8</v>
      </c>
      <c r="Y121" s="345">
        <v>20</v>
      </c>
      <c r="Z121" s="345">
        <v>2</v>
      </c>
      <c r="AA121" s="345">
        <v>0</v>
      </c>
      <c r="AB121" s="345">
        <v>13</v>
      </c>
      <c r="AC121" s="345">
        <v>11</v>
      </c>
      <c r="AD121" s="349">
        <v>1545</v>
      </c>
      <c r="AE121" s="349">
        <v>10</v>
      </c>
      <c r="AF121" s="349">
        <v>4</v>
      </c>
      <c r="AG121" s="349">
        <v>14</v>
      </c>
    </row>
    <row r="122" spans="1:33" x14ac:dyDescent="0.2">
      <c r="A122" s="344" t="s">
        <v>300</v>
      </c>
      <c r="B122" s="350" t="s">
        <v>301</v>
      </c>
      <c r="C122" s="346">
        <v>20114</v>
      </c>
      <c r="D122" s="346">
        <v>515</v>
      </c>
      <c r="E122" s="346">
        <v>1655</v>
      </c>
      <c r="F122" s="346">
        <v>1710</v>
      </c>
      <c r="G122" s="346">
        <v>2595</v>
      </c>
      <c r="H122" s="346">
        <v>26589</v>
      </c>
      <c r="I122" s="345">
        <v>23994</v>
      </c>
      <c r="J122" s="345">
        <v>0</v>
      </c>
      <c r="K122" s="347">
        <v>123.55</v>
      </c>
      <c r="L122" s="347">
        <v>129.68</v>
      </c>
      <c r="M122" s="347">
        <v>11.88</v>
      </c>
      <c r="N122" s="347">
        <v>132.19</v>
      </c>
      <c r="O122" s="348">
        <v>17281</v>
      </c>
      <c r="P122" s="345">
        <v>111.64</v>
      </c>
      <c r="Q122" s="345">
        <v>111.79</v>
      </c>
      <c r="R122" s="345">
        <v>41.91</v>
      </c>
      <c r="S122" s="345">
        <v>152.07</v>
      </c>
      <c r="T122" s="345">
        <v>2895</v>
      </c>
      <c r="U122" s="345">
        <v>203.17</v>
      </c>
      <c r="V122" s="345">
        <v>895</v>
      </c>
      <c r="W122" s="345">
        <v>198.27</v>
      </c>
      <c r="X122" s="345">
        <v>7</v>
      </c>
      <c r="Y122" s="345">
        <v>0</v>
      </c>
      <c r="Z122" s="345">
        <v>21</v>
      </c>
      <c r="AA122" s="345">
        <v>12</v>
      </c>
      <c r="AB122" s="345">
        <v>233</v>
      </c>
      <c r="AC122" s="345">
        <v>116</v>
      </c>
      <c r="AD122" s="349">
        <v>18615</v>
      </c>
      <c r="AE122" s="349">
        <v>100</v>
      </c>
      <c r="AF122" s="349">
        <v>67</v>
      </c>
      <c r="AG122" s="349">
        <v>167</v>
      </c>
    </row>
    <row r="123" spans="1:33" x14ac:dyDescent="0.2">
      <c r="A123" s="344" t="s">
        <v>302</v>
      </c>
      <c r="B123" s="350" t="s">
        <v>303</v>
      </c>
      <c r="C123" s="346">
        <v>13156</v>
      </c>
      <c r="D123" s="346">
        <v>0</v>
      </c>
      <c r="E123" s="346">
        <v>505</v>
      </c>
      <c r="F123" s="346">
        <v>500</v>
      </c>
      <c r="G123" s="346">
        <v>314</v>
      </c>
      <c r="H123" s="346">
        <v>14475</v>
      </c>
      <c r="I123" s="345">
        <v>14161</v>
      </c>
      <c r="J123" s="345">
        <v>7</v>
      </c>
      <c r="K123" s="347">
        <v>85.08</v>
      </c>
      <c r="L123" s="347">
        <v>89.97</v>
      </c>
      <c r="M123" s="347">
        <v>3.53</v>
      </c>
      <c r="N123" s="347">
        <v>88.46</v>
      </c>
      <c r="O123" s="348">
        <v>12145</v>
      </c>
      <c r="P123" s="345">
        <v>85.54</v>
      </c>
      <c r="Q123" s="345">
        <v>82.11</v>
      </c>
      <c r="R123" s="345">
        <v>32.57</v>
      </c>
      <c r="S123" s="345">
        <v>117.96</v>
      </c>
      <c r="T123" s="345">
        <v>810</v>
      </c>
      <c r="U123" s="345">
        <v>101.7</v>
      </c>
      <c r="V123" s="345">
        <v>984</v>
      </c>
      <c r="W123" s="345">
        <v>130.85</v>
      </c>
      <c r="X123" s="345">
        <v>75</v>
      </c>
      <c r="Y123" s="345">
        <v>0</v>
      </c>
      <c r="Z123" s="345">
        <v>43</v>
      </c>
      <c r="AA123" s="345">
        <v>4</v>
      </c>
      <c r="AB123" s="345">
        <v>0</v>
      </c>
      <c r="AC123" s="345">
        <v>10</v>
      </c>
      <c r="AD123" s="349">
        <v>13156</v>
      </c>
      <c r="AE123" s="349">
        <v>73</v>
      </c>
      <c r="AF123" s="349">
        <v>54</v>
      </c>
      <c r="AG123" s="349">
        <v>127</v>
      </c>
    </row>
    <row r="124" spans="1:33" x14ac:dyDescent="0.2">
      <c r="A124" s="344" t="s">
        <v>304</v>
      </c>
      <c r="B124" s="350" t="s">
        <v>305</v>
      </c>
      <c r="C124" s="346">
        <v>4899</v>
      </c>
      <c r="D124" s="346">
        <v>0</v>
      </c>
      <c r="E124" s="346">
        <v>165</v>
      </c>
      <c r="F124" s="346">
        <v>299</v>
      </c>
      <c r="G124" s="346">
        <v>105</v>
      </c>
      <c r="H124" s="346">
        <v>5468</v>
      </c>
      <c r="I124" s="345">
        <v>5363</v>
      </c>
      <c r="J124" s="345">
        <v>0</v>
      </c>
      <c r="K124" s="347">
        <v>92.75</v>
      </c>
      <c r="L124" s="347">
        <v>94.43</v>
      </c>
      <c r="M124" s="347">
        <v>1.47</v>
      </c>
      <c r="N124" s="347">
        <v>94.05</v>
      </c>
      <c r="O124" s="348">
        <v>4690</v>
      </c>
      <c r="P124" s="345">
        <v>106.84</v>
      </c>
      <c r="Q124" s="345">
        <v>86.32</v>
      </c>
      <c r="R124" s="345">
        <v>56.3</v>
      </c>
      <c r="S124" s="345">
        <v>161.58000000000001</v>
      </c>
      <c r="T124" s="345">
        <v>360</v>
      </c>
      <c r="U124" s="345">
        <v>108.8</v>
      </c>
      <c r="V124" s="345">
        <v>114</v>
      </c>
      <c r="W124" s="345">
        <v>154.91</v>
      </c>
      <c r="X124" s="345">
        <v>55</v>
      </c>
      <c r="Y124" s="345">
        <v>0</v>
      </c>
      <c r="Z124" s="345">
        <v>13</v>
      </c>
      <c r="AA124" s="345">
        <v>0</v>
      </c>
      <c r="AB124" s="345">
        <v>10</v>
      </c>
      <c r="AC124" s="345">
        <v>25</v>
      </c>
      <c r="AD124" s="349">
        <v>4885</v>
      </c>
      <c r="AE124" s="349">
        <v>28</v>
      </c>
      <c r="AF124" s="349">
        <v>37</v>
      </c>
      <c r="AG124" s="349">
        <v>65</v>
      </c>
    </row>
    <row r="125" spans="1:33" x14ac:dyDescent="0.2">
      <c r="A125" s="344" t="s">
        <v>306</v>
      </c>
      <c r="B125" s="350" t="s">
        <v>307</v>
      </c>
      <c r="C125" s="346">
        <v>11469</v>
      </c>
      <c r="D125" s="346">
        <v>38</v>
      </c>
      <c r="E125" s="346">
        <v>1164</v>
      </c>
      <c r="F125" s="346">
        <v>646</v>
      </c>
      <c r="G125" s="346">
        <v>1203</v>
      </c>
      <c r="H125" s="346">
        <v>14520</v>
      </c>
      <c r="I125" s="345">
        <v>13317</v>
      </c>
      <c r="J125" s="345">
        <v>85</v>
      </c>
      <c r="K125" s="347">
        <v>130.66</v>
      </c>
      <c r="L125" s="347">
        <v>143.51</v>
      </c>
      <c r="M125" s="347">
        <v>10.4</v>
      </c>
      <c r="N125" s="347">
        <v>135.62</v>
      </c>
      <c r="O125" s="348">
        <v>9928</v>
      </c>
      <c r="P125" s="345">
        <v>112.8</v>
      </c>
      <c r="Q125" s="345">
        <v>117.97</v>
      </c>
      <c r="R125" s="345">
        <v>43.79</v>
      </c>
      <c r="S125" s="345">
        <v>150.13999999999999</v>
      </c>
      <c r="T125" s="345">
        <v>1337</v>
      </c>
      <c r="U125" s="345">
        <v>211.02</v>
      </c>
      <c r="V125" s="345">
        <v>768</v>
      </c>
      <c r="W125" s="345">
        <v>203.16</v>
      </c>
      <c r="X125" s="345">
        <v>64</v>
      </c>
      <c r="Y125" s="345">
        <v>20</v>
      </c>
      <c r="Z125" s="345">
        <v>1</v>
      </c>
      <c r="AA125" s="345">
        <v>34</v>
      </c>
      <c r="AB125" s="345">
        <v>70</v>
      </c>
      <c r="AC125" s="345">
        <v>38</v>
      </c>
      <c r="AD125" s="349">
        <v>10961</v>
      </c>
      <c r="AE125" s="349">
        <v>33</v>
      </c>
      <c r="AF125" s="349">
        <v>116</v>
      </c>
      <c r="AG125" s="349">
        <v>149</v>
      </c>
    </row>
    <row r="126" spans="1:33" x14ac:dyDescent="0.2">
      <c r="A126" s="344" t="s">
        <v>308</v>
      </c>
      <c r="B126" s="350" t="s">
        <v>309</v>
      </c>
      <c r="C126" s="346">
        <v>2638</v>
      </c>
      <c r="D126" s="346">
        <v>0</v>
      </c>
      <c r="E126" s="346">
        <v>75</v>
      </c>
      <c r="F126" s="346">
        <v>440</v>
      </c>
      <c r="G126" s="346">
        <v>405</v>
      </c>
      <c r="H126" s="346">
        <v>3558</v>
      </c>
      <c r="I126" s="345">
        <v>3153</v>
      </c>
      <c r="J126" s="345">
        <v>2</v>
      </c>
      <c r="K126" s="347">
        <v>91.87</v>
      </c>
      <c r="L126" s="347">
        <v>91.72</v>
      </c>
      <c r="M126" s="347">
        <v>3.48</v>
      </c>
      <c r="N126" s="347">
        <v>94.11</v>
      </c>
      <c r="O126" s="348">
        <v>2444</v>
      </c>
      <c r="P126" s="345">
        <v>75.989999999999995</v>
      </c>
      <c r="Q126" s="345">
        <v>76.959999999999994</v>
      </c>
      <c r="R126" s="345">
        <v>30.96</v>
      </c>
      <c r="S126" s="345">
        <v>106.19</v>
      </c>
      <c r="T126" s="345">
        <v>488</v>
      </c>
      <c r="U126" s="345">
        <v>111.58</v>
      </c>
      <c r="V126" s="345">
        <v>119</v>
      </c>
      <c r="W126" s="345">
        <v>126.21</v>
      </c>
      <c r="X126" s="345">
        <v>7</v>
      </c>
      <c r="Y126" s="345">
        <v>0</v>
      </c>
      <c r="Z126" s="345">
        <v>11</v>
      </c>
      <c r="AA126" s="345">
        <v>3</v>
      </c>
      <c r="AB126" s="345">
        <v>41</v>
      </c>
      <c r="AC126" s="345">
        <v>7</v>
      </c>
      <c r="AD126" s="349">
        <v>2638</v>
      </c>
      <c r="AE126" s="349">
        <v>17</v>
      </c>
      <c r="AF126" s="349">
        <v>62</v>
      </c>
      <c r="AG126" s="349">
        <v>79</v>
      </c>
    </row>
    <row r="127" spans="1:33" x14ac:dyDescent="0.2">
      <c r="A127" s="344" t="s">
        <v>310</v>
      </c>
      <c r="B127" s="350" t="s">
        <v>311</v>
      </c>
      <c r="C127" s="346">
        <v>10061</v>
      </c>
      <c r="D127" s="346">
        <v>32</v>
      </c>
      <c r="E127" s="346">
        <v>916</v>
      </c>
      <c r="F127" s="346">
        <v>792</v>
      </c>
      <c r="G127" s="346">
        <v>1640</v>
      </c>
      <c r="H127" s="346">
        <v>13441</v>
      </c>
      <c r="I127" s="345">
        <v>11801</v>
      </c>
      <c r="J127" s="345">
        <v>23</v>
      </c>
      <c r="K127" s="347">
        <v>123.05</v>
      </c>
      <c r="L127" s="347">
        <v>123.75</v>
      </c>
      <c r="M127" s="347">
        <v>10.36</v>
      </c>
      <c r="N127" s="347">
        <v>129.22999999999999</v>
      </c>
      <c r="O127" s="348">
        <v>8207</v>
      </c>
      <c r="P127" s="345">
        <v>107.26</v>
      </c>
      <c r="Q127" s="345">
        <v>105.66</v>
      </c>
      <c r="R127" s="345">
        <v>47.13</v>
      </c>
      <c r="S127" s="345">
        <v>150.91999999999999</v>
      </c>
      <c r="T127" s="345">
        <v>1138</v>
      </c>
      <c r="U127" s="345">
        <v>166.66</v>
      </c>
      <c r="V127" s="345">
        <v>409</v>
      </c>
      <c r="W127" s="345">
        <v>180.38</v>
      </c>
      <c r="X127" s="345">
        <v>3</v>
      </c>
      <c r="Y127" s="345">
        <v>0</v>
      </c>
      <c r="Z127" s="345">
        <v>1</v>
      </c>
      <c r="AA127" s="345">
        <v>7</v>
      </c>
      <c r="AB127" s="345">
        <v>102</v>
      </c>
      <c r="AC127" s="345">
        <v>77</v>
      </c>
      <c r="AD127" s="349">
        <v>9103</v>
      </c>
      <c r="AE127" s="349">
        <v>38</v>
      </c>
      <c r="AF127" s="349">
        <v>52</v>
      </c>
      <c r="AG127" s="349">
        <v>90</v>
      </c>
    </row>
    <row r="128" spans="1:33" x14ac:dyDescent="0.2">
      <c r="A128" s="344" t="s">
        <v>312</v>
      </c>
      <c r="B128" s="350" t="s">
        <v>313</v>
      </c>
      <c r="C128" s="346">
        <v>1157</v>
      </c>
      <c r="D128" s="346">
        <v>56</v>
      </c>
      <c r="E128" s="346">
        <v>272</v>
      </c>
      <c r="F128" s="346">
        <v>259</v>
      </c>
      <c r="G128" s="346">
        <v>323</v>
      </c>
      <c r="H128" s="346">
        <v>2067</v>
      </c>
      <c r="I128" s="345">
        <v>1744</v>
      </c>
      <c r="J128" s="345">
        <v>0</v>
      </c>
      <c r="K128" s="347">
        <v>105.07</v>
      </c>
      <c r="L128" s="347">
        <v>104.77</v>
      </c>
      <c r="M128" s="347">
        <v>7.61</v>
      </c>
      <c r="N128" s="347">
        <v>111.25</v>
      </c>
      <c r="O128" s="348">
        <v>1003</v>
      </c>
      <c r="P128" s="345">
        <v>91.86</v>
      </c>
      <c r="Q128" s="345">
        <v>89.22</v>
      </c>
      <c r="R128" s="345">
        <v>43.04</v>
      </c>
      <c r="S128" s="345">
        <v>134.63999999999999</v>
      </c>
      <c r="T128" s="345">
        <v>500</v>
      </c>
      <c r="U128" s="345">
        <v>150.66999999999999</v>
      </c>
      <c r="V128" s="345">
        <v>161</v>
      </c>
      <c r="W128" s="345">
        <v>0</v>
      </c>
      <c r="X128" s="345">
        <v>0</v>
      </c>
      <c r="Y128" s="345">
        <v>0</v>
      </c>
      <c r="Z128" s="345">
        <v>0</v>
      </c>
      <c r="AA128" s="345">
        <v>1</v>
      </c>
      <c r="AB128" s="345">
        <v>51</v>
      </c>
      <c r="AC128" s="345">
        <v>9</v>
      </c>
      <c r="AD128" s="349">
        <v>1154</v>
      </c>
      <c r="AE128" s="349">
        <v>2</v>
      </c>
      <c r="AF128" s="349">
        <v>2</v>
      </c>
      <c r="AG128" s="349">
        <v>4</v>
      </c>
    </row>
    <row r="129" spans="1:33" x14ac:dyDescent="0.2">
      <c r="A129" s="344" t="s">
        <v>314</v>
      </c>
      <c r="B129" s="350" t="s">
        <v>315</v>
      </c>
      <c r="C129" s="346">
        <v>2141</v>
      </c>
      <c r="D129" s="346">
        <v>43</v>
      </c>
      <c r="E129" s="346">
        <v>260</v>
      </c>
      <c r="F129" s="346">
        <v>359</v>
      </c>
      <c r="G129" s="346">
        <v>260</v>
      </c>
      <c r="H129" s="346">
        <v>3063</v>
      </c>
      <c r="I129" s="345">
        <v>2803</v>
      </c>
      <c r="J129" s="345">
        <v>2</v>
      </c>
      <c r="K129" s="347">
        <v>96.54</v>
      </c>
      <c r="L129" s="347">
        <v>96.35</v>
      </c>
      <c r="M129" s="347">
        <v>6.83</v>
      </c>
      <c r="N129" s="347">
        <v>100.87</v>
      </c>
      <c r="O129" s="348">
        <v>1672</v>
      </c>
      <c r="P129" s="345">
        <v>101.32</v>
      </c>
      <c r="Q129" s="345">
        <v>85.03</v>
      </c>
      <c r="R129" s="345">
        <v>39.770000000000003</v>
      </c>
      <c r="S129" s="345">
        <v>140.22</v>
      </c>
      <c r="T129" s="345">
        <v>453</v>
      </c>
      <c r="U129" s="345">
        <v>113.2</v>
      </c>
      <c r="V129" s="345">
        <v>334</v>
      </c>
      <c r="W129" s="345">
        <v>141.49</v>
      </c>
      <c r="X129" s="345">
        <v>1</v>
      </c>
      <c r="Y129" s="345">
        <v>0</v>
      </c>
      <c r="Z129" s="345">
        <v>1</v>
      </c>
      <c r="AA129" s="345">
        <v>5</v>
      </c>
      <c r="AB129" s="345">
        <v>10</v>
      </c>
      <c r="AC129" s="345">
        <v>5</v>
      </c>
      <c r="AD129" s="349">
        <v>1947</v>
      </c>
      <c r="AE129" s="349">
        <v>20</v>
      </c>
      <c r="AF129" s="349">
        <v>4</v>
      </c>
      <c r="AG129" s="349">
        <v>24</v>
      </c>
    </row>
    <row r="130" spans="1:33" x14ac:dyDescent="0.2">
      <c r="A130" s="344" t="s">
        <v>316</v>
      </c>
      <c r="B130" s="350" t="s">
        <v>317</v>
      </c>
      <c r="C130" s="346">
        <v>3261</v>
      </c>
      <c r="D130" s="346">
        <v>2</v>
      </c>
      <c r="E130" s="346">
        <v>391</v>
      </c>
      <c r="F130" s="346">
        <v>605</v>
      </c>
      <c r="G130" s="346">
        <v>1050</v>
      </c>
      <c r="H130" s="346">
        <v>5309</v>
      </c>
      <c r="I130" s="345">
        <v>4259</v>
      </c>
      <c r="J130" s="345">
        <v>27</v>
      </c>
      <c r="K130" s="347">
        <v>137.38999999999999</v>
      </c>
      <c r="L130" s="347">
        <v>133.12</v>
      </c>
      <c r="M130" s="347">
        <v>9.91</v>
      </c>
      <c r="N130" s="347">
        <v>143.04</v>
      </c>
      <c r="O130" s="348">
        <v>2774</v>
      </c>
      <c r="P130" s="345">
        <v>100.99</v>
      </c>
      <c r="Q130" s="345">
        <v>96.73</v>
      </c>
      <c r="R130" s="345">
        <v>25.07</v>
      </c>
      <c r="S130" s="345">
        <v>124.46</v>
      </c>
      <c r="T130" s="345">
        <v>500</v>
      </c>
      <c r="U130" s="345">
        <v>172.29</v>
      </c>
      <c r="V130" s="345">
        <v>242</v>
      </c>
      <c r="W130" s="345">
        <v>183.96</v>
      </c>
      <c r="X130" s="345">
        <v>28</v>
      </c>
      <c r="Y130" s="345">
        <v>11</v>
      </c>
      <c r="Z130" s="345">
        <v>6</v>
      </c>
      <c r="AA130" s="345">
        <v>29</v>
      </c>
      <c r="AB130" s="345">
        <v>108</v>
      </c>
      <c r="AC130" s="345">
        <v>74</v>
      </c>
      <c r="AD130" s="349">
        <v>3180</v>
      </c>
      <c r="AE130" s="349">
        <v>11</v>
      </c>
      <c r="AF130" s="349">
        <v>12</v>
      </c>
      <c r="AG130" s="349">
        <v>23</v>
      </c>
    </row>
    <row r="131" spans="1:33" x14ac:dyDescent="0.2">
      <c r="A131" s="344" t="s">
        <v>318</v>
      </c>
      <c r="B131" s="350" t="s">
        <v>319</v>
      </c>
      <c r="C131" s="346">
        <v>2703</v>
      </c>
      <c r="D131" s="346">
        <v>0</v>
      </c>
      <c r="E131" s="346">
        <v>45</v>
      </c>
      <c r="F131" s="346">
        <v>321</v>
      </c>
      <c r="G131" s="346">
        <v>486</v>
      </c>
      <c r="H131" s="346">
        <v>3555</v>
      </c>
      <c r="I131" s="345">
        <v>3069</v>
      </c>
      <c r="J131" s="345">
        <v>1</v>
      </c>
      <c r="K131" s="347">
        <v>119.53</v>
      </c>
      <c r="L131" s="347">
        <v>120.07</v>
      </c>
      <c r="M131" s="347">
        <v>4.63</v>
      </c>
      <c r="N131" s="347">
        <v>121.36</v>
      </c>
      <c r="O131" s="348">
        <v>2405</v>
      </c>
      <c r="P131" s="345">
        <v>104.89</v>
      </c>
      <c r="Q131" s="345">
        <v>101.16</v>
      </c>
      <c r="R131" s="345">
        <v>34.4</v>
      </c>
      <c r="S131" s="345">
        <v>139.07</v>
      </c>
      <c r="T131" s="345">
        <v>313</v>
      </c>
      <c r="U131" s="345">
        <v>151.94999999999999</v>
      </c>
      <c r="V131" s="345">
        <v>271</v>
      </c>
      <c r="W131" s="345">
        <v>0</v>
      </c>
      <c r="X131" s="345">
        <v>0</v>
      </c>
      <c r="Y131" s="345">
        <v>0</v>
      </c>
      <c r="Z131" s="345">
        <v>11</v>
      </c>
      <c r="AA131" s="345">
        <v>3</v>
      </c>
      <c r="AB131" s="345">
        <v>30</v>
      </c>
      <c r="AC131" s="345">
        <v>92</v>
      </c>
      <c r="AD131" s="349">
        <v>2703</v>
      </c>
      <c r="AE131" s="349">
        <v>23</v>
      </c>
      <c r="AF131" s="349">
        <v>22</v>
      </c>
      <c r="AG131" s="349">
        <v>45</v>
      </c>
    </row>
    <row r="132" spans="1:33" x14ac:dyDescent="0.2">
      <c r="A132" s="344" t="s">
        <v>320</v>
      </c>
      <c r="B132" s="350" t="s">
        <v>321</v>
      </c>
      <c r="C132" s="346">
        <v>7638</v>
      </c>
      <c r="D132" s="346">
        <v>0</v>
      </c>
      <c r="E132" s="346">
        <v>333</v>
      </c>
      <c r="F132" s="346">
        <v>1973</v>
      </c>
      <c r="G132" s="346">
        <v>221</v>
      </c>
      <c r="H132" s="346">
        <v>10165</v>
      </c>
      <c r="I132" s="345">
        <v>9944</v>
      </c>
      <c r="J132" s="345">
        <v>6</v>
      </c>
      <c r="K132" s="347">
        <v>83.63</v>
      </c>
      <c r="L132" s="347">
        <v>83.4</v>
      </c>
      <c r="M132" s="347">
        <v>4.7300000000000004</v>
      </c>
      <c r="N132" s="347">
        <v>85.38</v>
      </c>
      <c r="O132" s="348">
        <v>6606</v>
      </c>
      <c r="P132" s="345">
        <v>80.489999999999995</v>
      </c>
      <c r="Q132" s="345">
        <v>78.95</v>
      </c>
      <c r="R132" s="345">
        <v>29.4</v>
      </c>
      <c r="S132" s="345">
        <v>97.83</v>
      </c>
      <c r="T132" s="345">
        <v>2248</v>
      </c>
      <c r="U132" s="345">
        <v>94.08</v>
      </c>
      <c r="V132" s="345">
        <v>974</v>
      </c>
      <c r="W132" s="345">
        <v>102.81</v>
      </c>
      <c r="X132" s="345">
        <v>48</v>
      </c>
      <c r="Y132" s="345">
        <v>0</v>
      </c>
      <c r="Z132" s="345">
        <v>26</v>
      </c>
      <c r="AA132" s="345">
        <v>2</v>
      </c>
      <c r="AB132" s="345">
        <v>3</v>
      </c>
      <c r="AC132" s="345">
        <v>2</v>
      </c>
      <c r="AD132" s="349">
        <v>7612</v>
      </c>
      <c r="AE132" s="349">
        <v>194</v>
      </c>
      <c r="AF132" s="349">
        <v>39</v>
      </c>
      <c r="AG132" s="349">
        <v>233</v>
      </c>
    </row>
    <row r="133" spans="1:33" x14ac:dyDescent="0.2">
      <c r="A133" s="344" t="s">
        <v>322</v>
      </c>
      <c r="B133" s="350" t="s">
        <v>323</v>
      </c>
      <c r="C133" s="346">
        <v>5029</v>
      </c>
      <c r="D133" s="346">
        <v>0</v>
      </c>
      <c r="E133" s="346">
        <v>279</v>
      </c>
      <c r="F133" s="346">
        <v>728</v>
      </c>
      <c r="G133" s="346">
        <v>191</v>
      </c>
      <c r="H133" s="346">
        <v>6227</v>
      </c>
      <c r="I133" s="345">
        <v>6036</v>
      </c>
      <c r="J133" s="345">
        <v>1</v>
      </c>
      <c r="K133" s="347">
        <v>89.81</v>
      </c>
      <c r="L133" s="347">
        <v>86.11</v>
      </c>
      <c r="M133" s="347">
        <v>6.44</v>
      </c>
      <c r="N133" s="347">
        <v>95.05</v>
      </c>
      <c r="O133" s="348">
        <v>4357</v>
      </c>
      <c r="P133" s="345">
        <v>72.75</v>
      </c>
      <c r="Q133" s="345">
        <v>71.61</v>
      </c>
      <c r="R133" s="345">
        <v>32.520000000000003</v>
      </c>
      <c r="S133" s="345">
        <v>103.81</v>
      </c>
      <c r="T133" s="345">
        <v>804</v>
      </c>
      <c r="U133" s="345">
        <v>114.31</v>
      </c>
      <c r="V133" s="345">
        <v>598</v>
      </c>
      <c r="W133" s="345">
        <v>178.16</v>
      </c>
      <c r="X133" s="345">
        <v>112</v>
      </c>
      <c r="Y133" s="345">
        <v>0</v>
      </c>
      <c r="Z133" s="345">
        <v>7</v>
      </c>
      <c r="AA133" s="345">
        <v>6</v>
      </c>
      <c r="AB133" s="345">
        <v>20</v>
      </c>
      <c r="AC133" s="345">
        <v>2</v>
      </c>
      <c r="AD133" s="349">
        <v>4960</v>
      </c>
      <c r="AE133" s="349">
        <v>9</v>
      </c>
      <c r="AF133" s="349">
        <v>15</v>
      </c>
      <c r="AG133" s="349">
        <v>24</v>
      </c>
    </row>
    <row r="134" spans="1:33" x14ac:dyDescent="0.2">
      <c r="A134" s="344" t="s">
        <v>324</v>
      </c>
      <c r="B134" s="350" t="s">
        <v>325</v>
      </c>
      <c r="C134" s="346">
        <v>4191</v>
      </c>
      <c r="D134" s="346">
        <v>0</v>
      </c>
      <c r="E134" s="346">
        <v>218</v>
      </c>
      <c r="F134" s="346">
        <v>1059</v>
      </c>
      <c r="G134" s="346">
        <v>342</v>
      </c>
      <c r="H134" s="346">
        <v>5810</v>
      </c>
      <c r="I134" s="345">
        <v>5468</v>
      </c>
      <c r="J134" s="345">
        <v>5</v>
      </c>
      <c r="K134" s="347">
        <v>108.36</v>
      </c>
      <c r="L134" s="347">
        <v>108.65</v>
      </c>
      <c r="M134" s="347">
        <v>8.7799999999999994</v>
      </c>
      <c r="N134" s="347">
        <v>112.5</v>
      </c>
      <c r="O134" s="348">
        <v>3620</v>
      </c>
      <c r="P134" s="345">
        <v>97.03</v>
      </c>
      <c r="Q134" s="345">
        <v>97.22</v>
      </c>
      <c r="R134" s="345">
        <v>19.88</v>
      </c>
      <c r="S134" s="345">
        <v>115.23</v>
      </c>
      <c r="T134" s="345">
        <v>1129</v>
      </c>
      <c r="U134" s="345">
        <v>146.62</v>
      </c>
      <c r="V134" s="345">
        <v>459</v>
      </c>
      <c r="W134" s="345">
        <v>154.79</v>
      </c>
      <c r="X134" s="345">
        <v>16</v>
      </c>
      <c r="Y134" s="345">
        <v>1</v>
      </c>
      <c r="Z134" s="345">
        <v>32</v>
      </c>
      <c r="AA134" s="345">
        <v>1</v>
      </c>
      <c r="AB134" s="345">
        <v>56</v>
      </c>
      <c r="AC134" s="345">
        <v>7</v>
      </c>
      <c r="AD134" s="349">
        <v>4168</v>
      </c>
      <c r="AE134" s="349">
        <v>20</v>
      </c>
      <c r="AF134" s="349">
        <v>2</v>
      </c>
      <c r="AG134" s="349">
        <v>22</v>
      </c>
    </row>
    <row r="135" spans="1:33" x14ac:dyDescent="0.2">
      <c r="A135" s="344" t="s">
        <v>326</v>
      </c>
      <c r="B135" s="350" t="s">
        <v>327</v>
      </c>
      <c r="C135" s="346">
        <v>3678</v>
      </c>
      <c r="D135" s="346">
        <v>354</v>
      </c>
      <c r="E135" s="346">
        <v>308</v>
      </c>
      <c r="F135" s="346">
        <v>505</v>
      </c>
      <c r="G135" s="346">
        <v>788</v>
      </c>
      <c r="H135" s="346">
        <v>5633</v>
      </c>
      <c r="I135" s="345">
        <v>4845</v>
      </c>
      <c r="J135" s="345">
        <v>2</v>
      </c>
      <c r="K135" s="347">
        <v>120.08</v>
      </c>
      <c r="L135" s="347">
        <v>120.13</v>
      </c>
      <c r="M135" s="347">
        <v>8.99</v>
      </c>
      <c r="N135" s="347">
        <v>127.03</v>
      </c>
      <c r="O135" s="348">
        <v>2593</v>
      </c>
      <c r="P135" s="345">
        <v>103.76</v>
      </c>
      <c r="Q135" s="345">
        <v>101.71</v>
      </c>
      <c r="R135" s="345">
        <v>31.18</v>
      </c>
      <c r="S135" s="345">
        <v>134.25</v>
      </c>
      <c r="T135" s="345">
        <v>625</v>
      </c>
      <c r="U135" s="345">
        <v>181.81</v>
      </c>
      <c r="V135" s="345">
        <v>889</v>
      </c>
      <c r="W135" s="345">
        <v>203.04</v>
      </c>
      <c r="X135" s="345">
        <v>30</v>
      </c>
      <c r="Y135" s="345">
        <v>0</v>
      </c>
      <c r="Z135" s="345">
        <v>1</v>
      </c>
      <c r="AA135" s="345">
        <v>23</v>
      </c>
      <c r="AB135" s="345">
        <v>184</v>
      </c>
      <c r="AC135" s="345">
        <v>26</v>
      </c>
      <c r="AD135" s="349">
        <v>3649</v>
      </c>
      <c r="AE135" s="349">
        <v>12</v>
      </c>
      <c r="AF135" s="349">
        <v>44</v>
      </c>
      <c r="AG135" s="349">
        <v>56</v>
      </c>
    </row>
    <row r="136" spans="1:33" x14ac:dyDescent="0.2">
      <c r="A136" s="344" t="s">
        <v>328</v>
      </c>
      <c r="B136" s="350" t="s">
        <v>329</v>
      </c>
      <c r="C136" s="346">
        <v>8808</v>
      </c>
      <c r="D136" s="346">
        <v>0</v>
      </c>
      <c r="E136" s="346">
        <v>285</v>
      </c>
      <c r="F136" s="346">
        <v>2003</v>
      </c>
      <c r="G136" s="346">
        <v>693</v>
      </c>
      <c r="H136" s="346">
        <v>11789</v>
      </c>
      <c r="I136" s="345">
        <v>11096</v>
      </c>
      <c r="J136" s="345">
        <v>0</v>
      </c>
      <c r="K136" s="347">
        <v>91.83</v>
      </c>
      <c r="L136" s="347">
        <v>92.19</v>
      </c>
      <c r="M136" s="347">
        <v>3.37</v>
      </c>
      <c r="N136" s="347">
        <v>93.46</v>
      </c>
      <c r="O136" s="348">
        <v>8201</v>
      </c>
      <c r="P136" s="345">
        <v>83.14</v>
      </c>
      <c r="Q136" s="345">
        <v>84.08</v>
      </c>
      <c r="R136" s="345">
        <v>26.55</v>
      </c>
      <c r="S136" s="345">
        <v>103.81</v>
      </c>
      <c r="T136" s="345">
        <v>2175</v>
      </c>
      <c r="U136" s="345">
        <v>104.57</v>
      </c>
      <c r="V136" s="345">
        <v>499</v>
      </c>
      <c r="W136" s="345">
        <v>105.77</v>
      </c>
      <c r="X136" s="345">
        <v>40</v>
      </c>
      <c r="Y136" s="345">
        <v>0</v>
      </c>
      <c r="Z136" s="345">
        <v>29</v>
      </c>
      <c r="AA136" s="345">
        <v>2</v>
      </c>
      <c r="AB136" s="345">
        <v>16</v>
      </c>
      <c r="AC136" s="345">
        <v>15</v>
      </c>
      <c r="AD136" s="349">
        <v>8780</v>
      </c>
      <c r="AE136" s="349">
        <v>63</v>
      </c>
      <c r="AF136" s="349">
        <v>63</v>
      </c>
      <c r="AG136" s="349">
        <v>126</v>
      </c>
    </row>
    <row r="137" spans="1:33" x14ac:dyDescent="0.2">
      <c r="A137" s="344" t="s">
        <v>330</v>
      </c>
      <c r="B137" s="350" t="s">
        <v>331</v>
      </c>
      <c r="C137" s="346">
        <v>6280</v>
      </c>
      <c r="D137" s="346">
        <v>24</v>
      </c>
      <c r="E137" s="346">
        <v>147</v>
      </c>
      <c r="F137" s="346">
        <v>863</v>
      </c>
      <c r="G137" s="346">
        <v>440</v>
      </c>
      <c r="H137" s="346">
        <v>7754</v>
      </c>
      <c r="I137" s="345">
        <v>7314</v>
      </c>
      <c r="J137" s="345">
        <v>0</v>
      </c>
      <c r="K137" s="347">
        <v>124.28</v>
      </c>
      <c r="L137" s="347">
        <v>130.96</v>
      </c>
      <c r="M137" s="347">
        <v>7.6</v>
      </c>
      <c r="N137" s="347">
        <v>127.98</v>
      </c>
      <c r="O137" s="348">
        <v>5441</v>
      </c>
      <c r="P137" s="345">
        <v>110.27</v>
      </c>
      <c r="Q137" s="345">
        <v>113.61</v>
      </c>
      <c r="R137" s="345">
        <v>32.869999999999997</v>
      </c>
      <c r="S137" s="345">
        <v>141.96</v>
      </c>
      <c r="T137" s="345">
        <v>951</v>
      </c>
      <c r="U137" s="345">
        <v>178.88</v>
      </c>
      <c r="V137" s="345">
        <v>646</v>
      </c>
      <c r="W137" s="345">
        <v>0</v>
      </c>
      <c r="X137" s="345">
        <v>0</v>
      </c>
      <c r="Y137" s="345">
        <v>0</v>
      </c>
      <c r="Z137" s="345">
        <v>5</v>
      </c>
      <c r="AA137" s="345">
        <v>28</v>
      </c>
      <c r="AB137" s="345">
        <v>0</v>
      </c>
      <c r="AC137" s="345">
        <v>18</v>
      </c>
      <c r="AD137" s="349">
        <v>6167</v>
      </c>
      <c r="AE137" s="349">
        <v>50</v>
      </c>
      <c r="AF137" s="349">
        <v>5</v>
      </c>
      <c r="AG137" s="349">
        <v>55</v>
      </c>
    </row>
    <row r="138" spans="1:33" x14ac:dyDescent="0.2">
      <c r="A138" s="344" t="s">
        <v>332</v>
      </c>
      <c r="B138" s="350" t="s">
        <v>333</v>
      </c>
      <c r="C138" s="346">
        <v>776</v>
      </c>
      <c r="D138" s="346">
        <v>0</v>
      </c>
      <c r="E138" s="346">
        <v>53</v>
      </c>
      <c r="F138" s="346">
        <v>345</v>
      </c>
      <c r="G138" s="346">
        <v>165</v>
      </c>
      <c r="H138" s="346">
        <v>1339</v>
      </c>
      <c r="I138" s="345">
        <v>1174</v>
      </c>
      <c r="J138" s="345">
        <v>0</v>
      </c>
      <c r="K138" s="347">
        <v>98.18</v>
      </c>
      <c r="L138" s="347">
        <v>96.89</v>
      </c>
      <c r="M138" s="347">
        <v>6.19</v>
      </c>
      <c r="N138" s="347">
        <v>101.54</v>
      </c>
      <c r="O138" s="348">
        <v>711</v>
      </c>
      <c r="P138" s="345">
        <v>82.4</v>
      </c>
      <c r="Q138" s="345">
        <v>81.19</v>
      </c>
      <c r="R138" s="345">
        <v>35.53</v>
      </c>
      <c r="S138" s="345">
        <v>116.61</v>
      </c>
      <c r="T138" s="345">
        <v>378</v>
      </c>
      <c r="U138" s="345">
        <v>108.08</v>
      </c>
      <c r="V138" s="345">
        <v>44</v>
      </c>
      <c r="W138" s="345">
        <v>0</v>
      </c>
      <c r="X138" s="345">
        <v>0</v>
      </c>
      <c r="Y138" s="345">
        <v>0</v>
      </c>
      <c r="Z138" s="345">
        <v>0</v>
      </c>
      <c r="AA138" s="345">
        <v>0</v>
      </c>
      <c r="AB138" s="345">
        <v>11</v>
      </c>
      <c r="AC138" s="345">
        <v>2</v>
      </c>
      <c r="AD138" s="349">
        <v>754</v>
      </c>
      <c r="AE138" s="349">
        <v>1</v>
      </c>
      <c r="AF138" s="349">
        <v>0</v>
      </c>
      <c r="AG138" s="349">
        <v>1</v>
      </c>
    </row>
    <row r="139" spans="1:33" x14ac:dyDescent="0.2">
      <c r="A139" s="344" t="s">
        <v>334</v>
      </c>
      <c r="B139" s="350" t="s">
        <v>335</v>
      </c>
      <c r="C139" s="346">
        <v>6348</v>
      </c>
      <c r="D139" s="346">
        <v>0</v>
      </c>
      <c r="E139" s="346">
        <v>586</v>
      </c>
      <c r="F139" s="346">
        <v>550</v>
      </c>
      <c r="G139" s="346">
        <v>1210</v>
      </c>
      <c r="H139" s="346">
        <v>8694</v>
      </c>
      <c r="I139" s="345">
        <v>7484</v>
      </c>
      <c r="J139" s="345">
        <v>25</v>
      </c>
      <c r="K139" s="347">
        <v>126.37</v>
      </c>
      <c r="L139" s="347">
        <v>126.64</v>
      </c>
      <c r="M139" s="347">
        <v>9.9499999999999993</v>
      </c>
      <c r="N139" s="347">
        <v>133.01</v>
      </c>
      <c r="O139" s="348">
        <v>5451</v>
      </c>
      <c r="P139" s="345">
        <v>105.47</v>
      </c>
      <c r="Q139" s="345">
        <v>105.39</v>
      </c>
      <c r="R139" s="345">
        <v>39.619999999999997</v>
      </c>
      <c r="S139" s="345">
        <v>143.53</v>
      </c>
      <c r="T139" s="345">
        <v>893</v>
      </c>
      <c r="U139" s="345">
        <v>188.13</v>
      </c>
      <c r="V139" s="345">
        <v>598</v>
      </c>
      <c r="W139" s="345">
        <v>162</v>
      </c>
      <c r="X139" s="345">
        <v>63</v>
      </c>
      <c r="Y139" s="345">
        <v>8</v>
      </c>
      <c r="Z139" s="345">
        <v>2</v>
      </c>
      <c r="AA139" s="345">
        <v>9</v>
      </c>
      <c r="AB139" s="345">
        <v>56</v>
      </c>
      <c r="AC139" s="345">
        <v>75</v>
      </c>
      <c r="AD139" s="349">
        <v>6082</v>
      </c>
      <c r="AE139" s="349">
        <v>5</v>
      </c>
      <c r="AF139" s="349">
        <v>19</v>
      </c>
      <c r="AG139" s="349">
        <v>24</v>
      </c>
    </row>
    <row r="140" spans="1:33" x14ac:dyDescent="0.2">
      <c r="A140" s="344" t="s">
        <v>336</v>
      </c>
      <c r="B140" s="350" t="s">
        <v>337</v>
      </c>
      <c r="C140" s="346">
        <v>1664</v>
      </c>
      <c r="D140" s="346">
        <v>0</v>
      </c>
      <c r="E140" s="346">
        <v>76</v>
      </c>
      <c r="F140" s="346">
        <v>125</v>
      </c>
      <c r="G140" s="346">
        <v>311</v>
      </c>
      <c r="H140" s="346">
        <v>2176</v>
      </c>
      <c r="I140" s="345">
        <v>1865</v>
      </c>
      <c r="J140" s="345">
        <v>23</v>
      </c>
      <c r="K140" s="347">
        <v>92.74</v>
      </c>
      <c r="L140" s="347">
        <v>90.51</v>
      </c>
      <c r="M140" s="347">
        <v>4.78</v>
      </c>
      <c r="N140" s="347">
        <v>95.2</v>
      </c>
      <c r="O140" s="348">
        <v>1433</v>
      </c>
      <c r="P140" s="345">
        <v>89.35</v>
      </c>
      <c r="Q140" s="345">
        <v>77.209999999999994</v>
      </c>
      <c r="R140" s="345">
        <v>31.29</v>
      </c>
      <c r="S140" s="345">
        <v>120.63</v>
      </c>
      <c r="T140" s="345">
        <v>191</v>
      </c>
      <c r="U140" s="345">
        <v>106.14</v>
      </c>
      <c r="V140" s="345">
        <v>199</v>
      </c>
      <c r="W140" s="345">
        <v>0</v>
      </c>
      <c r="X140" s="345">
        <v>0</v>
      </c>
      <c r="Y140" s="345">
        <v>0</v>
      </c>
      <c r="Z140" s="345">
        <v>0</v>
      </c>
      <c r="AA140" s="345">
        <v>12</v>
      </c>
      <c r="AB140" s="345">
        <v>28</v>
      </c>
      <c r="AC140" s="345">
        <v>5</v>
      </c>
      <c r="AD140" s="349">
        <v>1664</v>
      </c>
      <c r="AE140" s="349">
        <v>8</v>
      </c>
      <c r="AF140" s="349">
        <v>16</v>
      </c>
      <c r="AG140" s="349">
        <v>24</v>
      </c>
    </row>
    <row r="141" spans="1:33" x14ac:dyDescent="0.2">
      <c r="A141" s="344" t="s">
        <v>338</v>
      </c>
      <c r="B141" s="350" t="s">
        <v>339</v>
      </c>
      <c r="C141" s="346">
        <v>5499</v>
      </c>
      <c r="D141" s="346">
        <v>0</v>
      </c>
      <c r="E141" s="346">
        <v>154</v>
      </c>
      <c r="F141" s="346">
        <v>1119</v>
      </c>
      <c r="G141" s="346">
        <v>523</v>
      </c>
      <c r="H141" s="346">
        <v>7295</v>
      </c>
      <c r="I141" s="345">
        <v>6772</v>
      </c>
      <c r="J141" s="345">
        <v>8</v>
      </c>
      <c r="K141" s="347">
        <v>114.36</v>
      </c>
      <c r="L141" s="347">
        <v>113.94</v>
      </c>
      <c r="M141" s="347">
        <v>3.93</v>
      </c>
      <c r="N141" s="347">
        <v>116.71</v>
      </c>
      <c r="O141" s="348">
        <v>4634</v>
      </c>
      <c r="P141" s="345">
        <v>97.64</v>
      </c>
      <c r="Q141" s="345">
        <v>95.44</v>
      </c>
      <c r="R141" s="345">
        <v>22.81</v>
      </c>
      <c r="S141" s="345">
        <v>120.17</v>
      </c>
      <c r="T141" s="345">
        <v>1065</v>
      </c>
      <c r="U141" s="345">
        <v>157.66999999999999</v>
      </c>
      <c r="V141" s="345">
        <v>797</v>
      </c>
      <c r="W141" s="345">
        <v>138.28</v>
      </c>
      <c r="X141" s="345">
        <v>62</v>
      </c>
      <c r="Y141" s="345">
        <v>0</v>
      </c>
      <c r="Z141" s="345">
        <v>7</v>
      </c>
      <c r="AA141" s="345">
        <v>2</v>
      </c>
      <c r="AB141" s="345">
        <v>63</v>
      </c>
      <c r="AC141" s="345">
        <v>33</v>
      </c>
      <c r="AD141" s="349">
        <v>5466</v>
      </c>
      <c r="AE141" s="349">
        <v>20</v>
      </c>
      <c r="AF141" s="349">
        <v>17</v>
      </c>
      <c r="AG141" s="349">
        <v>37</v>
      </c>
    </row>
    <row r="142" spans="1:33" x14ac:dyDescent="0.2">
      <c r="A142" s="344" t="s">
        <v>340</v>
      </c>
      <c r="B142" s="350" t="s">
        <v>341</v>
      </c>
      <c r="C142" s="346">
        <v>7409</v>
      </c>
      <c r="D142" s="346">
        <v>9</v>
      </c>
      <c r="E142" s="346">
        <v>411</v>
      </c>
      <c r="F142" s="346">
        <v>184</v>
      </c>
      <c r="G142" s="346">
        <v>1955</v>
      </c>
      <c r="H142" s="346">
        <v>9968</v>
      </c>
      <c r="I142" s="345">
        <v>8013</v>
      </c>
      <c r="J142" s="345">
        <v>93</v>
      </c>
      <c r="K142" s="347">
        <v>126.84</v>
      </c>
      <c r="L142" s="347">
        <v>127.89</v>
      </c>
      <c r="M142" s="347">
        <v>9.43</v>
      </c>
      <c r="N142" s="347">
        <v>134.16</v>
      </c>
      <c r="O142" s="348">
        <v>5995</v>
      </c>
      <c r="P142" s="345">
        <v>112.15</v>
      </c>
      <c r="Q142" s="345">
        <v>118.59</v>
      </c>
      <c r="R142" s="345">
        <v>67.59</v>
      </c>
      <c r="S142" s="345">
        <v>167.75</v>
      </c>
      <c r="T142" s="345">
        <v>310</v>
      </c>
      <c r="U142" s="345">
        <v>191.65</v>
      </c>
      <c r="V142" s="345">
        <v>529</v>
      </c>
      <c r="W142" s="345">
        <v>230.02</v>
      </c>
      <c r="X142" s="345">
        <v>97</v>
      </c>
      <c r="Y142" s="345">
        <v>0</v>
      </c>
      <c r="Z142" s="345">
        <v>5</v>
      </c>
      <c r="AA142" s="345">
        <v>1</v>
      </c>
      <c r="AB142" s="345">
        <v>77</v>
      </c>
      <c r="AC142" s="345">
        <v>105</v>
      </c>
      <c r="AD142" s="349">
        <v>6889</v>
      </c>
      <c r="AE142" s="349">
        <v>7</v>
      </c>
      <c r="AF142" s="349">
        <v>57</v>
      </c>
      <c r="AG142" s="349">
        <v>64</v>
      </c>
    </row>
    <row r="143" spans="1:33" x14ac:dyDescent="0.2">
      <c r="A143" s="344" t="s">
        <v>342</v>
      </c>
      <c r="B143" s="350" t="s">
        <v>343</v>
      </c>
      <c r="C143" s="346">
        <v>8243</v>
      </c>
      <c r="D143" s="346">
        <v>0</v>
      </c>
      <c r="E143" s="346">
        <v>367</v>
      </c>
      <c r="F143" s="346">
        <v>994</v>
      </c>
      <c r="G143" s="346">
        <v>654</v>
      </c>
      <c r="H143" s="346">
        <v>10258</v>
      </c>
      <c r="I143" s="345">
        <v>9604</v>
      </c>
      <c r="J143" s="345">
        <v>15</v>
      </c>
      <c r="K143" s="347">
        <v>97.61</v>
      </c>
      <c r="L143" s="347">
        <v>97.9</v>
      </c>
      <c r="M143" s="347">
        <v>3.85</v>
      </c>
      <c r="N143" s="347">
        <v>99.04</v>
      </c>
      <c r="O143" s="348">
        <v>7915</v>
      </c>
      <c r="P143" s="345">
        <v>89.16</v>
      </c>
      <c r="Q143" s="345">
        <v>88.81</v>
      </c>
      <c r="R143" s="345">
        <v>41.6</v>
      </c>
      <c r="S143" s="345">
        <v>130.31</v>
      </c>
      <c r="T143" s="345">
        <v>734</v>
      </c>
      <c r="U143" s="345">
        <v>119.24</v>
      </c>
      <c r="V143" s="345">
        <v>129</v>
      </c>
      <c r="W143" s="345">
        <v>0</v>
      </c>
      <c r="X143" s="345">
        <v>0</v>
      </c>
      <c r="Y143" s="345">
        <v>0</v>
      </c>
      <c r="Z143" s="345">
        <v>21</v>
      </c>
      <c r="AA143" s="345">
        <v>8</v>
      </c>
      <c r="AB143" s="345">
        <v>56</v>
      </c>
      <c r="AC143" s="345">
        <v>32</v>
      </c>
      <c r="AD143" s="349">
        <v>8240</v>
      </c>
      <c r="AE143" s="349">
        <v>23</v>
      </c>
      <c r="AF143" s="349">
        <v>29</v>
      </c>
      <c r="AG143" s="349">
        <v>52</v>
      </c>
    </row>
    <row r="144" spans="1:33" x14ac:dyDescent="0.2">
      <c r="A144" s="344" t="s">
        <v>344</v>
      </c>
      <c r="B144" s="350" t="s">
        <v>345</v>
      </c>
      <c r="C144" s="346">
        <v>2965</v>
      </c>
      <c r="D144" s="346">
        <v>0</v>
      </c>
      <c r="E144" s="346">
        <v>226</v>
      </c>
      <c r="F144" s="346">
        <v>1707</v>
      </c>
      <c r="G144" s="346">
        <v>51</v>
      </c>
      <c r="H144" s="346">
        <v>4949</v>
      </c>
      <c r="I144" s="345">
        <v>4898</v>
      </c>
      <c r="J144" s="345">
        <v>10</v>
      </c>
      <c r="K144" s="347">
        <v>79.319999999999993</v>
      </c>
      <c r="L144" s="347">
        <v>80.209999999999994</v>
      </c>
      <c r="M144" s="347">
        <v>2.2799999999999998</v>
      </c>
      <c r="N144" s="347">
        <v>80.47</v>
      </c>
      <c r="O144" s="348">
        <v>2874</v>
      </c>
      <c r="P144" s="345">
        <v>75.25</v>
      </c>
      <c r="Q144" s="345">
        <v>71.989999999999995</v>
      </c>
      <c r="R144" s="345">
        <v>16.8</v>
      </c>
      <c r="S144" s="345">
        <v>91.92</v>
      </c>
      <c r="T144" s="345">
        <v>1878</v>
      </c>
      <c r="U144" s="345">
        <v>90.18</v>
      </c>
      <c r="V144" s="345">
        <v>90</v>
      </c>
      <c r="W144" s="345">
        <v>241.93</v>
      </c>
      <c r="X144" s="345">
        <v>12</v>
      </c>
      <c r="Y144" s="345">
        <v>0</v>
      </c>
      <c r="Z144" s="345">
        <v>7</v>
      </c>
      <c r="AA144" s="345">
        <v>15</v>
      </c>
      <c r="AB144" s="345">
        <v>0</v>
      </c>
      <c r="AC144" s="345">
        <v>0</v>
      </c>
      <c r="AD144" s="349">
        <v>2965</v>
      </c>
      <c r="AE144" s="349">
        <v>36</v>
      </c>
      <c r="AF144" s="349">
        <v>23</v>
      </c>
      <c r="AG144" s="349">
        <v>59</v>
      </c>
    </row>
    <row r="145" spans="1:33" x14ac:dyDescent="0.2">
      <c r="A145" s="344" t="s">
        <v>346</v>
      </c>
      <c r="B145" s="350" t="s">
        <v>347</v>
      </c>
      <c r="C145" s="346">
        <v>3645</v>
      </c>
      <c r="D145" s="346">
        <v>0</v>
      </c>
      <c r="E145" s="346">
        <v>613</v>
      </c>
      <c r="F145" s="346">
        <v>742</v>
      </c>
      <c r="G145" s="346">
        <v>348</v>
      </c>
      <c r="H145" s="346">
        <v>5348</v>
      </c>
      <c r="I145" s="345">
        <v>5000</v>
      </c>
      <c r="J145" s="345">
        <v>79</v>
      </c>
      <c r="K145" s="347">
        <v>90.28</v>
      </c>
      <c r="L145" s="347">
        <v>89.91</v>
      </c>
      <c r="M145" s="347">
        <v>6.52</v>
      </c>
      <c r="N145" s="347">
        <v>95.11</v>
      </c>
      <c r="O145" s="348">
        <v>3183</v>
      </c>
      <c r="P145" s="345">
        <v>79.92</v>
      </c>
      <c r="Q145" s="345">
        <v>73.25</v>
      </c>
      <c r="R145" s="345">
        <v>52.82</v>
      </c>
      <c r="S145" s="345">
        <v>132.69</v>
      </c>
      <c r="T145" s="345">
        <v>1115</v>
      </c>
      <c r="U145" s="345">
        <v>97.62</v>
      </c>
      <c r="V145" s="345">
        <v>411</v>
      </c>
      <c r="W145" s="345">
        <v>93.64</v>
      </c>
      <c r="X145" s="345">
        <v>2</v>
      </c>
      <c r="Y145" s="345">
        <v>14</v>
      </c>
      <c r="Z145" s="345">
        <v>2</v>
      </c>
      <c r="AA145" s="345">
        <v>0</v>
      </c>
      <c r="AB145" s="345">
        <v>40</v>
      </c>
      <c r="AC145" s="345">
        <v>17</v>
      </c>
      <c r="AD145" s="349">
        <v>3645</v>
      </c>
      <c r="AE145" s="349">
        <v>19</v>
      </c>
      <c r="AF145" s="349">
        <v>17</v>
      </c>
      <c r="AG145" s="349">
        <v>36</v>
      </c>
    </row>
    <row r="146" spans="1:33" x14ac:dyDescent="0.2">
      <c r="A146" s="344" t="s">
        <v>348</v>
      </c>
      <c r="B146" s="350" t="s">
        <v>349</v>
      </c>
      <c r="C146" s="346">
        <v>6241</v>
      </c>
      <c r="D146" s="346">
        <v>10</v>
      </c>
      <c r="E146" s="346">
        <v>310</v>
      </c>
      <c r="F146" s="346">
        <v>681</v>
      </c>
      <c r="G146" s="346">
        <v>258</v>
      </c>
      <c r="H146" s="346">
        <v>7500</v>
      </c>
      <c r="I146" s="345">
        <v>7242</v>
      </c>
      <c r="J146" s="345">
        <v>2</v>
      </c>
      <c r="K146" s="347">
        <v>90.75</v>
      </c>
      <c r="L146" s="347">
        <v>91.22</v>
      </c>
      <c r="M146" s="347">
        <v>5.26</v>
      </c>
      <c r="N146" s="347">
        <v>93.82</v>
      </c>
      <c r="O146" s="348">
        <v>5483</v>
      </c>
      <c r="P146" s="345">
        <v>74.260000000000005</v>
      </c>
      <c r="Q146" s="345">
        <v>75.91</v>
      </c>
      <c r="R146" s="345">
        <v>36.22</v>
      </c>
      <c r="S146" s="345">
        <v>102.72</v>
      </c>
      <c r="T146" s="345">
        <v>952</v>
      </c>
      <c r="U146" s="345">
        <v>122.93</v>
      </c>
      <c r="V146" s="345">
        <v>238</v>
      </c>
      <c r="W146" s="345">
        <v>100.93</v>
      </c>
      <c r="X146" s="345">
        <v>13</v>
      </c>
      <c r="Y146" s="345">
        <v>1</v>
      </c>
      <c r="Z146" s="345">
        <v>5</v>
      </c>
      <c r="AA146" s="345">
        <v>8</v>
      </c>
      <c r="AB146" s="345">
        <v>19</v>
      </c>
      <c r="AC146" s="345">
        <v>10</v>
      </c>
      <c r="AD146" s="349">
        <v>5806</v>
      </c>
      <c r="AE146" s="349">
        <v>13</v>
      </c>
      <c r="AF146" s="349">
        <v>3</v>
      </c>
      <c r="AG146" s="349">
        <v>16</v>
      </c>
    </row>
    <row r="147" spans="1:33" x14ac:dyDescent="0.2">
      <c r="A147" s="344" t="s">
        <v>350</v>
      </c>
      <c r="B147" s="350" t="s">
        <v>351</v>
      </c>
      <c r="C147" s="346">
        <v>54</v>
      </c>
      <c r="D147" s="346">
        <v>0</v>
      </c>
      <c r="E147" s="346">
        <v>0</v>
      </c>
      <c r="F147" s="346">
        <v>7</v>
      </c>
      <c r="G147" s="346">
        <v>0</v>
      </c>
      <c r="H147" s="346">
        <v>61</v>
      </c>
      <c r="I147" s="345">
        <v>61</v>
      </c>
      <c r="J147" s="345">
        <v>0</v>
      </c>
      <c r="K147" s="347">
        <v>104.09</v>
      </c>
      <c r="L147" s="347">
        <v>106.36</v>
      </c>
      <c r="M147" s="347">
        <v>0.89</v>
      </c>
      <c r="N147" s="347">
        <v>104.45</v>
      </c>
      <c r="O147" s="348">
        <v>27</v>
      </c>
      <c r="P147" s="345">
        <v>96.71</v>
      </c>
      <c r="Q147" s="345">
        <v>88.23</v>
      </c>
      <c r="R147" s="345">
        <v>18.27</v>
      </c>
      <c r="S147" s="345">
        <v>114.98</v>
      </c>
      <c r="T147" s="345">
        <v>7</v>
      </c>
      <c r="U147" s="345">
        <v>118.6</v>
      </c>
      <c r="V147" s="345">
        <v>2</v>
      </c>
      <c r="W147" s="345">
        <v>0</v>
      </c>
      <c r="X147" s="345">
        <v>0</v>
      </c>
      <c r="Y147" s="345">
        <v>0</v>
      </c>
      <c r="Z147" s="345">
        <v>0</v>
      </c>
      <c r="AA147" s="345">
        <v>0</v>
      </c>
      <c r="AB147" s="345">
        <v>0</v>
      </c>
      <c r="AC147" s="345">
        <v>0</v>
      </c>
      <c r="AD147" s="349">
        <v>27</v>
      </c>
      <c r="AE147" s="349">
        <v>1</v>
      </c>
      <c r="AF147" s="349">
        <v>0</v>
      </c>
      <c r="AG147" s="349">
        <v>1</v>
      </c>
    </row>
    <row r="148" spans="1:33" x14ac:dyDescent="0.2">
      <c r="A148" s="344" t="s">
        <v>352</v>
      </c>
      <c r="B148" s="350" t="s">
        <v>353</v>
      </c>
      <c r="C148" s="346">
        <v>13324</v>
      </c>
      <c r="D148" s="346">
        <v>252</v>
      </c>
      <c r="E148" s="346">
        <v>1283</v>
      </c>
      <c r="F148" s="346">
        <v>758</v>
      </c>
      <c r="G148" s="346">
        <v>1413</v>
      </c>
      <c r="H148" s="346">
        <v>17030</v>
      </c>
      <c r="I148" s="345">
        <v>15617</v>
      </c>
      <c r="J148" s="345">
        <v>28</v>
      </c>
      <c r="K148" s="347">
        <v>127.4</v>
      </c>
      <c r="L148" s="347">
        <v>137.1</v>
      </c>
      <c r="M148" s="347">
        <v>11.02</v>
      </c>
      <c r="N148" s="347">
        <v>135.47</v>
      </c>
      <c r="O148" s="348">
        <v>11484</v>
      </c>
      <c r="P148" s="345">
        <v>114.67</v>
      </c>
      <c r="Q148" s="345">
        <v>115.64</v>
      </c>
      <c r="R148" s="345">
        <v>44.87</v>
      </c>
      <c r="S148" s="345">
        <v>154.6</v>
      </c>
      <c r="T148" s="345">
        <v>1664</v>
      </c>
      <c r="U148" s="345">
        <v>182.83</v>
      </c>
      <c r="V148" s="345">
        <v>468</v>
      </c>
      <c r="W148" s="345">
        <v>237.91</v>
      </c>
      <c r="X148" s="345">
        <v>1</v>
      </c>
      <c r="Y148" s="345">
        <v>0</v>
      </c>
      <c r="Z148" s="345">
        <v>3</v>
      </c>
      <c r="AA148" s="345">
        <v>11</v>
      </c>
      <c r="AB148" s="345">
        <v>43</v>
      </c>
      <c r="AC148" s="345">
        <v>81</v>
      </c>
      <c r="AD148" s="349">
        <v>12332</v>
      </c>
      <c r="AE148" s="349">
        <v>103</v>
      </c>
      <c r="AF148" s="349">
        <v>48</v>
      </c>
      <c r="AG148" s="349">
        <v>151</v>
      </c>
    </row>
    <row r="149" spans="1:33" x14ac:dyDescent="0.2">
      <c r="A149" s="344" t="s">
        <v>354</v>
      </c>
      <c r="B149" s="350" t="s">
        <v>355</v>
      </c>
      <c r="C149" s="346">
        <v>10732</v>
      </c>
      <c r="D149" s="346">
        <v>328</v>
      </c>
      <c r="E149" s="346">
        <v>977</v>
      </c>
      <c r="F149" s="346">
        <v>997</v>
      </c>
      <c r="G149" s="346">
        <v>599</v>
      </c>
      <c r="H149" s="346">
        <v>13633</v>
      </c>
      <c r="I149" s="345">
        <v>13034</v>
      </c>
      <c r="J149" s="345">
        <v>66</v>
      </c>
      <c r="K149" s="347">
        <v>126.69</v>
      </c>
      <c r="L149" s="347">
        <v>147.69999999999999</v>
      </c>
      <c r="M149" s="347">
        <v>11.07</v>
      </c>
      <c r="N149" s="347">
        <v>133.93</v>
      </c>
      <c r="O149" s="348">
        <v>9373</v>
      </c>
      <c r="P149" s="345">
        <v>118.96</v>
      </c>
      <c r="Q149" s="345">
        <v>128.51</v>
      </c>
      <c r="R149" s="345">
        <v>50.92</v>
      </c>
      <c r="S149" s="345">
        <v>161.59</v>
      </c>
      <c r="T149" s="345">
        <v>1536</v>
      </c>
      <c r="U149" s="345">
        <v>217.76</v>
      </c>
      <c r="V149" s="345">
        <v>458</v>
      </c>
      <c r="W149" s="345">
        <v>208.64</v>
      </c>
      <c r="X149" s="345">
        <v>22</v>
      </c>
      <c r="Y149" s="345">
        <v>76</v>
      </c>
      <c r="Z149" s="345">
        <v>1</v>
      </c>
      <c r="AA149" s="345">
        <v>48</v>
      </c>
      <c r="AB149" s="345">
        <v>32</v>
      </c>
      <c r="AC149" s="345">
        <v>18</v>
      </c>
      <c r="AD149" s="349">
        <v>9923</v>
      </c>
      <c r="AE149" s="349">
        <v>34</v>
      </c>
      <c r="AF149" s="349">
        <v>177</v>
      </c>
      <c r="AG149" s="349">
        <v>211</v>
      </c>
    </row>
    <row r="150" spans="1:33" x14ac:dyDescent="0.2">
      <c r="A150" s="344" t="s">
        <v>356</v>
      </c>
      <c r="B150" s="350" t="s">
        <v>357</v>
      </c>
      <c r="C150" s="346">
        <v>8397</v>
      </c>
      <c r="D150" s="346">
        <v>17</v>
      </c>
      <c r="E150" s="346">
        <v>360</v>
      </c>
      <c r="F150" s="346">
        <v>941</v>
      </c>
      <c r="G150" s="346">
        <v>213</v>
      </c>
      <c r="H150" s="346">
        <v>9928</v>
      </c>
      <c r="I150" s="345">
        <v>9715</v>
      </c>
      <c r="J150" s="345">
        <v>1</v>
      </c>
      <c r="K150" s="347">
        <v>85.76</v>
      </c>
      <c r="L150" s="347">
        <v>85.97</v>
      </c>
      <c r="M150" s="347">
        <v>4.1399999999999997</v>
      </c>
      <c r="N150" s="347">
        <v>86.56</v>
      </c>
      <c r="O150" s="348">
        <v>7848</v>
      </c>
      <c r="P150" s="345">
        <v>85.07</v>
      </c>
      <c r="Q150" s="345">
        <v>82.31</v>
      </c>
      <c r="R150" s="345">
        <v>30.16</v>
      </c>
      <c r="S150" s="345">
        <v>113.15</v>
      </c>
      <c r="T150" s="345">
        <v>1263</v>
      </c>
      <c r="U150" s="345">
        <v>102.62</v>
      </c>
      <c r="V150" s="345">
        <v>512</v>
      </c>
      <c r="W150" s="345">
        <v>96</v>
      </c>
      <c r="X150" s="345">
        <v>10</v>
      </c>
      <c r="Y150" s="345">
        <v>0</v>
      </c>
      <c r="Z150" s="345">
        <v>27</v>
      </c>
      <c r="AA150" s="345">
        <v>5</v>
      </c>
      <c r="AB150" s="345">
        <v>3</v>
      </c>
      <c r="AC150" s="345">
        <v>12</v>
      </c>
      <c r="AD150" s="349">
        <v>8389</v>
      </c>
      <c r="AE150" s="349">
        <v>7</v>
      </c>
      <c r="AF150" s="349">
        <v>4</v>
      </c>
      <c r="AG150" s="349">
        <v>11</v>
      </c>
    </row>
    <row r="151" spans="1:33" x14ac:dyDescent="0.2">
      <c r="A151" s="344" t="s">
        <v>358</v>
      </c>
      <c r="B151" s="350" t="s">
        <v>359</v>
      </c>
      <c r="C151" s="346">
        <v>5708</v>
      </c>
      <c r="D151" s="346">
        <v>0</v>
      </c>
      <c r="E151" s="346">
        <v>711</v>
      </c>
      <c r="F151" s="346">
        <v>2463</v>
      </c>
      <c r="G151" s="346">
        <v>403</v>
      </c>
      <c r="H151" s="346">
        <v>9285</v>
      </c>
      <c r="I151" s="345">
        <v>8882</v>
      </c>
      <c r="J151" s="345">
        <v>5</v>
      </c>
      <c r="K151" s="347">
        <v>81.81</v>
      </c>
      <c r="L151" s="347">
        <v>82</v>
      </c>
      <c r="M151" s="347">
        <v>5.61</v>
      </c>
      <c r="N151" s="347">
        <v>84.63</v>
      </c>
      <c r="O151" s="348">
        <v>5078</v>
      </c>
      <c r="P151" s="345">
        <v>81.400000000000006</v>
      </c>
      <c r="Q151" s="345">
        <v>81.040000000000006</v>
      </c>
      <c r="R151" s="345">
        <v>33.229999999999997</v>
      </c>
      <c r="S151" s="345">
        <v>114.07</v>
      </c>
      <c r="T151" s="345">
        <v>2848</v>
      </c>
      <c r="U151" s="345">
        <v>100.26</v>
      </c>
      <c r="V151" s="345">
        <v>411</v>
      </c>
      <c r="W151" s="345">
        <v>127.7</v>
      </c>
      <c r="X151" s="345">
        <v>8</v>
      </c>
      <c r="Y151" s="345">
        <v>0</v>
      </c>
      <c r="Z151" s="345">
        <v>8</v>
      </c>
      <c r="AA151" s="345">
        <v>10</v>
      </c>
      <c r="AB151" s="345">
        <v>0</v>
      </c>
      <c r="AC151" s="345">
        <v>1</v>
      </c>
      <c r="AD151" s="349">
        <v>5514</v>
      </c>
      <c r="AE151" s="349">
        <v>46</v>
      </c>
      <c r="AF151" s="349">
        <v>13</v>
      </c>
      <c r="AG151" s="349">
        <v>59</v>
      </c>
    </row>
    <row r="152" spans="1:33" x14ac:dyDescent="0.2">
      <c r="A152" s="344" t="s">
        <v>360</v>
      </c>
      <c r="B152" s="350" t="s">
        <v>361</v>
      </c>
      <c r="C152" s="346">
        <v>2077</v>
      </c>
      <c r="D152" s="346">
        <v>13</v>
      </c>
      <c r="E152" s="346">
        <v>325</v>
      </c>
      <c r="F152" s="346">
        <v>219</v>
      </c>
      <c r="G152" s="346">
        <v>275</v>
      </c>
      <c r="H152" s="346">
        <v>2909</v>
      </c>
      <c r="I152" s="345">
        <v>2634</v>
      </c>
      <c r="J152" s="345">
        <v>20</v>
      </c>
      <c r="K152" s="347">
        <v>132.81</v>
      </c>
      <c r="L152" s="347">
        <v>135.57</v>
      </c>
      <c r="M152" s="347">
        <v>8.98</v>
      </c>
      <c r="N152" s="347">
        <v>140.49</v>
      </c>
      <c r="O152" s="348">
        <v>1561</v>
      </c>
      <c r="P152" s="345">
        <v>105.86</v>
      </c>
      <c r="Q152" s="345">
        <v>105.13</v>
      </c>
      <c r="R152" s="345">
        <v>32.68</v>
      </c>
      <c r="S152" s="345">
        <v>138.24</v>
      </c>
      <c r="T152" s="345">
        <v>325</v>
      </c>
      <c r="U152" s="345">
        <v>222.75</v>
      </c>
      <c r="V152" s="345">
        <v>254</v>
      </c>
      <c r="W152" s="345">
        <v>0</v>
      </c>
      <c r="X152" s="345">
        <v>0</v>
      </c>
      <c r="Y152" s="345">
        <v>0</v>
      </c>
      <c r="Z152" s="345">
        <v>1</v>
      </c>
      <c r="AA152" s="345">
        <v>1</v>
      </c>
      <c r="AB152" s="345">
        <v>0</v>
      </c>
      <c r="AC152" s="345">
        <v>10</v>
      </c>
      <c r="AD152" s="349">
        <v>1817</v>
      </c>
      <c r="AE152" s="349">
        <v>11</v>
      </c>
      <c r="AF152" s="349">
        <v>6</v>
      </c>
      <c r="AG152" s="349">
        <v>17</v>
      </c>
    </row>
    <row r="153" spans="1:33" x14ac:dyDescent="0.2">
      <c r="A153" s="344" t="s">
        <v>362</v>
      </c>
      <c r="B153" s="350" t="s">
        <v>363</v>
      </c>
      <c r="C153" s="346">
        <v>3806</v>
      </c>
      <c r="D153" s="346">
        <v>42</v>
      </c>
      <c r="E153" s="346">
        <v>401</v>
      </c>
      <c r="F153" s="346">
        <v>1495</v>
      </c>
      <c r="G153" s="346">
        <v>370</v>
      </c>
      <c r="H153" s="346">
        <v>6114</v>
      </c>
      <c r="I153" s="345">
        <v>5744</v>
      </c>
      <c r="J153" s="345">
        <v>21</v>
      </c>
      <c r="K153" s="347">
        <v>87.53</v>
      </c>
      <c r="L153" s="347">
        <v>86.26</v>
      </c>
      <c r="M153" s="347">
        <v>5.28</v>
      </c>
      <c r="N153" s="347">
        <v>91.43</v>
      </c>
      <c r="O153" s="348">
        <v>3296</v>
      </c>
      <c r="P153" s="345">
        <v>78.260000000000005</v>
      </c>
      <c r="Q153" s="345">
        <v>75.569999999999993</v>
      </c>
      <c r="R153" s="345">
        <v>27.09</v>
      </c>
      <c r="S153" s="345">
        <v>104.49</v>
      </c>
      <c r="T153" s="345">
        <v>1737</v>
      </c>
      <c r="U153" s="345">
        <v>97.67</v>
      </c>
      <c r="V153" s="345">
        <v>351</v>
      </c>
      <c r="W153" s="345">
        <v>99.34</v>
      </c>
      <c r="X153" s="345">
        <v>24</v>
      </c>
      <c r="Y153" s="345">
        <v>0</v>
      </c>
      <c r="Z153" s="345">
        <v>2</v>
      </c>
      <c r="AA153" s="345">
        <v>12</v>
      </c>
      <c r="AB153" s="345">
        <v>13</v>
      </c>
      <c r="AC153" s="345">
        <v>5</v>
      </c>
      <c r="AD153" s="349">
        <v>3797</v>
      </c>
      <c r="AE153" s="349">
        <v>32</v>
      </c>
      <c r="AF153" s="349">
        <v>10</v>
      </c>
      <c r="AG153" s="349">
        <v>42</v>
      </c>
    </row>
    <row r="154" spans="1:33" x14ac:dyDescent="0.2">
      <c r="A154" s="344" t="s">
        <v>364</v>
      </c>
      <c r="B154" s="350" t="s">
        <v>365</v>
      </c>
      <c r="C154" s="346">
        <v>15916</v>
      </c>
      <c r="D154" s="346">
        <v>0</v>
      </c>
      <c r="E154" s="346">
        <v>871</v>
      </c>
      <c r="F154" s="346">
        <v>1580</v>
      </c>
      <c r="G154" s="346">
        <v>289</v>
      </c>
      <c r="H154" s="346">
        <v>18656</v>
      </c>
      <c r="I154" s="345">
        <v>18367</v>
      </c>
      <c r="J154" s="345">
        <v>36</v>
      </c>
      <c r="K154" s="347">
        <v>86.11</v>
      </c>
      <c r="L154" s="347">
        <v>87.21</v>
      </c>
      <c r="M154" s="347">
        <v>10.99</v>
      </c>
      <c r="N154" s="347">
        <v>88.6</v>
      </c>
      <c r="O154" s="348">
        <v>14830</v>
      </c>
      <c r="P154" s="345">
        <v>84.27</v>
      </c>
      <c r="Q154" s="345">
        <v>83.65</v>
      </c>
      <c r="R154" s="345">
        <v>27.4</v>
      </c>
      <c r="S154" s="345">
        <v>102.78</v>
      </c>
      <c r="T154" s="345">
        <v>2259</v>
      </c>
      <c r="U154" s="345">
        <v>110.73</v>
      </c>
      <c r="V154" s="345">
        <v>793</v>
      </c>
      <c r="W154" s="345">
        <v>143.63999999999999</v>
      </c>
      <c r="X154" s="345">
        <v>41</v>
      </c>
      <c r="Y154" s="345">
        <v>0</v>
      </c>
      <c r="Z154" s="345">
        <v>92</v>
      </c>
      <c r="AA154" s="345">
        <v>7</v>
      </c>
      <c r="AB154" s="345">
        <v>16</v>
      </c>
      <c r="AC154" s="345">
        <v>4</v>
      </c>
      <c r="AD154" s="349">
        <v>15666</v>
      </c>
      <c r="AE154" s="349">
        <v>268</v>
      </c>
      <c r="AF154" s="349">
        <v>201</v>
      </c>
      <c r="AG154" s="349">
        <v>469</v>
      </c>
    </row>
    <row r="155" spans="1:33" x14ac:dyDescent="0.2">
      <c r="A155" s="344" t="s">
        <v>366</v>
      </c>
      <c r="B155" s="350" t="s">
        <v>367</v>
      </c>
      <c r="C155" s="346">
        <v>20823</v>
      </c>
      <c r="D155" s="346">
        <v>57</v>
      </c>
      <c r="E155" s="346">
        <v>1787</v>
      </c>
      <c r="F155" s="346">
        <v>1344</v>
      </c>
      <c r="G155" s="346">
        <v>2049</v>
      </c>
      <c r="H155" s="346">
        <v>26060</v>
      </c>
      <c r="I155" s="345">
        <v>24011</v>
      </c>
      <c r="J155" s="345">
        <v>58</v>
      </c>
      <c r="K155" s="347">
        <v>119.46</v>
      </c>
      <c r="L155" s="347">
        <v>129.69999999999999</v>
      </c>
      <c r="M155" s="347">
        <v>12.42</v>
      </c>
      <c r="N155" s="347">
        <v>129.36000000000001</v>
      </c>
      <c r="O155" s="348">
        <v>18520</v>
      </c>
      <c r="P155" s="345">
        <v>110.4</v>
      </c>
      <c r="Q155" s="345">
        <v>111.84</v>
      </c>
      <c r="R155" s="345">
        <v>44.51</v>
      </c>
      <c r="S155" s="345">
        <v>151.27000000000001</v>
      </c>
      <c r="T155" s="345">
        <v>2786</v>
      </c>
      <c r="U155" s="345">
        <v>185.35</v>
      </c>
      <c r="V155" s="345">
        <v>915</v>
      </c>
      <c r="W155" s="345">
        <v>201.29</v>
      </c>
      <c r="X155" s="345">
        <v>9</v>
      </c>
      <c r="Y155" s="345">
        <v>4</v>
      </c>
      <c r="Z155" s="345">
        <v>21</v>
      </c>
      <c r="AA155" s="345">
        <v>20</v>
      </c>
      <c r="AB155" s="345">
        <v>267</v>
      </c>
      <c r="AC155" s="345">
        <v>108</v>
      </c>
      <c r="AD155" s="349">
        <v>19696</v>
      </c>
      <c r="AE155" s="349">
        <v>141</v>
      </c>
      <c r="AF155" s="349">
        <v>372</v>
      </c>
      <c r="AG155" s="349">
        <v>513</v>
      </c>
    </row>
    <row r="156" spans="1:33" x14ac:dyDescent="0.2">
      <c r="A156" s="344" t="s">
        <v>368</v>
      </c>
      <c r="B156" s="350" t="s">
        <v>369</v>
      </c>
      <c r="C156" s="346">
        <v>1731</v>
      </c>
      <c r="D156" s="346">
        <v>2</v>
      </c>
      <c r="E156" s="346">
        <v>321</v>
      </c>
      <c r="F156" s="346">
        <v>485</v>
      </c>
      <c r="G156" s="346">
        <v>324</v>
      </c>
      <c r="H156" s="346">
        <v>2863</v>
      </c>
      <c r="I156" s="345">
        <v>2539</v>
      </c>
      <c r="J156" s="345">
        <v>4</v>
      </c>
      <c r="K156" s="347">
        <v>85.93</v>
      </c>
      <c r="L156" s="347">
        <v>83.12</v>
      </c>
      <c r="M156" s="347">
        <v>5.18</v>
      </c>
      <c r="N156" s="347">
        <v>90.32</v>
      </c>
      <c r="O156" s="348">
        <v>1342</v>
      </c>
      <c r="P156" s="345">
        <v>83.63</v>
      </c>
      <c r="Q156" s="345">
        <v>72.180000000000007</v>
      </c>
      <c r="R156" s="345">
        <v>45.39</v>
      </c>
      <c r="S156" s="345">
        <v>128.57</v>
      </c>
      <c r="T156" s="345">
        <v>711</v>
      </c>
      <c r="U156" s="345">
        <v>103.07</v>
      </c>
      <c r="V156" s="345">
        <v>336</v>
      </c>
      <c r="W156" s="345">
        <v>133.9</v>
      </c>
      <c r="X156" s="345">
        <v>10</v>
      </c>
      <c r="Y156" s="345">
        <v>5</v>
      </c>
      <c r="Z156" s="345">
        <v>0</v>
      </c>
      <c r="AA156" s="345">
        <v>22</v>
      </c>
      <c r="AB156" s="345">
        <v>23</v>
      </c>
      <c r="AC156" s="345">
        <v>5</v>
      </c>
      <c r="AD156" s="349">
        <v>1699</v>
      </c>
      <c r="AE156" s="349">
        <v>14</v>
      </c>
      <c r="AF156" s="349">
        <v>1</v>
      </c>
      <c r="AG156" s="349">
        <v>15</v>
      </c>
    </row>
    <row r="157" spans="1:33" x14ac:dyDescent="0.2">
      <c r="A157" s="344" t="s">
        <v>370</v>
      </c>
      <c r="B157" s="350" t="s">
        <v>371</v>
      </c>
      <c r="C157" s="346">
        <v>12176</v>
      </c>
      <c r="D157" s="346">
        <v>68</v>
      </c>
      <c r="E157" s="346">
        <v>1417</v>
      </c>
      <c r="F157" s="346">
        <v>3079</v>
      </c>
      <c r="G157" s="346">
        <v>1155</v>
      </c>
      <c r="H157" s="346">
        <v>17895</v>
      </c>
      <c r="I157" s="345">
        <v>16740</v>
      </c>
      <c r="J157" s="345">
        <v>12</v>
      </c>
      <c r="K157" s="347">
        <v>85.91</v>
      </c>
      <c r="L157" s="347">
        <v>85.33</v>
      </c>
      <c r="M157" s="347">
        <v>6.58</v>
      </c>
      <c r="N157" s="347">
        <v>89.91</v>
      </c>
      <c r="O157" s="348">
        <v>10539</v>
      </c>
      <c r="P157" s="345">
        <v>88.86</v>
      </c>
      <c r="Q157" s="345">
        <v>76.27</v>
      </c>
      <c r="R157" s="345">
        <v>40.700000000000003</v>
      </c>
      <c r="S157" s="345">
        <v>128.91</v>
      </c>
      <c r="T157" s="345">
        <v>3550</v>
      </c>
      <c r="U157" s="345">
        <v>104.75</v>
      </c>
      <c r="V157" s="345">
        <v>849</v>
      </c>
      <c r="W157" s="345">
        <v>92.46</v>
      </c>
      <c r="X157" s="345">
        <v>33</v>
      </c>
      <c r="Y157" s="345">
        <v>0</v>
      </c>
      <c r="Z157" s="345">
        <v>15</v>
      </c>
      <c r="AA157" s="345">
        <v>24</v>
      </c>
      <c r="AB157" s="345">
        <v>38</v>
      </c>
      <c r="AC157" s="345">
        <v>23</v>
      </c>
      <c r="AD157" s="349">
        <v>11811</v>
      </c>
      <c r="AE157" s="349">
        <v>67</v>
      </c>
      <c r="AF157" s="349">
        <v>33</v>
      </c>
      <c r="AG157" s="349">
        <v>100</v>
      </c>
    </row>
    <row r="158" spans="1:33" x14ac:dyDescent="0.2">
      <c r="A158" s="344" t="s">
        <v>372</v>
      </c>
      <c r="B158" s="350" t="s">
        <v>373</v>
      </c>
      <c r="C158" s="346">
        <v>8858</v>
      </c>
      <c r="D158" s="346">
        <v>0</v>
      </c>
      <c r="E158" s="346">
        <v>809</v>
      </c>
      <c r="F158" s="346">
        <v>974</v>
      </c>
      <c r="G158" s="346">
        <v>542</v>
      </c>
      <c r="H158" s="346">
        <v>11183</v>
      </c>
      <c r="I158" s="345">
        <v>10641</v>
      </c>
      <c r="J158" s="345">
        <v>109</v>
      </c>
      <c r="K158" s="347">
        <v>85.42</v>
      </c>
      <c r="L158" s="347">
        <v>83.81</v>
      </c>
      <c r="M158" s="347">
        <v>7.99</v>
      </c>
      <c r="N158" s="347">
        <v>90.59</v>
      </c>
      <c r="O158" s="348">
        <v>7467</v>
      </c>
      <c r="P158" s="345">
        <v>81.09</v>
      </c>
      <c r="Q158" s="345">
        <v>75.84</v>
      </c>
      <c r="R158" s="345">
        <v>54.64</v>
      </c>
      <c r="S158" s="345">
        <v>134.79</v>
      </c>
      <c r="T158" s="345">
        <v>1507</v>
      </c>
      <c r="U158" s="345">
        <v>107.03</v>
      </c>
      <c r="V158" s="345">
        <v>506</v>
      </c>
      <c r="W158" s="345">
        <v>100.78</v>
      </c>
      <c r="X158" s="345">
        <v>73</v>
      </c>
      <c r="Y158" s="345">
        <v>0</v>
      </c>
      <c r="Z158" s="345">
        <v>2</v>
      </c>
      <c r="AA158" s="345">
        <v>33</v>
      </c>
      <c r="AB158" s="345">
        <v>13</v>
      </c>
      <c r="AC158" s="345">
        <v>34</v>
      </c>
      <c r="AD158" s="349">
        <v>8137</v>
      </c>
      <c r="AE158" s="349">
        <v>49</v>
      </c>
      <c r="AF158" s="349">
        <v>79</v>
      </c>
      <c r="AG158" s="349">
        <v>128</v>
      </c>
    </row>
    <row r="159" spans="1:33" x14ac:dyDescent="0.2">
      <c r="A159" s="344" t="s">
        <v>374</v>
      </c>
      <c r="B159" s="350" t="s">
        <v>375</v>
      </c>
      <c r="C159" s="346">
        <v>1006</v>
      </c>
      <c r="D159" s="346">
        <v>0</v>
      </c>
      <c r="E159" s="346">
        <v>154</v>
      </c>
      <c r="F159" s="346">
        <v>427</v>
      </c>
      <c r="G159" s="346">
        <v>246</v>
      </c>
      <c r="H159" s="346">
        <v>1833</v>
      </c>
      <c r="I159" s="345">
        <v>1587</v>
      </c>
      <c r="J159" s="345">
        <v>0</v>
      </c>
      <c r="K159" s="347">
        <v>96.3</v>
      </c>
      <c r="L159" s="347">
        <v>98.16</v>
      </c>
      <c r="M159" s="347">
        <v>7.93</v>
      </c>
      <c r="N159" s="347">
        <v>103.06</v>
      </c>
      <c r="O159" s="348">
        <v>865</v>
      </c>
      <c r="P159" s="345">
        <v>82.25</v>
      </c>
      <c r="Q159" s="345">
        <v>81.25</v>
      </c>
      <c r="R159" s="345">
        <v>39.200000000000003</v>
      </c>
      <c r="S159" s="345">
        <v>120.79</v>
      </c>
      <c r="T159" s="345">
        <v>295</v>
      </c>
      <c r="U159" s="345">
        <v>152.91</v>
      </c>
      <c r="V159" s="345">
        <v>118</v>
      </c>
      <c r="W159" s="345">
        <v>134.29</v>
      </c>
      <c r="X159" s="345">
        <v>9</v>
      </c>
      <c r="Y159" s="345">
        <v>0</v>
      </c>
      <c r="Z159" s="345">
        <v>0</v>
      </c>
      <c r="AA159" s="345">
        <v>0</v>
      </c>
      <c r="AB159" s="345">
        <v>8</v>
      </c>
      <c r="AC159" s="345">
        <v>3</v>
      </c>
      <c r="AD159" s="349">
        <v>994</v>
      </c>
      <c r="AE159" s="349">
        <v>8</v>
      </c>
      <c r="AF159" s="349">
        <v>1</v>
      </c>
      <c r="AG159" s="349">
        <v>9</v>
      </c>
    </row>
    <row r="160" spans="1:33" x14ac:dyDescent="0.2">
      <c r="A160" s="344" t="s">
        <v>376</v>
      </c>
      <c r="B160" s="350" t="s">
        <v>377</v>
      </c>
      <c r="C160" s="346">
        <v>20796</v>
      </c>
      <c r="D160" s="346">
        <v>194</v>
      </c>
      <c r="E160" s="346">
        <v>1223</v>
      </c>
      <c r="F160" s="346">
        <v>651</v>
      </c>
      <c r="G160" s="346">
        <v>1595</v>
      </c>
      <c r="H160" s="346">
        <v>24459</v>
      </c>
      <c r="I160" s="345">
        <v>22864</v>
      </c>
      <c r="J160" s="345">
        <v>6</v>
      </c>
      <c r="K160" s="347">
        <v>111.79</v>
      </c>
      <c r="L160" s="347">
        <v>115.03</v>
      </c>
      <c r="M160" s="347">
        <v>8.34</v>
      </c>
      <c r="N160" s="347">
        <v>116.63</v>
      </c>
      <c r="O160" s="348">
        <v>18506</v>
      </c>
      <c r="P160" s="345">
        <v>103.27</v>
      </c>
      <c r="Q160" s="345">
        <v>105.29</v>
      </c>
      <c r="R160" s="345">
        <v>49.95</v>
      </c>
      <c r="S160" s="345">
        <v>148.29</v>
      </c>
      <c r="T160" s="345">
        <v>1631</v>
      </c>
      <c r="U160" s="345">
        <v>167.07</v>
      </c>
      <c r="V160" s="345">
        <v>1131</v>
      </c>
      <c r="W160" s="345">
        <v>270.57</v>
      </c>
      <c r="X160" s="345">
        <v>56</v>
      </c>
      <c r="Y160" s="345">
        <v>0</v>
      </c>
      <c r="Z160" s="345">
        <v>57</v>
      </c>
      <c r="AA160" s="345">
        <v>40</v>
      </c>
      <c r="AB160" s="345">
        <v>223</v>
      </c>
      <c r="AC160" s="345">
        <v>59</v>
      </c>
      <c r="AD160" s="349">
        <v>19866</v>
      </c>
      <c r="AE160" s="349">
        <v>89</v>
      </c>
      <c r="AF160" s="349">
        <v>48</v>
      </c>
      <c r="AG160" s="349">
        <v>137</v>
      </c>
    </row>
    <row r="161" spans="1:33" x14ac:dyDescent="0.2">
      <c r="A161" s="344" t="s">
        <v>378</v>
      </c>
      <c r="B161" s="350" t="s">
        <v>379</v>
      </c>
      <c r="C161" s="346">
        <v>5303</v>
      </c>
      <c r="D161" s="346">
        <v>17</v>
      </c>
      <c r="E161" s="346">
        <v>131</v>
      </c>
      <c r="F161" s="346">
        <v>272</v>
      </c>
      <c r="G161" s="346">
        <v>200</v>
      </c>
      <c r="H161" s="346">
        <v>5923</v>
      </c>
      <c r="I161" s="345">
        <v>5723</v>
      </c>
      <c r="J161" s="345">
        <v>3</v>
      </c>
      <c r="K161" s="347">
        <v>90.23</v>
      </c>
      <c r="L161" s="347">
        <v>86.98</v>
      </c>
      <c r="M161" s="347">
        <v>2.88</v>
      </c>
      <c r="N161" s="347">
        <v>91.7</v>
      </c>
      <c r="O161" s="348">
        <v>4964</v>
      </c>
      <c r="P161" s="345">
        <v>93.58</v>
      </c>
      <c r="Q161" s="345">
        <v>91.43</v>
      </c>
      <c r="R161" s="345">
        <v>42.49</v>
      </c>
      <c r="S161" s="345">
        <v>109.61</v>
      </c>
      <c r="T161" s="345">
        <v>403</v>
      </c>
      <c r="U161" s="345">
        <v>110.67</v>
      </c>
      <c r="V161" s="345">
        <v>331</v>
      </c>
      <c r="W161" s="345">
        <v>0</v>
      </c>
      <c r="X161" s="345">
        <v>0</v>
      </c>
      <c r="Y161" s="345">
        <v>0</v>
      </c>
      <c r="Z161" s="345">
        <v>15</v>
      </c>
      <c r="AA161" s="345">
        <v>10</v>
      </c>
      <c r="AB161" s="345">
        <v>6</v>
      </c>
      <c r="AC161" s="345">
        <v>9</v>
      </c>
      <c r="AD161" s="349">
        <v>5301</v>
      </c>
      <c r="AE161" s="349">
        <v>14</v>
      </c>
      <c r="AF161" s="349">
        <v>13</v>
      </c>
      <c r="AG161" s="349">
        <v>27</v>
      </c>
    </row>
    <row r="162" spans="1:33" x14ac:dyDescent="0.2">
      <c r="A162" s="344" t="s">
        <v>380</v>
      </c>
      <c r="B162" s="350" t="s">
        <v>381</v>
      </c>
      <c r="C162" s="346">
        <v>1252</v>
      </c>
      <c r="D162" s="346">
        <v>0</v>
      </c>
      <c r="E162" s="346">
        <v>433</v>
      </c>
      <c r="F162" s="346">
        <v>182</v>
      </c>
      <c r="G162" s="346">
        <v>212</v>
      </c>
      <c r="H162" s="346">
        <v>2079</v>
      </c>
      <c r="I162" s="345">
        <v>1867</v>
      </c>
      <c r="J162" s="345">
        <v>16</v>
      </c>
      <c r="K162" s="347">
        <v>82</v>
      </c>
      <c r="L162" s="347">
        <v>80.98</v>
      </c>
      <c r="M162" s="347">
        <v>6.65</v>
      </c>
      <c r="N162" s="347">
        <v>87.64</v>
      </c>
      <c r="O162" s="348">
        <v>978</v>
      </c>
      <c r="P162" s="345">
        <v>89.56</v>
      </c>
      <c r="Q162" s="345">
        <v>83.62</v>
      </c>
      <c r="R162" s="345">
        <v>52.8</v>
      </c>
      <c r="S162" s="345">
        <v>142.35</v>
      </c>
      <c r="T162" s="345">
        <v>199</v>
      </c>
      <c r="U162" s="345">
        <v>97.7</v>
      </c>
      <c r="V162" s="345">
        <v>101</v>
      </c>
      <c r="W162" s="345">
        <v>239.38</v>
      </c>
      <c r="X162" s="345">
        <v>16</v>
      </c>
      <c r="Y162" s="345">
        <v>94</v>
      </c>
      <c r="Z162" s="345">
        <v>0</v>
      </c>
      <c r="AA162" s="345">
        <v>4</v>
      </c>
      <c r="AB162" s="345">
        <v>8</v>
      </c>
      <c r="AC162" s="345">
        <v>7</v>
      </c>
      <c r="AD162" s="349">
        <v>1223</v>
      </c>
      <c r="AE162" s="349">
        <v>6</v>
      </c>
      <c r="AF162" s="349">
        <v>2</v>
      </c>
      <c r="AG162" s="349">
        <v>8</v>
      </c>
    </row>
    <row r="163" spans="1:33" x14ac:dyDescent="0.2">
      <c r="A163" s="344" t="s">
        <v>382</v>
      </c>
      <c r="B163" s="350" t="s">
        <v>383</v>
      </c>
      <c r="C163" s="346">
        <v>52470</v>
      </c>
      <c r="D163" s="346">
        <v>1</v>
      </c>
      <c r="E163" s="346">
        <v>2182</v>
      </c>
      <c r="F163" s="346">
        <v>3958</v>
      </c>
      <c r="G163" s="346">
        <v>747</v>
      </c>
      <c r="H163" s="346">
        <v>59358</v>
      </c>
      <c r="I163" s="345">
        <v>58611</v>
      </c>
      <c r="J163" s="345">
        <v>103</v>
      </c>
      <c r="K163" s="347">
        <v>85.64</v>
      </c>
      <c r="L163" s="347">
        <v>86.47</v>
      </c>
      <c r="M163" s="347">
        <v>8.01</v>
      </c>
      <c r="N163" s="347">
        <v>87.82</v>
      </c>
      <c r="O163" s="348">
        <v>45979</v>
      </c>
      <c r="P163" s="345">
        <v>83.29</v>
      </c>
      <c r="Q163" s="345">
        <v>81.14</v>
      </c>
      <c r="R163" s="345">
        <v>41.65</v>
      </c>
      <c r="S163" s="345">
        <v>123.69</v>
      </c>
      <c r="T163" s="345">
        <v>5319</v>
      </c>
      <c r="U163" s="345">
        <v>103.08</v>
      </c>
      <c r="V163" s="345">
        <v>3918</v>
      </c>
      <c r="W163" s="345">
        <v>152.22</v>
      </c>
      <c r="X163" s="345">
        <v>28</v>
      </c>
      <c r="Y163" s="345">
        <v>105</v>
      </c>
      <c r="Z163" s="345">
        <v>169</v>
      </c>
      <c r="AA163" s="345">
        <v>190</v>
      </c>
      <c r="AB163" s="345">
        <v>60</v>
      </c>
      <c r="AC163" s="345">
        <v>20</v>
      </c>
      <c r="AD163" s="349">
        <v>50046</v>
      </c>
      <c r="AE163" s="349">
        <v>308</v>
      </c>
      <c r="AF163" s="349">
        <v>476</v>
      </c>
      <c r="AG163" s="349">
        <v>784</v>
      </c>
    </row>
    <row r="164" spans="1:33" x14ac:dyDescent="0.2">
      <c r="A164" s="344" t="s">
        <v>384</v>
      </c>
      <c r="B164" s="350" t="s">
        <v>385</v>
      </c>
      <c r="C164" s="346">
        <v>3557</v>
      </c>
      <c r="D164" s="346">
        <v>0</v>
      </c>
      <c r="E164" s="346">
        <v>292</v>
      </c>
      <c r="F164" s="346">
        <v>356</v>
      </c>
      <c r="G164" s="346">
        <v>337</v>
      </c>
      <c r="H164" s="346">
        <v>4542</v>
      </c>
      <c r="I164" s="345">
        <v>4205</v>
      </c>
      <c r="J164" s="345">
        <v>4</v>
      </c>
      <c r="K164" s="347">
        <v>103.96</v>
      </c>
      <c r="L164" s="347">
        <v>101.78</v>
      </c>
      <c r="M164" s="347">
        <v>6.2</v>
      </c>
      <c r="N164" s="347">
        <v>108.42</v>
      </c>
      <c r="O164" s="348">
        <v>2857</v>
      </c>
      <c r="P164" s="345">
        <v>100.59</v>
      </c>
      <c r="Q164" s="345">
        <v>98.53</v>
      </c>
      <c r="R164" s="345">
        <v>34.69</v>
      </c>
      <c r="S164" s="345">
        <v>133.53</v>
      </c>
      <c r="T164" s="345">
        <v>417</v>
      </c>
      <c r="U164" s="345">
        <v>130.22</v>
      </c>
      <c r="V164" s="345">
        <v>277</v>
      </c>
      <c r="W164" s="345">
        <v>0</v>
      </c>
      <c r="X164" s="345">
        <v>0</v>
      </c>
      <c r="Y164" s="345">
        <v>10</v>
      </c>
      <c r="Z164" s="345">
        <v>0</v>
      </c>
      <c r="AA164" s="345">
        <v>1</v>
      </c>
      <c r="AB164" s="345">
        <v>23</v>
      </c>
      <c r="AC164" s="345">
        <v>24</v>
      </c>
      <c r="AD164" s="349">
        <v>3230</v>
      </c>
      <c r="AE164" s="349">
        <v>12</v>
      </c>
      <c r="AF164" s="349">
        <v>2</v>
      </c>
      <c r="AG164" s="349">
        <v>14</v>
      </c>
    </row>
    <row r="165" spans="1:33" x14ac:dyDescent="0.2">
      <c r="A165" s="344" t="s">
        <v>386</v>
      </c>
      <c r="B165" s="350" t="s">
        <v>387</v>
      </c>
      <c r="C165" s="346">
        <v>7431</v>
      </c>
      <c r="D165" s="346">
        <v>0</v>
      </c>
      <c r="E165" s="346">
        <v>243</v>
      </c>
      <c r="F165" s="346">
        <v>1136</v>
      </c>
      <c r="G165" s="346">
        <v>694</v>
      </c>
      <c r="H165" s="346">
        <v>9504</v>
      </c>
      <c r="I165" s="345">
        <v>8810</v>
      </c>
      <c r="J165" s="345">
        <v>1</v>
      </c>
      <c r="K165" s="347">
        <v>97.73</v>
      </c>
      <c r="L165" s="347">
        <v>96.56</v>
      </c>
      <c r="M165" s="347">
        <v>4.6900000000000004</v>
      </c>
      <c r="N165" s="347">
        <v>101.3</v>
      </c>
      <c r="O165" s="348">
        <v>6140</v>
      </c>
      <c r="P165" s="345">
        <v>86.94</v>
      </c>
      <c r="Q165" s="345">
        <v>92.86</v>
      </c>
      <c r="R165" s="345">
        <v>14.51</v>
      </c>
      <c r="S165" s="345">
        <v>100.47</v>
      </c>
      <c r="T165" s="345">
        <v>1235</v>
      </c>
      <c r="U165" s="345">
        <v>156.1</v>
      </c>
      <c r="V165" s="345">
        <v>916</v>
      </c>
      <c r="W165" s="345">
        <v>218.43</v>
      </c>
      <c r="X165" s="345">
        <v>57</v>
      </c>
      <c r="Y165" s="345">
        <v>33</v>
      </c>
      <c r="Z165" s="345">
        <v>34</v>
      </c>
      <c r="AA165" s="345">
        <v>2</v>
      </c>
      <c r="AB165" s="345">
        <v>18</v>
      </c>
      <c r="AC165" s="345">
        <v>30</v>
      </c>
      <c r="AD165" s="349">
        <v>7118</v>
      </c>
      <c r="AE165" s="349">
        <v>35</v>
      </c>
      <c r="AF165" s="349">
        <v>49</v>
      </c>
      <c r="AG165" s="349">
        <v>84</v>
      </c>
    </row>
    <row r="166" spans="1:33" x14ac:dyDescent="0.2">
      <c r="A166" s="344" t="s">
        <v>388</v>
      </c>
      <c r="B166" s="350" t="s">
        <v>389</v>
      </c>
      <c r="C166" s="346">
        <v>2155</v>
      </c>
      <c r="D166" s="346">
        <v>0</v>
      </c>
      <c r="E166" s="346">
        <v>28</v>
      </c>
      <c r="F166" s="346">
        <v>811</v>
      </c>
      <c r="G166" s="346">
        <v>51</v>
      </c>
      <c r="H166" s="346">
        <v>3045</v>
      </c>
      <c r="I166" s="345">
        <v>2994</v>
      </c>
      <c r="J166" s="345">
        <v>0</v>
      </c>
      <c r="K166" s="347">
        <v>105.59</v>
      </c>
      <c r="L166" s="347">
        <v>104.57</v>
      </c>
      <c r="M166" s="347">
        <v>4.6900000000000004</v>
      </c>
      <c r="N166" s="347">
        <v>108.64</v>
      </c>
      <c r="O166" s="348">
        <v>1960</v>
      </c>
      <c r="P166" s="345">
        <v>87.63</v>
      </c>
      <c r="Q166" s="345">
        <v>87.03</v>
      </c>
      <c r="R166" s="345">
        <v>12.47</v>
      </c>
      <c r="S166" s="345">
        <v>100.01</v>
      </c>
      <c r="T166" s="345">
        <v>765</v>
      </c>
      <c r="U166" s="345">
        <v>134.65</v>
      </c>
      <c r="V166" s="345">
        <v>187</v>
      </c>
      <c r="W166" s="345">
        <v>116.23</v>
      </c>
      <c r="X166" s="345">
        <v>1</v>
      </c>
      <c r="Y166" s="345">
        <v>0</v>
      </c>
      <c r="Z166" s="345">
        <v>2</v>
      </c>
      <c r="AA166" s="345">
        <v>3</v>
      </c>
      <c r="AB166" s="345">
        <v>0</v>
      </c>
      <c r="AC166" s="345">
        <v>3</v>
      </c>
      <c r="AD166" s="349">
        <v>2155</v>
      </c>
      <c r="AE166" s="349">
        <v>11</v>
      </c>
      <c r="AF166" s="349">
        <v>8</v>
      </c>
      <c r="AG166" s="349">
        <v>19</v>
      </c>
    </row>
    <row r="167" spans="1:33" x14ac:dyDescent="0.2">
      <c r="A167" s="344" t="s">
        <v>390</v>
      </c>
      <c r="B167" s="350" t="s">
        <v>391</v>
      </c>
      <c r="C167" s="346">
        <v>3933</v>
      </c>
      <c r="D167" s="346">
        <v>0</v>
      </c>
      <c r="E167" s="346">
        <v>66</v>
      </c>
      <c r="F167" s="346">
        <v>681</v>
      </c>
      <c r="G167" s="346">
        <v>314</v>
      </c>
      <c r="H167" s="346">
        <v>4994</v>
      </c>
      <c r="I167" s="345">
        <v>4680</v>
      </c>
      <c r="J167" s="345">
        <v>0</v>
      </c>
      <c r="K167" s="347">
        <v>98.78</v>
      </c>
      <c r="L167" s="347">
        <v>99.02</v>
      </c>
      <c r="M167" s="347">
        <v>3.43</v>
      </c>
      <c r="N167" s="347">
        <v>101.87</v>
      </c>
      <c r="O167" s="348">
        <v>3680</v>
      </c>
      <c r="P167" s="345">
        <v>89.51</v>
      </c>
      <c r="Q167" s="345">
        <v>91.15</v>
      </c>
      <c r="R167" s="345">
        <v>23.45</v>
      </c>
      <c r="S167" s="345">
        <v>112.83</v>
      </c>
      <c r="T167" s="345">
        <v>699</v>
      </c>
      <c r="U167" s="345">
        <v>115.11</v>
      </c>
      <c r="V167" s="345">
        <v>179</v>
      </c>
      <c r="W167" s="345">
        <v>159.49</v>
      </c>
      <c r="X167" s="345">
        <v>45</v>
      </c>
      <c r="Y167" s="345">
        <v>0</v>
      </c>
      <c r="Z167" s="345">
        <v>5</v>
      </c>
      <c r="AA167" s="345">
        <v>0</v>
      </c>
      <c r="AB167" s="345">
        <v>13</v>
      </c>
      <c r="AC167" s="345">
        <v>7</v>
      </c>
      <c r="AD167" s="349">
        <v>3932</v>
      </c>
      <c r="AE167" s="349">
        <v>31</v>
      </c>
      <c r="AF167" s="349">
        <v>17</v>
      </c>
      <c r="AG167" s="349">
        <v>48</v>
      </c>
    </row>
    <row r="168" spans="1:33" x14ac:dyDescent="0.2">
      <c r="A168" s="344" t="s">
        <v>392</v>
      </c>
      <c r="B168" s="350" t="s">
        <v>393</v>
      </c>
      <c r="C168" s="346">
        <v>46708</v>
      </c>
      <c r="D168" s="346">
        <v>62</v>
      </c>
      <c r="E168" s="346">
        <v>1541</v>
      </c>
      <c r="F168" s="346">
        <v>3235</v>
      </c>
      <c r="G168" s="346">
        <v>1313</v>
      </c>
      <c r="H168" s="346">
        <v>52859</v>
      </c>
      <c r="I168" s="345">
        <v>51546</v>
      </c>
      <c r="J168" s="345">
        <v>144</v>
      </c>
      <c r="K168" s="347">
        <v>82.87</v>
      </c>
      <c r="L168" s="347">
        <v>83.66</v>
      </c>
      <c r="M168" s="347">
        <v>4.74</v>
      </c>
      <c r="N168" s="347">
        <v>84.56</v>
      </c>
      <c r="O168" s="348">
        <v>43057</v>
      </c>
      <c r="P168" s="345">
        <v>80.81</v>
      </c>
      <c r="Q168" s="345">
        <v>75.33</v>
      </c>
      <c r="R168" s="345">
        <v>42.57</v>
      </c>
      <c r="S168" s="345">
        <v>120.92</v>
      </c>
      <c r="T168" s="345">
        <v>4133</v>
      </c>
      <c r="U168" s="345">
        <v>107.11</v>
      </c>
      <c r="V168" s="345">
        <v>1923</v>
      </c>
      <c r="W168" s="345">
        <v>0</v>
      </c>
      <c r="X168" s="345">
        <v>0</v>
      </c>
      <c r="Y168" s="345">
        <v>10</v>
      </c>
      <c r="Z168" s="345">
        <v>251</v>
      </c>
      <c r="AA168" s="345">
        <v>115</v>
      </c>
      <c r="AB168" s="345">
        <v>76</v>
      </c>
      <c r="AC168" s="345">
        <v>45</v>
      </c>
      <c r="AD168" s="349">
        <v>45028</v>
      </c>
      <c r="AE168" s="349">
        <v>121</v>
      </c>
      <c r="AF168" s="349">
        <v>194</v>
      </c>
      <c r="AG168" s="349">
        <v>315</v>
      </c>
    </row>
    <row r="169" spans="1:33" x14ac:dyDescent="0.2">
      <c r="A169" s="344" t="s">
        <v>394</v>
      </c>
      <c r="B169" s="350" t="s">
        <v>395</v>
      </c>
      <c r="C169" s="346">
        <v>1730</v>
      </c>
      <c r="D169" s="346">
        <v>0</v>
      </c>
      <c r="E169" s="346">
        <v>383</v>
      </c>
      <c r="F169" s="346">
        <v>248</v>
      </c>
      <c r="G169" s="346">
        <v>139</v>
      </c>
      <c r="H169" s="346">
        <v>2500</v>
      </c>
      <c r="I169" s="345">
        <v>2361</v>
      </c>
      <c r="J169" s="345">
        <v>5</v>
      </c>
      <c r="K169" s="347">
        <v>83.62</v>
      </c>
      <c r="L169" s="347">
        <v>81.739999999999995</v>
      </c>
      <c r="M169" s="347">
        <v>5.81</v>
      </c>
      <c r="N169" s="347">
        <v>86.38</v>
      </c>
      <c r="O169" s="348">
        <v>1690</v>
      </c>
      <c r="P169" s="345">
        <v>100.15</v>
      </c>
      <c r="Q169" s="345">
        <v>72.849999999999994</v>
      </c>
      <c r="R169" s="345">
        <v>53.34</v>
      </c>
      <c r="S169" s="345">
        <v>150.96</v>
      </c>
      <c r="T169" s="345">
        <v>316</v>
      </c>
      <c r="U169" s="345">
        <v>93.67</v>
      </c>
      <c r="V169" s="345">
        <v>32</v>
      </c>
      <c r="W169" s="345">
        <v>0</v>
      </c>
      <c r="X169" s="345">
        <v>0</v>
      </c>
      <c r="Y169" s="345">
        <v>0</v>
      </c>
      <c r="Z169" s="345">
        <v>0</v>
      </c>
      <c r="AA169" s="345">
        <v>16</v>
      </c>
      <c r="AB169" s="345">
        <v>13</v>
      </c>
      <c r="AC169" s="345">
        <v>1</v>
      </c>
      <c r="AD169" s="349">
        <v>1730</v>
      </c>
      <c r="AE169" s="349">
        <v>13</v>
      </c>
      <c r="AF169" s="349">
        <v>18</v>
      </c>
      <c r="AG169" s="349">
        <v>31</v>
      </c>
    </row>
    <row r="170" spans="1:33" x14ac:dyDescent="0.2">
      <c r="A170" s="344" t="s">
        <v>396</v>
      </c>
      <c r="B170" s="350" t="s">
        <v>397</v>
      </c>
      <c r="C170" s="346">
        <v>3832</v>
      </c>
      <c r="D170" s="346">
        <v>0</v>
      </c>
      <c r="E170" s="346">
        <v>290</v>
      </c>
      <c r="F170" s="346">
        <v>784</v>
      </c>
      <c r="G170" s="346">
        <v>1129</v>
      </c>
      <c r="H170" s="346">
        <v>6035</v>
      </c>
      <c r="I170" s="345">
        <v>4906</v>
      </c>
      <c r="J170" s="345">
        <v>1</v>
      </c>
      <c r="K170" s="347">
        <v>102.8</v>
      </c>
      <c r="L170" s="347">
        <v>101.36</v>
      </c>
      <c r="M170" s="347">
        <v>6.83</v>
      </c>
      <c r="N170" s="347">
        <v>108.11</v>
      </c>
      <c r="O170" s="348">
        <v>2891</v>
      </c>
      <c r="P170" s="345">
        <v>87.63</v>
      </c>
      <c r="Q170" s="345">
        <v>85.11</v>
      </c>
      <c r="R170" s="345">
        <v>35.29</v>
      </c>
      <c r="S170" s="345">
        <v>118.44</v>
      </c>
      <c r="T170" s="345">
        <v>907</v>
      </c>
      <c r="U170" s="345">
        <v>128.85</v>
      </c>
      <c r="V170" s="345">
        <v>553</v>
      </c>
      <c r="W170" s="345">
        <v>161.72</v>
      </c>
      <c r="X170" s="345">
        <v>61</v>
      </c>
      <c r="Y170" s="345">
        <v>49</v>
      </c>
      <c r="Z170" s="345">
        <v>9</v>
      </c>
      <c r="AA170" s="345">
        <v>7</v>
      </c>
      <c r="AB170" s="345">
        <v>30</v>
      </c>
      <c r="AC170" s="345">
        <v>25</v>
      </c>
      <c r="AD170" s="349">
        <v>3496</v>
      </c>
      <c r="AE170" s="349">
        <v>15</v>
      </c>
      <c r="AF170" s="349">
        <v>9</v>
      </c>
      <c r="AG170" s="349">
        <v>24</v>
      </c>
    </row>
    <row r="171" spans="1:33" x14ac:dyDescent="0.2">
      <c r="A171" s="344" t="s">
        <v>398</v>
      </c>
      <c r="B171" s="350" t="s">
        <v>399</v>
      </c>
      <c r="C171" s="346">
        <v>503</v>
      </c>
      <c r="D171" s="346">
        <v>0</v>
      </c>
      <c r="E171" s="346">
        <v>66</v>
      </c>
      <c r="F171" s="346">
        <v>77</v>
      </c>
      <c r="G171" s="346">
        <v>149</v>
      </c>
      <c r="H171" s="346">
        <v>795</v>
      </c>
      <c r="I171" s="345">
        <v>646</v>
      </c>
      <c r="J171" s="345">
        <v>3</v>
      </c>
      <c r="K171" s="347">
        <v>93.17</v>
      </c>
      <c r="L171" s="347">
        <v>91</v>
      </c>
      <c r="M171" s="347">
        <v>2.89</v>
      </c>
      <c r="N171" s="347">
        <v>95.31</v>
      </c>
      <c r="O171" s="348">
        <v>420</v>
      </c>
      <c r="P171" s="345">
        <v>79.14</v>
      </c>
      <c r="Q171" s="345">
        <v>77.97</v>
      </c>
      <c r="R171" s="345">
        <v>57.33</v>
      </c>
      <c r="S171" s="345">
        <v>136.47</v>
      </c>
      <c r="T171" s="345">
        <v>143</v>
      </c>
      <c r="U171" s="345">
        <v>102.73</v>
      </c>
      <c r="V171" s="345">
        <v>58</v>
      </c>
      <c r="W171" s="345">
        <v>0</v>
      </c>
      <c r="X171" s="345">
        <v>0</v>
      </c>
      <c r="Y171" s="345">
        <v>0</v>
      </c>
      <c r="Z171" s="345">
        <v>0</v>
      </c>
      <c r="AA171" s="345">
        <v>0</v>
      </c>
      <c r="AB171" s="345">
        <v>0</v>
      </c>
      <c r="AC171" s="345">
        <v>3</v>
      </c>
      <c r="AD171" s="349">
        <v>502</v>
      </c>
      <c r="AE171" s="349">
        <v>5</v>
      </c>
      <c r="AF171" s="349">
        <v>2</v>
      </c>
      <c r="AG171" s="349">
        <v>7</v>
      </c>
    </row>
    <row r="172" spans="1:33" x14ac:dyDescent="0.2">
      <c r="A172" s="344" t="s">
        <v>400</v>
      </c>
      <c r="B172" s="350" t="s">
        <v>401</v>
      </c>
      <c r="C172" s="346">
        <v>5008</v>
      </c>
      <c r="D172" s="346">
        <v>0</v>
      </c>
      <c r="E172" s="346">
        <v>293</v>
      </c>
      <c r="F172" s="346">
        <v>1029</v>
      </c>
      <c r="G172" s="346">
        <v>361</v>
      </c>
      <c r="H172" s="346">
        <v>6691</v>
      </c>
      <c r="I172" s="345">
        <v>6330</v>
      </c>
      <c r="J172" s="345">
        <v>0</v>
      </c>
      <c r="K172" s="347">
        <v>95.37</v>
      </c>
      <c r="L172" s="347">
        <v>94.77</v>
      </c>
      <c r="M172" s="347">
        <v>4.41</v>
      </c>
      <c r="N172" s="347">
        <v>97.05</v>
      </c>
      <c r="O172" s="348">
        <v>4159</v>
      </c>
      <c r="P172" s="345">
        <v>85.18</v>
      </c>
      <c r="Q172" s="345">
        <v>82.03</v>
      </c>
      <c r="R172" s="345">
        <v>20.52</v>
      </c>
      <c r="S172" s="345">
        <v>105.37</v>
      </c>
      <c r="T172" s="345">
        <v>1181</v>
      </c>
      <c r="U172" s="345">
        <v>115.87</v>
      </c>
      <c r="V172" s="345">
        <v>683</v>
      </c>
      <c r="W172" s="345">
        <v>113.42</v>
      </c>
      <c r="X172" s="345">
        <v>33</v>
      </c>
      <c r="Y172" s="345">
        <v>0</v>
      </c>
      <c r="Z172" s="345">
        <v>12</v>
      </c>
      <c r="AA172" s="345">
        <v>11</v>
      </c>
      <c r="AB172" s="345">
        <v>47</v>
      </c>
      <c r="AC172" s="345">
        <v>5</v>
      </c>
      <c r="AD172" s="349">
        <v>4845</v>
      </c>
      <c r="AE172" s="349">
        <v>15</v>
      </c>
      <c r="AF172" s="349">
        <v>7</v>
      </c>
      <c r="AG172" s="349">
        <v>22</v>
      </c>
    </row>
    <row r="173" spans="1:33" x14ac:dyDescent="0.2">
      <c r="A173" s="344" t="s">
        <v>402</v>
      </c>
      <c r="B173" s="350" t="s">
        <v>403</v>
      </c>
      <c r="C173" s="346">
        <v>10082</v>
      </c>
      <c r="D173" s="346">
        <v>6</v>
      </c>
      <c r="E173" s="346">
        <v>453</v>
      </c>
      <c r="F173" s="346">
        <v>808</v>
      </c>
      <c r="G173" s="346">
        <v>706</v>
      </c>
      <c r="H173" s="346">
        <v>12055</v>
      </c>
      <c r="I173" s="345">
        <v>11349</v>
      </c>
      <c r="J173" s="345">
        <v>172</v>
      </c>
      <c r="K173" s="347">
        <v>116.11</v>
      </c>
      <c r="L173" s="347">
        <v>117.87</v>
      </c>
      <c r="M173" s="347">
        <v>7.05</v>
      </c>
      <c r="N173" s="347">
        <v>121.92</v>
      </c>
      <c r="O173" s="348">
        <v>8978</v>
      </c>
      <c r="P173" s="345">
        <v>107.47</v>
      </c>
      <c r="Q173" s="345">
        <v>104.1</v>
      </c>
      <c r="R173" s="345">
        <v>30.65</v>
      </c>
      <c r="S173" s="345">
        <v>137.5</v>
      </c>
      <c r="T173" s="345">
        <v>930</v>
      </c>
      <c r="U173" s="345">
        <v>147.86000000000001</v>
      </c>
      <c r="V173" s="345">
        <v>955</v>
      </c>
      <c r="W173" s="345">
        <v>235.26</v>
      </c>
      <c r="X173" s="345">
        <v>56</v>
      </c>
      <c r="Y173" s="345">
        <v>82</v>
      </c>
      <c r="Z173" s="345">
        <v>49</v>
      </c>
      <c r="AA173" s="345">
        <v>31</v>
      </c>
      <c r="AB173" s="345">
        <v>25</v>
      </c>
      <c r="AC173" s="345">
        <v>44</v>
      </c>
      <c r="AD173" s="349">
        <v>10036</v>
      </c>
      <c r="AE173" s="349">
        <v>16</v>
      </c>
      <c r="AF173" s="349">
        <v>18</v>
      </c>
      <c r="AG173" s="349">
        <v>34</v>
      </c>
    </row>
    <row r="174" spans="1:33" x14ac:dyDescent="0.2">
      <c r="A174" s="344" t="s">
        <v>404</v>
      </c>
      <c r="B174" s="350" t="s">
        <v>405</v>
      </c>
      <c r="C174" s="346">
        <v>964</v>
      </c>
      <c r="D174" s="346">
        <v>0</v>
      </c>
      <c r="E174" s="346">
        <v>26</v>
      </c>
      <c r="F174" s="346">
        <v>285</v>
      </c>
      <c r="G174" s="346">
        <v>210</v>
      </c>
      <c r="H174" s="346">
        <v>1485</v>
      </c>
      <c r="I174" s="345">
        <v>1275</v>
      </c>
      <c r="J174" s="345">
        <v>4</v>
      </c>
      <c r="K174" s="347">
        <v>89.58</v>
      </c>
      <c r="L174" s="347">
        <v>87.03</v>
      </c>
      <c r="M174" s="347">
        <v>6.48</v>
      </c>
      <c r="N174" s="347">
        <v>95.23</v>
      </c>
      <c r="O174" s="348">
        <v>741</v>
      </c>
      <c r="P174" s="345">
        <v>79.39</v>
      </c>
      <c r="Q174" s="345">
        <v>75.900000000000006</v>
      </c>
      <c r="R174" s="345">
        <v>39.35</v>
      </c>
      <c r="S174" s="345">
        <v>118.74</v>
      </c>
      <c r="T174" s="345">
        <v>156</v>
      </c>
      <c r="U174" s="345">
        <v>112.35</v>
      </c>
      <c r="V174" s="345">
        <v>95</v>
      </c>
      <c r="W174" s="345">
        <v>0</v>
      </c>
      <c r="X174" s="345">
        <v>0</v>
      </c>
      <c r="Y174" s="345">
        <v>24</v>
      </c>
      <c r="Z174" s="345">
        <v>0</v>
      </c>
      <c r="AA174" s="345">
        <v>2</v>
      </c>
      <c r="AB174" s="345">
        <v>1</v>
      </c>
      <c r="AC174" s="345">
        <v>10</v>
      </c>
      <c r="AD174" s="349">
        <v>838</v>
      </c>
      <c r="AE174" s="349">
        <v>12</v>
      </c>
      <c r="AF174" s="349">
        <v>9</v>
      </c>
      <c r="AG174" s="349">
        <v>21</v>
      </c>
    </row>
    <row r="175" spans="1:33" x14ac:dyDescent="0.2">
      <c r="A175" s="344" t="s">
        <v>406</v>
      </c>
      <c r="B175" s="350" t="s">
        <v>407</v>
      </c>
      <c r="C175" s="346">
        <v>1199</v>
      </c>
      <c r="D175" s="346">
        <v>0</v>
      </c>
      <c r="E175" s="346">
        <v>113</v>
      </c>
      <c r="F175" s="346">
        <v>210</v>
      </c>
      <c r="G175" s="346">
        <v>297</v>
      </c>
      <c r="H175" s="346">
        <v>1819</v>
      </c>
      <c r="I175" s="345">
        <v>1522</v>
      </c>
      <c r="J175" s="345">
        <v>16</v>
      </c>
      <c r="K175" s="347">
        <v>95.59</v>
      </c>
      <c r="L175" s="347">
        <v>94.29</v>
      </c>
      <c r="M175" s="347">
        <v>3.93</v>
      </c>
      <c r="N175" s="347">
        <v>98.25</v>
      </c>
      <c r="O175" s="348">
        <v>911</v>
      </c>
      <c r="P175" s="345">
        <v>85.56</v>
      </c>
      <c r="Q175" s="345">
        <v>79.86</v>
      </c>
      <c r="R175" s="345">
        <v>32.42</v>
      </c>
      <c r="S175" s="345">
        <v>117.53</v>
      </c>
      <c r="T175" s="345">
        <v>291</v>
      </c>
      <c r="U175" s="345">
        <v>111.98</v>
      </c>
      <c r="V175" s="345">
        <v>238</v>
      </c>
      <c r="W175" s="345">
        <v>131.63</v>
      </c>
      <c r="X175" s="345">
        <v>1</v>
      </c>
      <c r="Y175" s="345">
        <v>0</v>
      </c>
      <c r="Z175" s="345">
        <v>0</v>
      </c>
      <c r="AA175" s="345">
        <v>0</v>
      </c>
      <c r="AB175" s="345">
        <v>0</v>
      </c>
      <c r="AC175" s="345">
        <v>4</v>
      </c>
      <c r="AD175" s="349">
        <v>1194</v>
      </c>
      <c r="AE175" s="349">
        <v>1</v>
      </c>
      <c r="AF175" s="349">
        <v>2</v>
      </c>
      <c r="AG175" s="349">
        <v>3</v>
      </c>
    </row>
    <row r="176" spans="1:33" x14ac:dyDescent="0.2">
      <c r="A176" s="344" t="s">
        <v>408</v>
      </c>
      <c r="B176" s="350" t="s">
        <v>409</v>
      </c>
      <c r="C176" s="346">
        <v>5511</v>
      </c>
      <c r="D176" s="346">
        <v>3</v>
      </c>
      <c r="E176" s="346">
        <v>170</v>
      </c>
      <c r="F176" s="346">
        <v>744</v>
      </c>
      <c r="G176" s="346">
        <v>565</v>
      </c>
      <c r="H176" s="346">
        <v>6993</v>
      </c>
      <c r="I176" s="345">
        <v>6428</v>
      </c>
      <c r="J176" s="345">
        <v>7</v>
      </c>
      <c r="K176" s="347">
        <v>119.14</v>
      </c>
      <c r="L176" s="347">
        <v>119.37</v>
      </c>
      <c r="M176" s="347">
        <v>5.29</v>
      </c>
      <c r="N176" s="347">
        <v>122.61</v>
      </c>
      <c r="O176" s="348">
        <v>4160</v>
      </c>
      <c r="P176" s="345">
        <v>102.59</v>
      </c>
      <c r="Q176" s="345">
        <v>101.11</v>
      </c>
      <c r="R176" s="345">
        <v>35.76</v>
      </c>
      <c r="S176" s="345">
        <v>135.36000000000001</v>
      </c>
      <c r="T176" s="345">
        <v>825</v>
      </c>
      <c r="U176" s="345">
        <v>160.28</v>
      </c>
      <c r="V176" s="345">
        <v>1012</v>
      </c>
      <c r="W176" s="345">
        <v>242.05</v>
      </c>
      <c r="X176" s="345">
        <v>17</v>
      </c>
      <c r="Y176" s="345">
        <v>101</v>
      </c>
      <c r="Z176" s="345">
        <v>7</v>
      </c>
      <c r="AA176" s="345">
        <v>28</v>
      </c>
      <c r="AB176" s="345">
        <v>42</v>
      </c>
      <c r="AC176" s="345">
        <v>17</v>
      </c>
      <c r="AD176" s="349">
        <v>5214</v>
      </c>
      <c r="AE176" s="349">
        <v>74</v>
      </c>
      <c r="AF176" s="349">
        <v>40</v>
      </c>
      <c r="AG176" s="349">
        <v>114</v>
      </c>
    </row>
    <row r="177" spans="1:33" x14ac:dyDescent="0.2">
      <c r="A177" s="344" t="s">
        <v>410</v>
      </c>
      <c r="B177" s="350" t="s">
        <v>411</v>
      </c>
      <c r="C177" s="346">
        <v>12975</v>
      </c>
      <c r="D177" s="346">
        <v>4</v>
      </c>
      <c r="E177" s="346">
        <v>653</v>
      </c>
      <c r="F177" s="346">
        <v>1584</v>
      </c>
      <c r="G177" s="346">
        <v>268</v>
      </c>
      <c r="H177" s="346">
        <v>15484</v>
      </c>
      <c r="I177" s="345">
        <v>15216</v>
      </c>
      <c r="J177" s="345">
        <v>29</v>
      </c>
      <c r="K177" s="347">
        <v>87.75</v>
      </c>
      <c r="L177" s="347">
        <v>85.12</v>
      </c>
      <c r="M177" s="347">
        <v>7.87</v>
      </c>
      <c r="N177" s="347">
        <v>90.01</v>
      </c>
      <c r="O177" s="348">
        <v>12419</v>
      </c>
      <c r="P177" s="345">
        <v>86.14</v>
      </c>
      <c r="Q177" s="345">
        <v>82.12</v>
      </c>
      <c r="R177" s="345">
        <v>41.66</v>
      </c>
      <c r="S177" s="345">
        <v>118.66</v>
      </c>
      <c r="T177" s="345">
        <v>2132</v>
      </c>
      <c r="U177" s="345">
        <v>98.59</v>
      </c>
      <c r="V177" s="345">
        <v>382</v>
      </c>
      <c r="W177" s="345">
        <v>160.96</v>
      </c>
      <c r="X177" s="345">
        <v>86</v>
      </c>
      <c r="Y177" s="345">
        <v>10</v>
      </c>
      <c r="Z177" s="345">
        <v>56</v>
      </c>
      <c r="AA177" s="345">
        <v>13</v>
      </c>
      <c r="AB177" s="345">
        <v>10</v>
      </c>
      <c r="AC177" s="345">
        <v>4</v>
      </c>
      <c r="AD177" s="349">
        <v>12943</v>
      </c>
      <c r="AE177" s="349">
        <v>181</v>
      </c>
      <c r="AF177" s="349">
        <v>33</v>
      </c>
      <c r="AG177" s="349">
        <v>214</v>
      </c>
    </row>
    <row r="178" spans="1:33" x14ac:dyDescent="0.2">
      <c r="A178" s="344" t="s">
        <v>412</v>
      </c>
      <c r="B178" s="350" t="s">
        <v>413</v>
      </c>
      <c r="C178" s="346">
        <v>7777</v>
      </c>
      <c r="D178" s="346">
        <v>49</v>
      </c>
      <c r="E178" s="346">
        <v>459</v>
      </c>
      <c r="F178" s="346">
        <v>587</v>
      </c>
      <c r="G178" s="346">
        <v>4987</v>
      </c>
      <c r="H178" s="346">
        <v>13859</v>
      </c>
      <c r="I178" s="345">
        <v>8872</v>
      </c>
      <c r="J178" s="345">
        <v>0</v>
      </c>
      <c r="K178" s="347">
        <v>101.76</v>
      </c>
      <c r="L178" s="347">
        <v>100.88</v>
      </c>
      <c r="M178" s="347">
        <v>5.63</v>
      </c>
      <c r="N178" s="347">
        <v>105.46</v>
      </c>
      <c r="O178" s="348">
        <v>6172</v>
      </c>
      <c r="P178" s="345">
        <v>102.18</v>
      </c>
      <c r="Q178" s="345">
        <v>101.58</v>
      </c>
      <c r="R178" s="345">
        <v>35.200000000000003</v>
      </c>
      <c r="S178" s="345">
        <v>135.91</v>
      </c>
      <c r="T178" s="345">
        <v>890</v>
      </c>
      <c r="U178" s="345">
        <v>133.36000000000001</v>
      </c>
      <c r="V178" s="345">
        <v>721</v>
      </c>
      <c r="W178" s="345">
        <v>141.04</v>
      </c>
      <c r="X178" s="345">
        <v>5</v>
      </c>
      <c r="Y178" s="345">
        <v>0</v>
      </c>
      <c r="Z178" s="345">
        <v>3</v>
      </c>
      <c r="AA178" s="345">
        <v>15</v>
      </c>
      <c r="AB178" s="345">
        <v>115</v>
      </c>
      <c r="AC178" s="345">
        <v>91</v>
      </c>
      <c r="AD178" s="349">
        <v>7581</v>
      </c>
      <c r="AE178" s="349">
        <v>21</v>
      </c>
      <c r="AF178" s="349">
        <v>8</v>
      </c>
      <c r="AG178" s="349">
        <v>29</v>
      </c>
    </row>
    <row r="179" spans="1:33" x14ac:dyDescent="0.2">
      <c r="A179" s="344" t="s">
        <v>414</v>
      </c>
      <c r="B179" s="350" t="s">
        <v>415</v>
      </c>
      <c r="C179" s="346">
        <v>3498</v>
      </c>
      <c r="D179" s="346">
        <v>0</v>
      </c>
      <c r="E179" s="346">
        <v>203</v>
      </c>
      <c r="F179" s="346">
        <v>678</v>
      </c>
      <c r="G179" s="346">
        <v>296</v>
      </c>
      <c r="H179" s="346">
        <v>4675</v>
      </c>
      <c r="I179" s="345">
        <v>4379</v>
      </c>
      <c r="J179" s="345">
        <v>0</v>
      </c>
      <c r="K179" s="347">
        <v>114.73</v>
      </c>
      <c r="L179" s="347">
        <v>117.18</v>
      </c>
      <c r="M179" s="347">
        <v>3.07</v>
      </c>
      <c r="N179" s="347">
        <v>117.67</v>
      </c>
      <c r="O179" s="348">
        <v>2993</v>
      </c>
      <c r="P179" s="345">
        <v>97.3</v>
      </c>
      <c r="Q179" s="345">
        <v>94.37</v>
      </c>
      <c r="R179" s="345">
        <v>26.01</v>
      </c>
      <c r="S179" s="345">
        <v>123.24</v>
      </c>
      <c r="T179" s="345">
        <v>723</v>
      </c>
      <c r="U179" s="345">
        <v>152.94</v>
      </c>
      <c r="V179" s="345">
        <v>445</v>
      </c>
      <c r="W179" s="345">
        <v>0</v>
      </c>
      <c r="X179" s="345">
        <v>0</v>
      </c>
      <c r="Y179" s="345">
        <v>145</v>
      </c>
      <c r="Z179" s="345">
        <v>38</v>
      </c>
      <c r="AA179" s="345">
        <v>0</v>
      </c>
      <c r="AB179" s="345">
        <v>31</v>
      </c>
      <c r="AC179" s="345">
        <v>14</v>
      </c>
      <c r="AD179" s="349">
        <v>3465</v>
      </c>
      <c r="AE179" s="349">
        <v>12</v>
      </c>
      <c r="AF179" s="349">
        <v>9</v>
      </c>
      <c r="AG179" s="349">
        <v>21</v>
      </c>
    </row>
    <row r="180" spans="1:33" x14ac:dyDescent="0.2">
      <c r="A180" s="344" t="s">
        <v>416</v>
      </c>
      <c r="B180" s="350" t="s">
        <v>417</v>
      </c>
      <c r="C180" s="346">
        <v>2702</v>
      </c>
      <c r="D180" s="346">
        <v>8</v>
      </c>
      <c r="E180" s="346">
        <v>286</v>
      </c>
      <c r="F180" s="346">
        <v>384</v>
      </c>
      <c r="G180" s="346">
        <v>309</v>
      </c>
      <c r="H180" s="346">
        <v>3689</v>
      </c>
      <c r="I180" s="345">
        <v>3380</v>
      </c>
      <c r="J180" s="345">
        <v>0</v>
      </c>
      <c r="K180" s="347">
        <v>0</v>
      </c>
      <c r="L180" s="347">
        <v>0</v>
      </c>
      <c r="M180" s="347">
        <v>0</v>
      </c>
      <c r="N180" s="347">
        <v>0</v>
      </c>
      <c r="O180" s="348">
        <v>2375</v>
      </c>
      <c r="P180" s="345">
        <v>0</v>
      </c>
      <c r="Q180" s="345">
        <v>0</v>
      </c>
      <c r="R180" s="345">
        <v>0</v>
      </c>
      <c r="S180" s="345">
        <v>0</v>
      </c>
      <c r="T180" s="345">
        <v>471</v>
      </c>
      <c r="U180" s="345">
        <v>143.96</v>
      </c>
      <c r="V180" s="345">
        <v>204</v>
      </c>
      <c r="W180" s="345">
        <v>140.09</v>
      </c>
      <c r="X180" s="345">
        <v>3</v>
      </c>
      <c r="Y180" s="345">
        <v>114</v>
      </c>
      <c r="Z180" s="345">
        <v>0</v>
      </c>
      <c r="AA180" s="345">
        <v>2</v>
      </c>
      <c r="AB180" s="345">
        <v>2</v>
      </c>
      <c r="AC180" s="345">
        <v>8</v>
      </c>
      <c r="AD180" s="349">
        <v>2655</v>
      </c>
      <c r="AE180" s="349">
        <v>4</v>
      </c>
      <c r="AF180" s="349">
        <v>1</v>
      </c>
      <c r="AG180" s="349">
        <v>5</v>
      </c>
    </row>
    <row r="181" spans="1:33" x14ac:dyDescent="0.2">
      <c r="A181" s="344" t="s">
        <v>418</v>
      </c>
      <c r="B181" s="350" t="s">
        <v>419</v>
      </c>
      <c r="C181" s="346">
        <v>1683</v>
      </c>
      <c r="D181" s="346">
        <v>13</v>
      </c>
      <c r="E181" s="346">
        <v>302</v>
      </c>
      <c r="F181" s="346">
        <v>362</v>
      </c>
      <c r="G181" s="346">
        <v>240</v>
      </c>
      <c r="H181" s="346">
        <v>2600</v>
      </c>
      <c r="I181" s="345">
        <v>2360</v>
      </c>
      <c r="J181" s="345">
        <v>8</v>
      </c>
      <c r="K181" s="347">
        <v>89.07</v>
      </c>
      <c r="L181" s="347">
        <v>86.39</v>
      </c>
      <c r="M181" s="347">
        <v>3.86</v>
      </c>
      <c r="N181" s="347">
        <v>91.14</v>
      </c>
      <c r="O181" s="348">
        <v>1533</v>
      </c>
      <c r="P181" s="345">
        <v>100.76</v>
      </c>
      <c r="Q181" s="345">
        <v>77.64</v>
      </c>
      <c r="R181" s="345">
        <v>37.130000000000003</v>
      </c>
      <c r="S181" s="345">
        <v>136.16999999999999</v>
      </c>
      <c r="T181" s="345">
        <v>477</v>
      </c>
      <c r="U181" s="345">
        <v>97.44</v>
      </c>
      <c r="V181" s="345">
        <v>135</v>
      </c>
      <c r="W181" s="345">
        <v>0</v>
      </c>
      <c r="X181" s="345">
        <v>0</v>
      </c>
      <c r="Y181" s="345">
        <v>0</v>
      </c>
      <c r="Z181" s="345">
        <v>0</v>
      </c>
      <c r="AA181" s="345">
        <v>6</v>
      </c>
      <c r="AB181" s="345">
        <v>7</v>
      </c>
      <c r="AC181" s="345">
        <v>8</v>
      </c>
      <c r="AD181" s="349">
        <v>1683</v>
      </c>
      <c r="AE181" s="349">
        <v>23</v>
      </c>
      <c r="AF181" s="349">
        <v>31</v>
      </c>
      <c r="AG181" s="349">
        <v>54</v>
      </c>
    </row>
    <row r="182" spans="1:33" x14ac:dyDescent="0.2">
      <c r="A182" s="344" t="s">
        <v>420</v>
      </c>
      <c r="B182" s="350" t="s">
        <v>421</v>
      </c>
      <c r="C182" s="346">
        <v>6759</v>
      </c>
      <c r="D182" s="346">
        <v>235</v>
      </c>
      <c r="E182" s="346">
        <v>1260</v>
      </c>
      <c r="F182" s="346">
        <v>1592</v>
      </c>
      <c r="G182" s="346">
        <v>361</v>
      </c>
      <c r="H182" s="346">
        <v>10207</v>
      </c>
      <c r="I182" s="345">
        <v>9846</v>
      </c>
      <c r="J182" s="345">
        <v>131</v>
      </c>
      <c r="K182" s="347">
        <v>79.540000000000006</v>
      </c>
      <c r="L182" s="347">
        <v>79.44</v>
      </c>
      <c r="M182" s="347">
        <v>8.76</v>
      </c>
      <c r="N182" s="347">
        <v>86.68</v>
      </c>
      <c r="O182" s="348">
        <v>5805</v>
      </c>
      <c r="P182" s="345">
        <v>82.6</v>
      </c>
      <c r="Q182" s="345">
        <v>75.02</v>
      </c>
      <c r="R182" s="345">
        <v>48.22</v>
      </c>
      <c r="S182" s="345">
        <v>128.22999999999999</v>
      </c>
      <c r="T182" s="345">
        <v>2374</v>
      </c>
      <c r="U182" s="345">
        <v>101.14</v>
      </c>
      <c r="V182" s="345">
        <v>646</v>
      </c>
      <c r="W182" s="345">
        <v>188.86</v>
      </c>
      <c r="X182" s="345">
        <v>148</v>
      </c>
      <c r="Y182" s="345">
        <v>0</v>
      </c>
      <c r="Z182" s="345">
        <v>9</v>
      </c>
      <c r="AA182" s="345">
        <v>7</v>
      </c>
      <c r="AB182" s="345">
        <v>11</v>
      </c>
      <c r="AC182" s="345">
        <v>8</v>
      </c>
      <c r="AD182" s="349">
        <v>6320</v>
      </c>
      <c r="AE182" s="349">
        <v>72</v>
      </c>
      <c r="AF182" s="349">
        <v>35</v>
      </c>
      <c r="AG182" s="349">
        <v>107</v>
      </c>
    </row>
    <row r="183" spans="1:33" x14ac:dyDescent="0.2">
      <c r="A183" s="344" t="s">
        <v>422</v>
      </c>
      <c r="B183" s="350" t="s">
        <v>423</v>
      </c>
      <c r="C183" s="346">
        <v>9071</v>
      </c>
      <c r="D183" s="346">
        <v>0</v>
      </c>
      <c r="E183" s="346">
        <v>52</v>
      </c>
      <c r="F183" s="346">
        <v>1273</v>
      </c>
      <c r="G183" s="346">
        <v>207</v>
      </c>
      <c r="H183" s="346">
        <v>10603</v>
      </c>
      <c r="I183" s="345">
        <v>10396</v>
      </c>
      <c r="J183" s="345">
        <v>3</v>
      </c>
      <c r="K183" s="347">
        <v>79.2</v>
      </c>
      <c r="L183" s="347">
        <v>81.73</v>
      </c>
      <c r="M183" s="347">
        <v>3.77</v>
      </c>
      <c r="N183" s="347">
        <v>82.8</v>
      </c>
      <c r="O183" s="348">
        <v>8698</v>
      </c>
      <c r="P183" s="345">
        <v>77.22</v>
      </c>
      <c r="Q183" s="345">
        <v>77.989999999999995</v>
      </c>
      <c r="R183" s="345">
        <v>21.62</v>
      </c>
      <c r="S183" s="345">
        <v>98.79</v>
      </c>
      <c r="T183" s="345">
        <v>1215</v>
      </c>
      <c r="U183" s="345">
        <v>97.54</v>
      </c>
      <c r="V183" s="345">
        <v>328</v>
      </c>
      <c r="W183" s="345">
        <v>164.98</v>
      </c>
      <c r="X183" s="345">
        <v>23</v>
      </c>
      <c r="Y183" s="345">
        <v>0</v>
      </c>
      <c r="Z183" s="345">
        <v>30</v>
      </c>
      <c r="AA183" s="345">
        <v>32</v>
      </c>
      <c r="AB183" s="345">
        <v>9</v>
      </c>
      <c r="AC183" s="345">
        <v>3</v>
      </c>
      <c r="AD183" s="349">
        <v>9070</v>
      </c>
      <c r="AE183" s="349">
        <v>9</v>
      </c>
      <c r="AF183" s="349">
        <v>29</v>
      </c>
      <c r="AG183" s="349">
        <v>38</v>
      </c>
    </row>
    <row r="184" spans="1:33" x14ac:dyDescent="0.2">
      <c r="A184" s="344" t="s">
        <v>424</v>
      </c>
      <c r="B184" s="350" t="s">
        <v>425</v>
      </c>
      <c r="C184" s="346">
        <v>12271</v>
      </c>
      <c r="D184" s="346">
        <v>37</v>
      </c>
      <c r="E184" s="346">
        <v>812</v>
      </c>
      <c r="F184" s="346">
        <v>954</v>
      </c>
      <c r="G184" s="346">
        <v>1873</v>
      </c>
      <c r="H184" s="346">
        <v>15947</v>
      </c>
      <c r="I184" s="345">
        <v>14074</v>
      </c>
      <c r="J184" s="345">
        <v>13</v>
      </c>
      <c r="K184" s="347">
        <v>141.18</v>
      </c>
      <c r="L184" s="347">
        <v>122.27</v>
      </c>
      <c r="M184" s="347">
        <v>8.89</v>
      </c>
      <c r="N184" s="347">
        <v>145.38999999999999</v>
      </c>
      <c r="O184" s="348">
        <v>10275</v>
      </c>
      <c r="P184" s="345">
        <v>102.77</v>
      </c>
      <c r="Q184" s="345">
        <v>101.44</v>
      </c>
      <c r="R184" s="345">
        <v>60.25</v>
      </c>
      <c r="S184" s="345">
        <v>157.51</v>
      </c>
      <c r="T184" s="345">
        <v>1717</v>
      </c>
      <c r="U184" s="345">
        <v>177.84</v>
      </c>
      <c r="V184" s="345">
        <v>607</v>
      </c>
      <c r="W184" s="345">
        <v>175.66</v>
      </c>
      <c r="X184" s="345">
        <v>10</v>
      </c>
      <c r="Y184" s="345">
        <v>14</v>
      </c>
      <c r="Z184" s="345">
        <v>4</v>
      </c>
      <c r="AA184" s="345">
        <v>12</v>
      </c>
      <c r="AB184" s="345">
        <v>121</v>
      </c>
      <c r="AC184" s="345">
        <v>102</v>
      </c>
      <c r="AD184" s="349">
        <v>11706</v>
      </c>
      <c r="AE184" s="349">
        <v>25</v>
      </c>
      <c r="AF184" s="349">
        <v>24</v>
      </c>
      <c r="AG184" s="349">
        <v>49</v>
      </c>
    </row>
    <row r="185" spans="1:33" x14ac:dyDescent="0.2">
      <c r="A185" s="344" t="s">
        <v>426</v>
      </c>
      <c r="B185" s="350" t="s">
        <v>427</v>
      </c>
      <c r="C185" s="346">
        <v>3513</v>
      </c>
      <c r="D185" s="346">
        <v>0</v>
      </c>
      <c r="E185" s="346">
        <v>48</v>
      </c>
      <c r="F185" s="346">
        <v>912</v>
      </c>
      <c r="G185" s="346">
        <v>216</v>
      </c>
      <c r="H185" s="346">
        <v>4689</v>
      </c>
      <c r="I185" s="345">
        <v>4473</v>
      </c>
      <c r="J185" s="345">
        <v>5</v>
      </c>
      <c r="K185" s="347">
        <v>86.76</v>
      </c>
      <c r="L185" s="347">
        <v>86.22</v>
      </c>
      <c r="M185" s="347">
        <v>3.14</v>
      </c>
      <c r="N185" s="347">
        <v>88.58</v>
      </c>
      <c r="O185" s="348">
        <v>3110</v>
      </c>
      <c r="P185" s="345">
        <v>75.84</v>
      </c>
      <c r="Q185" s="345">
        <v>74.77</v>
      </c>
      <c r="R185" s="345">
        <v>14.6</v>
      </c>
      <c r="S185" s="345">
        <v>89.92</v>
      </c>
      <c r="T185" s="345">
        <v>905</v>
      </c>
      <c r="U185" s="345">
        <v>116.29</v>
      </c>
      <c r="V185" s="345">
        <v>380</v>
      </c>
      <c r="W185" s="345">
        <v>0</v>
      </c>
      <c r="X185" s="345">
        <v>0</v>
      </c>
      <c r="Y185" s="345">
        <v>0</v>
      </c>
      <c r="Z185" s="345">
        <v>10</v>
      </c>
      <c r="AA185" s="345">
        <v>2</v>
      </c>
      <c r="AB185" s="345">
        <v>15</v>
      </c>
      <c r="AC185" s="345">
        <v>4</v>
      </c>
      <c r="AD185" s="349">
        <v>3513</v>
      </c>
      <c r="AE185" s="349">
        <v>0</v>
      </c>
      <c r="AF185" s="349">
        <v>22</v>
      </c>
      <c r="AG185" s="349">
        <v>22</v>
      </c>
    </row>
    <row r="186" spans="1:33" x14ac:dyDescent="0.2">
      <c r="A186" s="344" t="s">
        <v>428</v>
      </c>
      <c r="B186" s="350" t="s">
        <v>429</v>
      </c>
      <c r="C186" s="346">
        <v>762</v>
      </c>
      <c r="D186" s="346">
        <v>0</v>
      </c>
      <c r="E186" s="346">
        <v>66</v>
      </c>
      <c r="F186" s="346">
        <v>240</v>
      </c>
      <c r="G186" s="346">
        <v>107</v>
      </c>
      <c r="H186" s="346">
        <v>1175</v>
      </c>
      <c r="I186" s="345">
        <v>1068</v>
      </c>
      <c r="J186" s="345">
        <v>0</v>
      </c>
      <c r="K186" s="347">
        <v>91.79</v>
      </c>
      <c r="L186" s="347">
        <v>91.56</v>
      </c>
      <c r="M186" s="347">
        <v>4.47</v>
      </c>
      <c r="N186" s="347">
        <v>94.03</v>
      </c>
      <c r="O186" s="348">
        <v>586</v>
      </c>
      <c r="P186" s="345">
        <v>105.93</v>
      </c>
      <c r="Q186" s="345">
        <v>105.91</v>
      </c>
      <c r="R186" s="345">
        <v>43.87</v>
      </c>
      <c r="S186" s="345">
        <v>146.03</v>
      </c>
      <c r="T186" s="345">
        <v>302</v>
      </c>
      <c r="U186" s="345">
        <v>102.14</v>
      </c>
      <c r="V186" s="345">
        <v>140</v>
      </c>
      <c r="W186" s="345">
        <v>0</v>
      </c>
      <c r="X186" s="345">
        <v>0</v>
      </c>
      <c r="Y186" s="345">
        <v>0</v>
      </c>
      <c r="Z186" s="345">
        <v>14</v>
      </c>
      <c r="AA186" s="345">
        <v>1</v>
      </c>
      <c r="AB186" s="345">
        <v>21</v>
      </c>
      <c r="AC186" s="345">
        <v>4</v>
      </c>
      <c r="AD186" s="349">
        <v>667</v>
      </c>
      <c r="AE186" s="349">
        <v>31</v>
      </c>
      <c r="AF186" s="349">
        <v>3</v>
      </c>
      <c r="AG186" s="349">
        <v>34</v>
      </c>
    </row>
    <row r="187" spans="1:33" x14ac:dyDescent="0.2">
      <c r="A187" s="344" t="s">
        <v>430</v>
      </c>
      <c r="B187" s="350" t="s">
        <v>431</v>
      </c>
      <c r="C187" s="346">
        <v>7295</v>
      </c>
      <c r="D187" s="346">
        <v>0</v>
      </c>
      <c r="E187" s="346">
        <v>332</v>
      </c>
      <c r="F187" s="346">
        <v>2652</v>
      </c>
      <c r="G187" s="346">
        <v>191</v>
      </c>
      <c r="H187" s="346">
        <v>10470</v>
      </c>
      <c r="I187" s="345">
        <v>10279</v>
      </c>
      <c r="J187" s="345">
        <v>56</v>
      </c>
      <c r="K187" s="347">
        <v>85.24</v>
      </c>
      <c r="L187" s="347">
        <v>85.45</v>
      </c>
      <c r="M187" s="347">
        <v>2.14</v>
      </c>
      <c r="N187" s="347">
        <v>87.09</v>
      </c>
      <c r="O187" s="348">
        <v>7249</v>
      </c>
      <c r="P187" s="345">
        <v>78.66</v>
      </c>
      <c r="Q187" s="345">
        <v>77.06</v>
      </c>
      <c r="R187" s="345">
        <v>9.64</v>
      </c>
      <c r="S187" s="345">
        <v>87.9</v>
      </c>
      <c r="T187" s="345">
        <v>2738</v>
      </c>
      <c r="U187" s="345">
        <v>102.43</v>
      </c>
      <c r="V187" s="345">
        <v>25</v>
      </c>
      <c r="W187" s="345">
        <v>0</v>
      </c>
      <c r="X187" s="345">
        <v>0</v>
      </c>
      <c r="Y187" s="345">
        <v>0</v>
      </c>
      <c r="Z187" s="345">
        <v>20</v>
      </c>
      <c r="AA187" s="345">
        <v>3</v>
      </c>
      <c r="AB187" s="345">
        <v>4</v>
      </c>
      <c r="AC187" s="345">
        <v>6</v>
      </c>
      <c r="AD187" s="349">
        <v>7295</v>
      </c>
      <c r="AE187" s="349">
        <v>122</v>
      </c>
      <c r="AF187" s="349">
        <v>626</v>
      </c>
      <c r="AG187" s="349">
        <v>748</v>
      </c>
    </row>
    <row r="188" spans="1:33" x14ac:dyDescent="0.2">
      <c r="A188" s="344" t="s">
        <v>432</v>
      </c>
      <c r="B188" s="350" t="s">
        <v>433</v>
      </c>
      <c r="C188" s="346">
        <v>9171</v>
      </c>
      <c r="D188" s="346">
        <v>0</v>
      </c>
      <c r="E188" s="346">
        <v>313</v>
      </c>
      <c r="F188" s="346">
        <v>1017</v>
      </c>
      <c r="G188" s="346">
        <v>442</v>
      </c>
      <c r="H188" s="346">
        <v>10943</v>
      </c>
      <c r="I188" s="345">
        <v>10501</v>
      </c>
      <c r="J188" s="345">
        <v>1</v>
      </c>
      <c r="K188" s="347">
        <v>110.67</v>
      </c>
      <c r="L188" s="347">
        <v>118.44</v>
      </c>
      <c r="M188" s="347">
        <v>4.2</v>
      </c>
      <c r="N188" s="347">
        <v>111.8</v>
      </c>
      <c r="O188" s="348">
        <v>9006</v>
      </c>
      <c r="P188" s="345">
        <v>94.19</v>
      </c>
      <c r="Q188" s="345">
        <v>94.55</v>
      </c>
      <c r="R188" s="345">
        <v>23.84</v>
      </c>
      <c r="S188" s="345">
        <v>114.86</v>
      </c>
      <c r="T188" s="345">
        <v>1302</v>
      </c>
      <c r="U188" s="345">
        <v>139.43</v>
      </c>
      <c r="V188" s="345">
        <v>92</v>
      </c>
      <c r="W188" s="345">
        <v>0</v>
      </c>
      <c r="X188" s="345">
        <v>0</v>
      </c>
      <c r="Y188" s="345">
        <v>0</v>
      </c>
      <c r="Z188" s="345">
        <v>48</v>
      </c>
      <c r="AA188" s="345">
        <v>1</v>
      </c>
      <c r="AB188" s="345">
        <v>10</v>
      </c>
      <c r="AC188" s="345">
        <v>16</v>
      </c>
      <c r="AD188" s="349">
        <v>9131</v>
      </c>
      <c r="AE188" s="349">
        <v>33</v>
      </c>
      <c r="AF188" s="349">
        <v>22</v>
      </c>
      <c r="AG188" s="349">
        <v>55</v>
      </c>
    </row>
    <row r="189" spans="1:33" x14ac:dyDescent="0.2">
      <c r="A189" s="344" t="s">
        <v>434</v>
      </c>
      <c r="B189" s="350" t="s">
        <v>435</v>
      </c>
      <c r="C189" s="346">
        <v>947</v>
      </c>
      <c r="D189" s="346">
        <v>0</v>
      </c>
      <c r="E189" s="346">
        <v>88</v>
      </c>
      <c r="F189" s="346">
        <v>152</v>
      </c>
      <c r="G189" s="346">
        <v>267</v>
      </c>
      <c r="H189" s="346">
        <v>1454</v>
      </c>
      <c r="I189" s="345">
        <v>1187</v>
      </c>
      <c r="J189" s="345">
        <v>0</v>
      </c>
      <c r="K189" s="347">
        <v>89.3</v>
      </c>
      <c r="L189" s="347">
        <v>88.52</v>
      </c>
      <c r="M189" s="347">
        <v>3.97</v>
      </c>
      <c r="N189" s="347">
        <v>92.5</v>
      </c>
      <c r="O189" s="348">
        <v>752</v>
      </c>
      <c r="P189" s="345">
        <v>98.8</v>
      </c>
      <c r="Q189" s="345">
        <v>79.62</v>
      </c>
      <c r="R189" s="345">
        <v>35.61</v>
      </c>
      <c r="S189" s="345">
        <v>129.93</v>
      </c>
      <c r="T189" s="345">
        <v>207</v>
      </c>
      <c r="U189" s="345">
        <v>99.05</v>
      </c>
      <c r="V189" s="345">
        <v>117</v>
      </c>
      <c r="W189" s="345">
        <v>0</v>
      </c>
      <c r="X189" s="345">
        <v>0</v>
      </c>
      <c r="Y189" s="345">
        <v>0</v>
      </c>
      <c r="Z189" s="345">
        <v>0</v>
      </c>
      <c r="AA189" s="345">
        <v>0</v>
      </c>
      <c r="AB189" s="345">
        <v>22</v>
      </c>
      <c r="AC189" s="345">
        <v>3</v>
      </c>
      <c r="AD189" s="349">
        <v>890</v>
      </c>
      <c r="AE189" s="349">
        <v>3</v>
      </c>
      <c r="AF189" s="349">
        <v>1</v>
      </c>
      <c r="AG189" s="349">
        <v>4</v>
      </c>
    </row>
    <row r="190" spans="1:33" x14ac:dyDescent="0.2">
      <c r="A190" s="344" t="s">
        <v>436</v>
      </c>
      <c r="B190" s="350" t="s">
        <v>437</v>
      </c>
      <c r="C190" s="346">
        <v>10431</v>
      </c>
      <c r="D190" s="346">
        <v>0</v>
      </c>
      <c r="E190" s="346">
        <v>146</v>
      </c>
      <c r="F190" s="346">
        <v>772</v>
      </c>
      <c r="G190" s="346">
        <v>69</v>
      </c>
      <c r="H190" s="346">
        <v>11418</v>
      </c>
      <c r="I190" s="345">
        <v>11349</v>
      </c>
      <c r="J190" s="345">
        <v>0</v>
      </c>
      <c r="K190" s="347">
        <v>82.07</v>
      </c>
      <c r="L190" s="347">
        <v>78.62</v>
      </c>
      <c r="M190" s="347">
        <v>2.88</v>
      </c>
      <c r="N190" s="347">
        <v>83.05</v>
      </c>
      <c r="O190" s="348">
        <v>10067</v>
      </c>
      <c r="P190" s="345">
        <v>83.63</v>
      </c>
      <c r="Q190" s="345">
        <v>73.69</v>
      </c>
      <c r="R190" s="345">
        <v>29.96</v>
      </c>
      <c r="S190" s="345">
        <v>107.02</v>
      </c>
      <c r="T190" s="345">
        <v>890</v>
      </c>
      <c r="U190" s="345">
        <v>90.07</v>
      </c>
      <c r="V190" s="345">
        <v>257</v>
      </c>
      <c r="W190" s="345">
        <v>0</v>
      </c>
      <c r="X190" s="345">
        <v>0</v>
      </c>
      <c r="Y190" s="345">
        <v>0</v>
      </c>
      <c r="Z190" s="345">
        <v>42</v>
      </c>
      <c r="AA190" s="345">
        <v>4</v>
      </c>
      <c r="AB190" s="345">
        <v>1</v>
      </c>
      <c r="AC190" s="345">
        <v>2</v>
      </c>
      <c r="AD190" s="349">
        <v>10391</v>
      </c>
      <c r="AE190" s="349">
        <v>74</v>
      </c>
      <c r="AF190" s="349">
        <v>56</v>
      </c>
      <c r="AG190" s="349">
        <v>130</v>
      </c>
    </row>
    <row r="191" spans="1:33" x14ac:dyDescent="0.2">
      <c r="A191" s="344" t="s">
        <v>438</v>
      </c>
      <c r="B191" s="350" t="s">
        <v>439</v>
      </c>
      <c r="C191" s="346">
        <v>5502</v>
      </c>
      <c r="D191" s="346">
        <v>4</v>
      </c>
      <c r="E191" s="346">
        <v>154</v>
      </c>
      <c r="F191" s="346">
        <v>661</v>
      </c>
      <c r="G191" s="346">
        <v>137</v>
      </c>
      <c r="H191" s="346">
        <v>6458</v>
      </c>
      <c r="I191" s="345">
        <v>6321</v>
      </c>
      <c r="J191" s="345">
        <v>26</v>
      </c>
      <c r="K191" s="347">
        <v>91.73</v>
      </c>
      <c r="L191" s="347">
        <v>92.74</v>
      </c>
      <c r="M191" s="347">
        <v>2.31</v>
      </c>
      <c r="N191" s="347">
        <v>93.28</v>
      </c>
      <c r="O191" s="348">
        <v>5143</v>
      </c>
      <c r="P191" s="345">
        <v>91.37</v>
      </c>
      <c r="Q191" s="345">
        <v>84.51</v>
      </c>
      <c r="R191" s="345">
        <v>22.3</v>
      </c>
      <c r="S191" s="345">
        <v>113.02</v>
      </c>
      <c r="T191" s="345">
        <v>786</v>
      </c>
      <c r="U191" s="345">
        <v>105.21</v>
      </c>
      <c r="V191" s="345">
        <v>350</v>
      </c>
      <c r="W191" s="345">
        <v>97.52</v>
      </c>
      <c r="X191" s="345">
        <v>27</v>
      </c>
      <c r="Y191" s="345">
        <v>0</v>
      </c>
      <c r="Z191" s="345">
        <v>30</v>
      </c>
      <c r="AA191" s="345">
        <v>48</v>
      </c>
      <c r="AB191" s="345">
        <v>5</v>
      </c>
      <c r="AC191" s="345">
        <v>4</v>
      </c>
      <c r="AD191" s="349">
        <v>5486</v>
      </c>
      <c r="AE191" s="349">
        <v>63</v>
      </c>
      <c r="AF191" s="349">
        <v>29</v>
      </c>
      <c r="AG191" s="349">
        <v>92</v>
      </c>
    </row>
    <row r="192" spans="1:33" x14ac:dyDescent="0.2">
      <c r="A192" s="344" t="s">
        <v>799</v>
      </c>
      <c r="B192" s="350" t="s">
        <v>797</v>
      </c>
      <c r="C192" s="346">
        <v>12445</v>
      </c>
      <c r="D192" s="346">
        <v>83</v>
      </c>
      <c r="E192" s="346">
        <v>605</v>
      </c>
      <c r="F192" s="346">
        <v>1557</v>
      </c>
      <c r="G192" s="346">
        <v>1117</v>
      </c>
      <c r="H192" s="346">
        <v>15807</v>
      </c>
      <c r="I192" s="345">
        <v>14690</v>
      </c>
      <c r="J192" s="345">
        <v>15</v>
      </c>
      <c r="K192" s="347">
        <v>91.59</v>
      </c>
      <c r="L192" s="347">
        <v>91.46</v>
      </c>
      <c r="M192" s="347">
        <v>5.67</v>
      </c>
      <c r="N192" s="347">
        <v>93.95</v>
      </c>
      <c r="O192" s="348">
        <v>10751</v>
      </c>
      <c r="P192" s="345">
        <v>87.03</v>
      </c>
      <c r="Q192" s="345">
        <v>87.09</v>
      </c>
      <c r="R192" s="345">
        <v>33.869999999999997</v>
      </c>
      <c r="S192" s="345">
        <v>111.5</v>
      </c>
      <c r="T192" s="345">
        <v>2036</v>
      </c>
      <c r="U192" s="345">
        <v>104.59</v>
      </c>
      <c r="V192" s="345">
        <v>782</v>
      </c>
      <c r="W192" s="345">
        <v>106.64</v>
      </c>
      <c r="X192" s="345">
        <v>49</v>
      </c>
      <c r="Y192" s="345">
        <v>8</v>
      </c>
      <c r="Z192" s="345">
        <v>26</v>
      </c>
      <c r="AA192" s="345">
        <v>32</v>
      </c>
      <c r="AB192" s="345">
        <v>69</v>
      </c>
      <c r="AC192" s="345">
        <v>34</v>
      </c>
      <c r="AD192" s="349">
        <v>11689</v>
      </c>
      <c r="AE192" s="349">
        <v>52</v>
      </c>
      <c r="AF192" s="349">
        <v>22</v>
      </c>
      <c r="AG192" s="349">
        <v>74</v>
      </c>
    </row>
    <row r="193" spans="1:33" x14ac:dyDescent="0.2">
      <c r="A193" s="344" t="s">
        <v>440</v>
      </c>
      <c r="B193" s="350" t="s">
        <v>441</v>
      </c>
      <c r="C193" s="346">
        <v>7086</v>
      </c>
      <c r="D193" s="346">
        <v>81</v>
      </c>
      <c r="E193" s="346">
        <v>325</v>
      </c>
      <c r="F193" s="346">
        <v>1690</v>
      </c>
      <c r="G193" s="346">
        <v>397</v>
      </c>
      <c r="H193" s="346">
        <v>9579</v>
      </c>
      <c r="I193" s="345">
        <v>9182</v>
      </c>
      <c r="J193" s="345">
        <v>7</v>
      </c>
      <c r="K193" s="347">
        <v>97.46</v>
      </c>
      <c r="L193" s="347">
        <v>97.53</v>
      </c>
      <c r="M193" s="347">
        <v>4.82</v>
      </c>
      <c r="N193" s="347">
        <v>99.76</v>
      </c>
      <c r="O193" s="348">
        <v>6277</v>
      </c>
      <c r="P193" s="345">
        <v>92.4</v>
      </c>
      <c r="Q193" s="345">
        <v>87.56</v>
      </c>
      <c r="R193" s="345">
        <v>26.69</v>
      </c>
      <c r="S193" s="345">
        <v>118.73</v>
      </c>
      <c r="T193" s="345">
        <v>1891</v>
      </c>
      <c r="U193" s="345">
        <v>127.03</v>
      </c>
      <c r="V193" s="345">
        <v>721</v>
      </c>
      <c r="W193" s="345">
        <v>161.21</v>
      </c>
      <c r="X193" s="345">
        <v>38</v>
      </c>
      <c r="Y193" s="345">
        <v>0</v>
      </c>
      <c r="Z193" s="345">
        <v>29</v>
      </c>
      <c r="AA193" s="345">
        <v>20</v>
      </c>
      <c r="AB193" s="345">
        <v>14</v>
      </c>
      <c r="AC193" s="345">
        <v>12</v>
      </c>
      <c r="AD193" s="349">
        <v>6987</v>
      </c>
      <c r="AE193" s="349">
        <v>18</v>
      </c>
      <c r="AF193" s="349">
        <v>20</v>
      </c>
      <c r="AG193" s="349">
        <v>38</v>
      </c>
    </row>
    <row r="194" spans="1:33" x14ac:dyDescent="0.2">
      <c r="A194" s="344" t="s">
        <v>442</v>
      </c>
      <c r="B194" s="350" t="s">
        <v>443</v>
      </c>
      <c r="C194" s="346">
        <v>3754</v>
      </c>
      <c r="D194" s="346">
        <v>60</v>
      </c>
      <c r="E194" s="346">
        <v>528</v>
      </c>
      <c r="F194" s="346">
        <v>1322</v>
      </c>
      <c r="G194" s="346">
        <v>314</v>
      </c>
      <c r="H194" s="346">
        <v>5978</v>
      </c>
      <c r="I194" s="345">
        <v>5664</v>
      </c>
      <c r="J194" s="345">
        <v>1</v>
      </c>
      <c r="K194" s="347">
        <v>83.65</v>
      </c>
      <c r="L194" s="347">
        <v>82.65</v>
      </c>
      <c r="M194" s="347">
        <v>7.26</v>
      </c>
      <c r="N194" s="347">
        <v>89.27</v>
      </c>
      <c r="O194" s="348">
        <v>3251</v>
      </c>
      <c r="P194" s="345">
        <v>86.77</v>
      </c>
      <c r="Q194" s="345">
        <v>77.91</v>
      </c>
      <c r="R194" s="345">
        <v>40.36</v>
      </c>
      <c r="S194" s="345">
        <v>126.67</v>
      </c>
      <c r="T194" s="345">
        <v>1657</v>
      </c>
      <c r="U194" s="345">
        <v>98.98</v>
      </c>
      <c r="V194" s="345">
        <v>407</v>
      </c>
      <c r="W194" s="345">
        <v>152.16</v>
      </c>
      <c r="X194" s="345">
        <v>52</v>
      </c>
      <c r="Y194" s="345">
        <v>8</v>
      </c>
      <c r="Z194" s="345">
        <v>4</v>
      </c>
      <c r="AA194" s="345">
        <v>2</v>
      </c>
      <c r="AB194" s="345">
        <v>2</v>
      </c>
      <c r="AC194" s="345">
        <v>3</v>
      </c>
      <c r="AD194" s="349">
        <v>3595</v>
      </c>
      <c r="AE194" s="349">
        <v>31</v>
      </c>
      <c r="AF194" s="349">
        <v>18</v>
      </c>
      <c r="AG194" s="349">
        <v>49</v>
      </c>
    </row>
    <row r="195" spans="1:33" x14ac:dyDescent="0.2">
      <c r="A195" s="344" t="s">
        <v>444</v>
      </c>
      <c r="B195" s="350" t="s">
        <v>445</v>
      </c>
      <c r="C195" s="346">
        <v>1026</v>
      </c>
      <c r="D195" s="346">
        <v>2</v>
      </c>
      <c r="E195" s="346">
        <v>12</v>
      </c>
      <c r="F195" s="346">
        <v>54</v>
      </c>
      <c r="G195" s="346">
        <v>171</v>
      </c>
      <c r="H195" s="346">
        <v>1265</v>
      </c>
      <c r="I195" s="345">
        <v>1094</v>
      </c>
      <c r="J195" s="345">
        <v>0</v>
      </c>
      <c r="K195" s="347">
        <v>99.92</v>
      </c>
      <c r="L195" s="347">
        <v>99.46</v>
      </c>
      <c r="M195" s="347">
        <v>4.42</v>
      </c>
      <c r="N195" s="347">
        <v>102.41</v>
      </c>
      <c r="O195" s="348">
        <v>894</v>
      </c>
      <c r="P195" s="345">
        <v>91.04</v>
      </c>
      <c r="Q195" s="345">
        <v>89.29</v>
      </c>
      <c r="R195" s="345">
        <v>31.76</v>
      </c>
      <c r="S195" s="345">
        <v>115.92</v>
      </c>
      <c r="T195" s="345">
        <v>60</v>
      </c>
      <c r="U195" s="345">
        <v>110.27</v>
      </c>
      <c r="V195" s="345">
        <v>130</v>
      </c>
      <c r="W195" s="345">
        <v>0</v>
      </c>
      <c r="X195" s="345">
        <v>0</v>
      </c>
      <c r="Y195" s="345">
        <v>0</v>
      </c>
      <c r="Z195" s="345">
        <v>0</v>
      </c>
      <c r="AA195" s="345">
        <v>0</v>
      </c>
      <c r="AB195" s="345">
        <v>8</v>
      </c>
      <c r="AC195" s="345">
        <v>1</v>
      </c>
      <c r="AD195" s="349">
        <v>1026</v>
      </c>
      <c r="AE195" s="349">
        <v>2</v>
      </c>
      <c r="AF195" s="349">
        <v>2</v>
      </c>
      <c r="AG195" s="349">
        <v>4</v>
      </c>
    </row>
    <row r="196" spans="1:33" x14ac:dyDescent="0.2">
      <c r="A196" s="344" t="s">
        <v>446</v>
      </c>
      <c r="B196" s="350" t="s">
        <v>447</v>
      </c>
      <c r="C196" s="346">
        <v>1603</v>
      </c>
      <c r="D196" s="346">
        <v>0</v>
      </c>
      <c r="E196" s="346">
        <v>49</v>
      </c>
      <c r="F196" s="346">
        <v>203</v>
      </c>
      <c r="G196" s="346">
        <v>353</v>
      </c>
      <c r="H196" s="346">
        <v>2208</v>
      </c>
      <c r="I196" s="345">
        <v>1855</v>
      </c>
      <c r="J196" s="345">
        <v>0</v>
      </c>
      <c r="K196" s="347">
        <v>89.02</v>
      </c>
      <c r="L196" s="347">
        <v>89.88</v>
      </c>
      <c r="M196" s="347">
        <v>5.4</v>
      </c>
      <c r="N196" s="347">
        <v>93.21</v>
      </c>
      <c r="O196" s="348">
        <v>1384</v>
      </c>
      <c r="P196" s="345">
        <v>87.77</v>
      </c>
      <c r="Q196" s="345">
        <v>88.61</v>
      </c>
      <c r="R196" s="345">
        <v>35.880000000000003</v>
      </c>
      <c r="S196" s="345">
        <v>121.36</v>
      </c>
      <c r="T196" s="345">
        <v>250</v>
      </c>
      <c r="U196" s="345">
        <v>97.26</v>
      </c>
      <c r="V196" s="345">
        <v>190</v>
      </c>
      <c r="W196" s="345">
        <v>0</v>
      </c>
      <c r="X196" s="345">
        <v>0</v>
      </c>
      <c r="Y196" s="345">
        <v>0</v>
      </c>
      <c r="Z196" s="345">
        <v>0</v>
      </c>
      <c r="AA196" s="345">
        <v>0</v>
      </c>
      <c r="AB196" s="345">
        <v>35</v>
      </c>
      <c r="AC196" s="345">
        <v>4</v>
      </c>
      <c r="AD196" s="349">
        <v>1593</v>
      </c>
      <c r="AE196" s="349">
        <v>32</v>
      </c>
      <c r="AF196" s="349">
        <v>7</v>
      </c>
      <c r="AG196" s="349">
        <v>39</v>
      </c>
    </row>
    <row r="197" spans="1:33" x14ac:dyDescent="0.2">
      <c r="A197" s="344" t="s">
        <v>448</v>
      </c>
      <c r="B197" s="350" t="s">
        <v>449</v>
      </c>
      <c r="C197" s="346">
        <v>13957</v>
      </c>
      <c r="D197" s="346">
        <v>37</v>
      </c>
      <c r="E197" s="346">
        <v>360</v>
      </c>
      <c r="F197" s="346">
        <v>3231</v>
      </c>
      <c r="G197" s="346">
        <v>625</v>
      </c>
      <c r="H197" s="346">
        <v>18210</v>
      </c>
      <c r="I197" s="345">
        <v>17585</v>
      </c>
      <c r="J197" s="345">
        <v>23</v>
      </c>
      <c r="K197" s="347">
        <v>77.540000000000006</v>
      </c>
      <c r="L197" s="347">
        <v>76.75</v>
      </c>
      <c r="M197" s="347">
        <v>4.6399999999999997</v>
      </c>
      <c r="N197" s="347">
        <v>79.959999999999994</v>
      </c>
      <c r="O197" s="348">
        <v>12961</v>
      </c>
      <c r="P197" s="345">
        <v>71.13</v>
      </c>
      <c r="Q197" s="345">
        <v>65.97</v>
      </c>
      <c r="R197" s="345">
        <v>19.22</v>
      </c>
      <c r="S197" s="345">
        <v>89.48</v>
      </c>
      <c r="T197" s="345">
        <v>3485</v>
      </c>
      <c r="U197" s="345">
        <v>98.87</v>
      </c>
      <c r="V197" s="345">
        <v>816</v>
      </c>
      <c r="W197" s="345">
        <v>112.28</v>
      </c>
      <c r="X197" s="345">
        <v>40</v>
      </c>
      <c r="Y197" s="345">
        <v>0</v>
      </c>
      <c r="Z197" s="345">
        <v>50</v>
      </c>
      <c r="AA197" s="345">
        <v>11</v>
      </c>
      <c r="AB197" s="345">
        <v>13</v>
      </c>
      <c r="AC197" s="345">
        <v>4</v>
      </c>
      <c r="AD197" s="349">
        <v>13723</v>
      </c>
      <c r="AE197" s="349">
        <v>103</v>
      </c>
      <c r="AF197" s="349">
        <v>56</v>
      </c>
      <c r="AG197" s="349">
        <v>159</v>
      </c>
    </row>
    <row r="198" spans="1:33" x14ac:dyDescent="0.2">
      <c r="A198" s="344" t="s">
        <v>450</v>
      </c>
      <c r="B198" s="350" t="s">
        <v>451</v>
      </c>
      <c r="C198" s="346">
        <v>3830</v>
      </c>
      <c r="D198" s="346">
        <v>0</v>
      </c>
      <c r="E198" s="346">
        <v>529</v>
      </c>
      <c r="F198" s="346">
        <v>1127</v>
      </c>
      <c r="G198" s="346">
        <v>326</v>
      </c>
      <c r="H198" s="346">
        <v>5812</v>
      </c>
      <c r="I198" s="345">
        <v>5486</v>
      </c>
      <c r="J198" s="345">
        <v>23</v>
      </c>
      <c r="K198" s="347">
        <v>90.57</v>
      </c>
      <c r="L198" s="347">
        <v>90.22</v>
      </c>
      <c r="M198" s="347">
        <v>6.08</v>
      </c>
      <c r="N198" s="347">
        <v>95.32</v>
      </c>
      <c r="O198" s="348">
        <v>3502</v>
      </c>
      <c r="P198" s="345">
        <v>84.27</v>
      </c>
      <c r="Q198" s="345">
        <v>82.6</v>
      </c>
      <c r="R198" s="345">
        <v>37.64</v>
      </c>
      <c r="S198" s="345">
        <v>121.71</v>
      </c>
      <c r="T198" s="345">
        <v>958</v>
      </c>
      <c r="U198" s="345">
        <v>107.55</v>
      </c>
      <c r="V198" s="345">
        <v>238</v>
      </c>
      <c r="W198" s="345">
        <v>0</v>
      </c>
      <c r="X198" s="345">
        <v>0</v>
      </c>
      <c r="Y198" s="345">
        <v>0</v>
      </c>
      <c r="Z198" s="345">
        <v>0</v>
      </c>
      <c r="AA198" s="345">
        <v>3</v>
      </c>
      <c r="AB198" s="345">
        <v>5</v>
      </c>
      <c r="AC198" s="345">
        <v>11</v>
      </c>
      <c r="AD198" s="349">
        <v>3808</v>
      </c>
      <c r="AE198" s="349">
        <v>17</v>
      </c>
      <c r="AF198" s="349">
        <v>4</v>
      </c>
      <c r="AG198" s="349">
        <v>21</v>
      </c>
    </row>
    <row r="199" spans="1:33" x14ac:dyDescent="0.2">
      <c r="A199" s="344" t="s">
        <v>452</v>
      </c>
      <c r="B199" s="350" t="s">
        <v>453</v>
      </c>
      <c r="C199" s="346">
        <v>6449</v>
      </c>
      <c r="D199" s="346">
        <v>0</v>
      </c>
      <c r="E199" s="346">
        <v>1070</v>
      </c>
      <c r="F199" s="346">
        <v>2493</v>
      </c>
      <c r="G199" s="346">
        <v>389</v>
      </c>
      <c r="H199" s="346">
        <v>10401</v>
      </c>
      <c r="I199" s="345">
        <v>10012</v>
      </c>
      <c r="J199" s="345">
        <v>41</v>
      </c>
      <c r="K199" s="347">
        <v>86.17</v>
      </c>
      <c r="L199" s="347">
        <v>85.21</v>
      </c>
      <c r="M199" s="347">
        <v>5.58</v>
      </c>
      <c r="N199" s="347">
        <v>89.61</v>
      </c>
      <c r="O199" s="348">
        <v>5702</v>
      </c>
      <c r="P199" s="345">
        <v>83.35</v>
      </c>
      <c r="Q199" s="345">
        <v>78.5</v>
      </c>
      <c r="R199" s="345">
        <v>39.89</v>
      </c>
      <c r="S199" s="345">
        <v>121.48</v>
      </c>
      <c r="T199" s="345">
        <v>2657</v>
      </c>
      <c r="U199" s="345">
        <v>101.26</v>
      </c>
      <c r="V199" s="345">
        <v>299</v>
      </c>
      <c r="W199" s="345">
        <v>146.12</v>
      </c>
      <c r="X199" s="345">
        <v>148</v>
      </c>
      <c r="Y199" s="345">
        <v>27</v>
      </c>
      <c r="Z199" s="345">
        <v>3</v>
      </c>
      <c r="AA199" s="345">
        <v>126</v>
      </c>
      <c r="AB199" s="345">
        <v>22</v>
      </c>
      <c r="AC199" s="345">
        <v>29</v>
      </c>
      <c r="AD199" s="349">
        <v>6427</v>
      </c>
      <c r="AE199" s="349">
        <v>34</v>
      </c>
      <c r="AF199" s="349">
        <v>21</v>
      </c>
      <c r="AG199" s="349">
        <v>55</v>
      </c>
    </row>
    <row r="200" spans="1:33" x14ac:dyDescent="0.2">
      <c r="A200" s="344" t="s">
        <v>454</v>
      </c>
      <c r="B200" s="350" t="s">
        <v>455</v>
      </c>
      <c r="C200" s="346">
        <v>2001</v>
      </c>
      <c r="D200" s="346">
        <v>5</v>
      </c>
      <c r="E200" s="346">
        <v>173</v>
      </c>
      <c r="F200" s="346">
        <v>365</v>
      </c>
      <c r="G200" s="346">
        <v>298</v>
      </c>
      <c r="H200" s="346">
        <v>2842</v>
      </c>
      <c r="I200" s="345">
        <v>2544</v>
      </c>
      <c r="J200" s="345">
        <v>9</v>
      </c>
      <c r="K200" s="347">
        <v>98.05</v>
      </c>
      <c r="L200" s="347">
        <v>95.31</v>
      </c>
      <c r="M200" s="347">
        <v>5.96</v>
      </c>
      <c r="N200" s="347">
        <v>102.93</v>
      </c>
      <c r="O200" s="348">
        <v>1716</v>
      </c>
      <c r="P200" s="345">
        <v>90.61</v>
      </c>
      <c r="Q200" s="345">
        <v>84.08</v>
      </c>
      <c r="R200" s="345">
        <v>37.14</v>
      </c>
      <c r="S200" s="345">
        <v>124.43</v>
      </c>
      <c r="T200" s="345">
        <v>324</v>
      </c>
      <c r="U200" s="345">
        <v>115.3</v>
      </c>
      <c r="V200" s="345">
        <v>237</v>
      </c>
      <c r="W200" s="345">
        <v>185.86</v>
      </c>
      <c r="X200" s="345">
        <v>60</v>
      </c>
      <c r="Y200" s="345">
        <v>0</v>
      </c>
      <c r="Z200" s="345">
        <v>1</v>
      </c>
      <c r="AA200" s="345">
        <v>3</v>
      </c>
      <c r="AB200" s="345">
        <v>40</v>
      </c>
      <c r="AC200" s="345">
        <v>25</v>
      </c>
      <c r="AD200" s="349">
        <v>1988</v>
      </c>
      <c r="AE200" s="349">
        <v>10</v>
      </c>
      <c r="AF200" s="349">
        <v>9</v>
      </c>
      <c r="AG200" s="349">
        <v>19</v>
      </c>
    </row>
    <row r="201" spans="1:33" x14ac:dyDescent="0.2">
      <c r="A201" s="344" t="s">
        <v>456</v>
      </c>
      <c r="B201" s="350" t="s">
        <v>457</v>
      </c>
      <c r="C201" s="346">
        <v>426</v>
      </c>
      <c r="D201" s="346">
        <v>0</v>
      </c>
      <c r="E201" s="346">
        <v>43</v>
      </c>
      <c r="F201" s="346">
        <v>94</v>
      </c>
      <c r="G201" s="346">
        <v>101</v>
      </c>
      <c r="H201" s="346">
        <v>664</v>
      </c>
      <c r="I201" s="345">
        <v>563</v>
      </c>
      <c r="J201" s="345">
        <v>4</v>
      </c>
      <c r="K201" s="347">
        <v>93.91</v>
      </c>
      <c r="L201" s="347">
        <v>91.67</v>
      </c>
      <c r="M201" s="347">
        <v>4.84</v>
      </c>
      <c r="N201" s="347">
        <v>96.61</v>
      </c>
      <c r="O201" s="348">
        <v>307</v>
      </c>
      <c r="P201" s="345">
        <v>103.23</v>
      </c>
      <c r="Q201" s="345">
        <v>74.63</v>
      </c>
      <c r="R201" s="345">
        <v>33.909999999999997</v>
      </c>
      <c r="S201" s="345">
        <v>137.15</v>
      </c>
      <c r="T201" s="345">
        <v>132</v>
      </c>
      <c r="U201" s="345">
        <v>98.04</v>
      </c>
      <c r="V201" s="345">
        <v>39</v>
      </c>
      <c r="W201" s="345">
        <v>0</v>
      </c>
      <c r="X201" s="345">
        <v>0</v>
      </c>
      <c r="Y201" s="345">
        <v>0</v>
      </c>
      <c r="Z201" s="345">
        <v>0</v>
      </c>
      <c r="AA201" s="345">
        <v>0</v>
      </c>
      <c r="AB201" s="345">
        <v>0</v>
      </c>
      <c r="AC201" s="345">
        <v>4</v>
      </c>
      <c r="AD201" s="349">
        <v>391</v>
      </c>
      <c r="AE201" s="349">
        <v>2</v>
      </c>
      <c r="AF201" s="349">
        <v>0</v>
      </c>
      <c r="AG201" s="349">
        <v>2</v>
      </c>
    </row>
    <row r="202" spans="1:33" x14ac:dyDescent="0.2">
      <c r="A202" s="344" t="s">
        <v>458</v>
      </c>
      <c r="B202" s="350" t="s">
        <v>459</v>
      </c>
      <c r="C202" s="346">
        <v>17295</v>
      </c>
      <c r="D202" s="346">
        <v>0</v>
      </c>
      <c r="E202" s="346">
        <v>415</v>
      </c>
      <c r="F202" s="346">
        <v>1131</v>
      </c>
      <c r="G202" s="346">
        <v>210</v>
      </c>
      <c r="H202" s="346">
        <v>19051</v>
      </c>
      <c r="I202" s="345">
        <v>18841</v>
      </c>
      <c r="J202" s="345">
        <v>1</v>
      </c>
      <c r="K202" s="347">
        <v>79.22</v>
      </c>
      <c r="L202" s="347">
        <v>79.64</v>
      </c>
      <c r="M202" s="347">
        <v>2.17</v>
      </c>
      <c r="N202" s="347">
        <v>80.2</v>
      </c>
      <c r="O202" s="348">
        <v>15591</v>
      </c>
      <c r="P202" s="345">
        <v>77.91</v>
      </c>
      <c r="Q202" s="345">
        <v>74.95</v>
      </c>
      <c r="R202" s="345">
        <v>26.53</v>
      </c>
      <c r="S202" s="345">
        <v>102</v>
      </c>
      <c r="T202" s="345">
        <v>1503</v>
      </c>
      <c r="U202" s="345">
        <v>99.1</v>
      </c>
      <c r="V202" s="345">
        <v>1258</v>
      </c>
      <c r="W202" s="345">
        <v>81.900000000000006</v>
      </c>
      <c r="X202" s="345">
        <v>16</v>
      </c>
      <c r="Y202" s="345">
        <v>0</v>
      </c>
      <c r="Z202" s="345">
        <v>65</v>
      </c>
      <c r="AA202" s="345">
        <v>35</v>
      </c>
      <c r="AB202" s="345">
        <v>1</v>
      </c>
      <c r="AC202" s="345">
        <v>8</v>
      </c>
      <c r="AD202" s="349">
        <v>16699</v>
      </c>
      <c r="AE202" s="349">
        <v>39</v>
      </c>
      <c r="AF202" s="349">
        <v>101</v>
      </c>
      <c r="AG202" s="349">
        <v>140</v>
      </c>
    </row>
    <row r="203" spans="1:33" x14ac:dyDescent="0.2">
      <c r="A203" s="344" t="s">
        <v>460</v>
      </c>
      <c r="B203" s="350" t="s">
        <v>461</v>
      </c>
      <c r="C203" s="346">
        <v>2968</v>
      </c>
      <c r="D203" s="346">
        <v>49</v>
      </c>
      <c r="E203" s="346">
        <v>511</v>
      </c>
      <c r="F203" s="346">
        <v>861</v>
      </c>
      <c r="G203" s="346">
        <v>661</v>
      </c>
      <c r="H203" s="346">
        <v>5050</v>
      </c>
      <c r="I203" s="345">
        <v>4389</v>
      </c>
      <c r="J203" s="345">
        <v>10</v>
      </c>
      <c r="K203" s="347">
        <v>114.54</v>
      </c>
      <c r="L203" s="347">
        <v>111.31</v>
      </c>
      <c r="M203" s="347">
        <v>8.26</v>
      </c>
      <c r="N203" s="347">
        <v>120.76</v>
      </c>
      <c r="O203" s="348">
        <v>2933</v>
      </c>
      <c r="P203" s="345">
        <v>105.06</v>
      </c>
      <c r="Q203" s="345">
        <v>93.53</v>
      </c>
      <c r="R203" s="345">
        <v>43.14</v>
      </c>
      <c r="S203" s="345">
        <v>145.51</v>
      </c>
      <c r="T203" s="345">
        <v>1302</v>
      </c>
      <c r="U203" s="345">
        <v>167.19</v>
      </c>
      <c r="V203" s="345">
        <v>53</v>
      </c>
      <c r="W203" s="345">
        <v>0</v>
      </c>
      <c r="X203" s="345">
        <v>0</v>
      </c>
      <c r="Y203" s="345">
        <v>0</v>
      </c>
      <c r="Z203" s="345">
        <v>3</v>
      </c>
      <c r="AA203" s="345">
        <v>4</v>
      </c>
      <c r="AB203" s="345">
        <v>4</v>
      </c>
      <c r="AC203" s="345">
        <v>34</v>
      </c>
      <c r="AD203" s="349">
        <v>2967</v>
      </c>
      <c r="AE203" s="349">
        <v>9</v>
      </c>
      <c r="AF203" s="349">
        <v>10</v>
      </c>
      <c r="AG203" s="349">
        <v>19</v>
      </c>
    </row>
    <row r="204" spans="1:33" x14ac:dyDescent="0.2">
      <c r="A204" s="344" t="s">
        <v>462</v>
      </c>
      <c r="B204" s="350" t="s">
        <v>463</v>
      </c>
      <c r="C204" s="346">
        <v>4105</v>
      </c>
      <c r="D204" s="346">
        <v>0</v>
      </c>
      <c r="E204" s="346">
        <v>162</v>
      </c>
      <c r="F204" s="346">
        <v>336</v>
      </c>
      <c r="G204" s="346">
        <v>1</v>
      </c>
      <c r="H204" s="346">
        <v>4604</v>
      </c>
      <c r="I204" s="345">
        <v>4603</v>
      </c>
      <c r="J204" s="345">
        <v>4</v>
      </c>
      <c r="K204" s="347">
        <v>75.81</v>
      </c>
      <c r="L204" s="347">
        <v>75.64</v>
      </c>
      <c r="M204" s="347">
        <v>2.38</v>
      </c>
      <c r="N204" s="347">
        <v>77.930000000000007</v>
      </c>
      <c r="O204" s="348">
        <v>3833</v>
      </c>
      <c r="P204" s="345">
        <v>84.05</v>
      </c>
      <c r="Q204" s="345">
        <v>69.05</v>
      </c>
      <c r="R204" s="345">
        <v>24.42</v>
      </c>
      <c r="S204" s="345">
        <v>108.17</v>
      </c>
      <c r="T204" s="345">
        <v>410</v>
      </c>
      <c r="U204" s="345">
        <v>94.51</v>
      </c>
      <c r="V204" s="345">
        <v>270</v>
      </c>
      <c r="W204" s="345">
        <v>0</v>
      </c>
      <c r="X204" s="345">
        <v>0</v>
      </c>
      <c r="Y204" s="345">
        <v>0</v>
      </c>
      <c r="Z204" s="345">
        <v>21</v>
      </c>
      <c r="AA204" s="345">
        <v>6</v>
      </c>
      <c r="AB204" s="345">
        <v>0</v>
      </c>
      <c r="AC204" s="345">
        <v>0</v>
      </c>
      <c r="AD204" s="349">
        <v>4104</v>
      </c>
      <c r="AE204" s="349">
        <v>19</v>
      </c>
      <c r="AF204" s="349">
        <v>6</v>
      </c>
      <c r="AG204" s="349">
        <v>25</v>
      </c>
    </row>
    <row r="205" spans="1:33" x14ac:dyDescent="0.2">
      <c r="A205" s="344" t="s">
        <v>464</v>
      </c>
      <c r="B205" s="350" t="s">
        <v>465</v>
      </c>
      <c r="C205" s="346">
        <v>12842</v>
      </c>
      <c r="D205" s="346">
        <v>40</v>
      </c>
      <c r="E205" s="346">
        <v>767</v>
      </c>
      <c r="F205" s="346">
        <v>2088</v>
      </c>
      <c r="G205" s="346">
        <v>873</v>
      </c>
      <c r="H205" s="346">
        <v>16610</v>
      </c>
      <c r="I205" s="345">
        <v>15737</v>
      </c>
      <c r="J205" s="345">
        <v>26</v>
      </c>
      <c r="K205" s="347">
        <v>88.28</v>
      </c>
      <c r="L205" s="347">
        <v>88.58</v>
      </c>
      <c r="M205" s="347">
        <v>6.03</v>
      </c>
      <c r="N205" s="347">
        <v>91.21</v>
      </c>
      <c r="O205" s="348">
        <v>11275</v>
      </c>
      <c r="P205" s="345">
        <v>86.82</v>
      </c>
      <c r="Q205" s="345">
        <v>87.58</v>
      </c>
      <c r="R205" s="345">
        <v>34.479999999999997</v>
      </c>
      <c r="S205" s="345">
        <v>119.51</v>
      </c>
      <c r="T205" s="345">
        <v>2592</v>
      </c>
      <c r="U205" s="345">
        <v>105.29</v>
      </c>
      <c r="V205" s="345">
        <v>1279</v>
      </c>
      <c r="W205" s="345">
        <v>192.14</v>
      </c>
      <c r="X205" s="345">
        <v>100</v>
      </c>
      <c r="Y205" s="345">
        <v>20</v>
      </c>
      <c r="Z205" s="345">
        <v>49</v>
      </c>
      <c r="AA205" s="345">
        <v>8</v>
      </c>
      <c r="AB205" s="345">
        <v>105</v>
      </c>
      <c r="AC205" s="345">
        <v>21</v>
      </c>
      <c r="AD205" s="349">
        <v>12842</v>
      </c>
      <c r="AE205" s="349">
        <v>64</v>
      </c>
      <c r="AF205" s="349">
        <v>53</v>
      </c>
      <c r="AG205" s="349">
        <v>117</v>
      </c>
    </row>
    <row r="206" spans="1:33" x14ac:dyDescent="0.2">
      <c r="A206" s="344" t="s">
        <v>466</v>
      </c>
      <c r="B206" s="350" t="s">
        <v>467</v>
      </c>
      <c r="C206" s="346">
        <v>19035</v>
      </c>
      <c r="D206" s="346">
        <v>0</v>
      </c>
      <c r="E206" s="346">
        <v>2256</v>
      </c>
      <c r="F206" s="346">
        <v>1223</v>
      </c>
      <c r="G206" s="346">
        <v>996</v>
      </c>
      <c r="H206" s="346">
        <v>23510</v>
      </c>
      <c r="I206" s="345">
        <v>22514</v>
      </c>
      <c r="J206" s="345">
        <v>19</v>
      </c>
      <c r="K206" s="347">
        <v>76.62</v>
      </c>
      <c r="L206" s="347">
        <v>79.709999999999994</v>
      </c>
      <c r="M206" s="347">
        <v>7</v>
      </c>
      <c r="N206" s="347">
        <v>80.849999999999994</v>
      </c>
      <c r="O206" s="348">
        <v>16665</v>
      </c>
      <c r="P206" s="345">
        <v>71.58</v>
      </c>
      <c r="Q206" s="345">
        <v>72.88</v>
      </c>
      <c r="R206" s="345">
        <v>26.87</v>
      </c>
      <c r="S206" s="345">
        <v>96.98</v>
      </c>
      <c r="T206" s="345">
        <v>3281</v>
      </c>
      <c r="U206" s="345">
        <v>106.61</v>
      </c>
      <c r="V206" s="345">
        <v>1940</v>
      </c>
      <c r="W206" s="345">
        <v>96.52</v>
      </c>
      <c r="X206" s="345">
        <v>100</v>
      </c>
      <c r="Y206" s="345">
        <v>44</v>
      </c>
      <c r="Z206" s="345">
        <v>80</v>
      </c>
      <c r="AA206" s="345">
        <v>27</v>
      </c>
      <c r="AB206" s="345">
        <v>92</v>
      </c>
      <c r="AC206" s="345">
        <v>29</v>
      </c>
      <c r="AD206" s="349">
        <v>18618</v>
      </c>
      <c r="AE206" s="349">
        <v>69</v>
      </c>
      <c r="AF206" s="349">
        <v>280</v>
      </c>
      <c r="AG206" s="349">
        <v>349</v>
      </c>
    </row>
    <row r="207" spans="1:33" x14ac:dyDescent="0.2">
      <c r="A207" s="344" t="s">
        <v>468</v>
      </c>
      <c r="B207" s="350" t="s">
        <v>469</v>
      </c>
      <c r="C207" s="346">
        <v>4779</v>
      </c>
      <c r="D207" s="346">
        <v>15</v>
      </c>
      <c r="E207" s="346">
        <v>505</v>
      </c>
      <c r="F207" s="346">
        <v>957</v>
      </c>
      <c r="G207" s="346">
        <v>748</v>
      </c>
      <c r="H207" s="346">
        <v>7004</v>
      </c>
      <c r="I207" s="345">
        <v>6256</v>
      </c>
      <c r="J207" s="345">
        <v>80</v>
      </c>
      <c r="K207" s="347">
        <v>101.53</v>
      </c>
      <c r="L207" s="347">
        <v>101.86</v>
      </c>
      <c r="M207" s="347">
        <v>8.4</v>
      </c>
      <c r="N207" s="347">
        <v>108.34</v>
      </c>
      <c r="O207" s="348">
        <v>3666</v>
      </c>
      <c r="P207" s="345">
        <v>84.82</v>
      </c>
      <c r="Q207" s="345">
        <v>83.18</v>
      </c>
      <c r="R207" s="345">
        <v>26.55</v>
      </c>
      <c r="S207" s="345">
        <v>109.26</v>
      </c>
      <c r="T207" s="345">
        <v>638</v>
      </c>
      <c r="U207" s="345">
        <v>129.30000000000001</v>
      </c>
      <c r="V207" s="345">
        <v>696</v>
      </c>
      <c r="W207" s="345">
        <v>168.67</v>
      </c>
      <c r="X207" s="345">
        <v>267</v>
      </c>
      <c r="Y207" s="345">
        <v>1</v>
      </c>
      <c r="Z207" s="345">
        <v>31</v>
      </c>
      <c r="AA207" s="345">
        <v>14</v>
      </c>
      <c r="AB207" s="345">
        <v>48</v>
      </c>
      <c r="AC207" s="345">
        <v>19</v>
      </c>
      <c r="AD207" s="349">
        <v>4594</v>
      </c>
      <c r="AE207" s="349">
        <v>25</v>
      </c>
      <c r="AF207" s="349">
        <v>29</v>
      </c>
      <c r="AG207" s="349">
        <v>54</v>
      </c>
    </row>
    <row r="208" spans="1:33" x14ac:dyDescent="0.2">
      <c r="A208" s="344" t="s">
        <v>470</v>
      </c>
      <c r="B208" s="350" t="s">
        <v>471</v>
      </c>
      <c r="C208" s="346">
        <v>9824</v>
      </c>
      <c r="D208" s="346">
        <v>3</v>
      </c>
      <c r="E208" s="346">
        <v>365</v>
      </c>
      <c r="F208" s="346">
        <v>1180</v>
      </c>
      <c r="G208" s="346">
        <v>365</v>
      </c>
      <c r="H208" s="346">
        <v>11737</v>
      </c>
      <c r="I208" s="345">
        <v>11372</v>
      </c>
      <c r="J208" s="345">
        <v>7</v>
      </c>
      <c r="K208" s="347">
        <v>80.58</v>
      </c>
      <c r="L208" s="347">
        <v>78.400000000000006</v>
      </c>
      <c r="M208" s="347">
        <v>5.55</v>
      </c>
      <c r="N208" s="347">
        <v>83</v>
      </c>
      <c r="O208" s="348">
        <v>9193</v>
      </c>
      <c r="P208" s="345">
        <v>78.06</v>
      </c>
      <c r="Q208" s="345">
        <v>70.14</v>
      </c>
      <c r="R208" s="345">
        <v>36.880000000000003</v>
      </c>
      <c r="S208" s="345">
        <v>114.62</v>
      </c>
      <c r="T208" s="345">
        <v>1510</v>
      </c>
      <c r="U208" s="345">
        <v>101.63</v>
      </c>
      <c r="V208" s="345">
        <v>610</v>
      </c>
      <c r="W208" s="345">
        <v>0</v>
      </c>
      <c r="X208" s="345">
        <v>0</v>
      </c>
      <c r="Y208" s="345">
        <v>0</v>
      </c>
      <c r="Z208" s="345">
        <v>29</v>
      </c>
      <c r="AA208" s="345">
        <v>7</v>
      </c>
      <c r="AB208" s="345">
        <v>7</v>
      </c>
      <c r="AC208" s="345">
        <v>7</v>
      </c>
      <c r="AD208" s="349">
        <v>9804</v>
      </c>
      <c r="AE208" s="349">
        <v>89</v>
      </c>
      <c r="AF208" s="349">
        <v>18</v>
      </c>
      <c r="AG208" s="349">
        <v>107</v>
      </c>
    </row>
    <row r="209" spans="1:33" x14ac:dyDescent="0.2">
      <c r="A209" s="344" t="s">
        <v>472</v>
      </c>
      <c r="B209" s="350" t="s">
        <v>473</v>
      </c>
      <c r="C209" s="346">
        <v>3472</v>
      </c>
      <c r="D209" s="346">
        <v>48</v>
      </c>
      <c r="E209" s="346">
        <v>317</v>
      </c>
      <c r="F209" s="346">
        <v>509</v>
      </c>
      <c r="G209" s="346">
        <v>915</v>
      </c>
      <c r="H209" s="346">
        <v>5261</v>
      </c>
      <c r="I209" s="345">
        <v>4346</v>
      </c>
      <c r="J209" s="345">
        <v>8</v>
      </c>
      <c r="K209" s="347">
        <v>121.11</v>
      </c>
      <c r="L209" s="347">
        <v>120.19</v>
      </c>
      <c r="M209" s="347">
        <v>8.49</v>
      </c>
      <c r="N209" s="347">
        <v>129.03</v>
      </c>
      <c r="O209" s="348">
        <v>2856</v>
      </c>
      <c r="P209" s="345">
        <v>109.83</v>
      </c>
      <c r="Q209" s="345">
        <v>101.68</v>
      </c>
      <c r="R209" s="345">
        <v>61.15</v>
      </c>
      <c r="S209" s="345">
        <v>169.28</v>
      </c>
      <c r="T209" s="345">
        <v>683</v>
      </c>
      <c r="U209" s="345">
        <v>155.93</v>
      </c>
      <c r="V209" s="345">
        <v>255</v>
      </c>
      <c r="W209" s="345">
        <v>151.16999999999999</v>
      </c>
      <c r="X209" s="345">
        <v>42</v>
      </c>
      <c r="Y209" s="345">
        <v>0</v>
      </c>
      <c r="Z209" s="345">
        <v>2</v>
      </c>
      <c r="AA209" s="345">
        <v>2</v>
      </c>
      <c r="AB209" s="345">
        <v>32</v>
      </c>
      <c r="AC209" s="345">
        <v>76</v>
      </c>
      <c r="AD209" s="349">
        <v>3350</v>
      </c>
      <c r="AE209" s="349">
        <v>12</v>
      </c>
      <c r="AF209" s="349">
        <v>4</v>
      </c>
      <c r="AG209" s="349">
        <v>16</v>
      </c>
    </row>
    <row r="210" spans="1:33" x14ac:dyDescent="0.2">
      <c r="A210" s="344" t="s">
        <v>474</v>
      </c>
      <c r="B210" s="350" t="s">
        <v>475</v>
      </c>
      <c r="C210" s="346">
        <v>3435</v>
      </c>
      <c r="D210" s="346">
        <v>0</v>
      </c>
      <c r="E210" s="346">
        <v>407</v>
      </c>
      <c r="F210" s="346">
        <v>1098</v>
      </c>
      <c r="G210" s="346">
        <v>588</v>
      </c>
      <c r="H210" s="346">
        <v>5528</v>
      </c>
      <c r="I210" s="345">
        <v>4940</v>
      </c>
      <c r="J210" s="345">
        <v>12</v>
      </c>
      <c r="K210" s="347">
        <v>132.16</v>
      </c>
      <c r="L210" s="347">
        <v>126.79</v>
      </c>
      <c r="M210" s="347">
        <v>10.45</v>
      </c>
      <c r="N210" s="347">
        <v>137.87</v>
      </c>
      <c r="O210" s="348">
        <v>3016</v>
      </c>
      <c r="P210" s="345">
        <v>104.01</v>
      </c>
      <c r="Q210" s="345">
        <v>100.68</v>
      </c>
      <c r="R210" s="345">
        <v>40.47</v>
      </c>
      <c r="S210" s="345">
        <v>143.68</v>
      </c>
      <c r="T210" s="345">
        <v>1321</v>
      </c>
      <c r="U210" s="345">
        <v>159.5</v>
      </c>
      <c r="V210" s="345">
        <v>135</v>
      </c>
      <c r="W210" s="345">
        <v>134.87</v>
      </c>
      <c r="X210" s="345">
        <v>53</v>
      </c>
      <c r="Y210" s="345">
        <v>0</v>
      </c>
      <c r="Z210" s="345">
        <v>3</v>
      </c>
      <c r="AA210" s="345">
        <v>3</v>
      </c>
      <c r="AB210" s="345">
        <v>23</v>
      </c>
      <c r="AC210" s="345">
        <v>26</v>
      </c>
      <c r="AD210" s="349">
        <v>3313</v>
      </c>
      <c r="AE210" s="349">
        <v>9</v>
      </c>
      <c r="AF210" s="349">
        <v>49</v>
      </c>
      <c r="AG210" s="349">
        <v>58</v>
      </c>
    </row>
    <row r="211" spans="1:33" x14ac:dyDescent="0.2">
      <c r="A211" s="344" t="s">
        <v>476</v>
      </c>
      <c r="B211" s="350" t="s">
        <v>477</v>
      </c>
      <c r="C211" s="346">
        <v>11365</v>
      </c>
      <c r="D211" s="346">
        <v>0</v>
      </c>
      <c r="E211" s="346">
        <v>197</v>
      </c>
      <c r="F211" s="346">
        <v>533</v>
      </c>
      <c r="G211" s="346">
        <v>247</v>
      </c>
      <c r="H211" s="346">
        <v>12342</v>
      </c>
      <c r="I211" s="345">
        <v>12095</v>
      </c>
      <c r="J211" s="345">
        <v>20</v>
      </c>
      <c r="K211" s="347">
        <v>89.2</v>
      </c>
      <c r="L211" s="347">
        <v>89.66</v>
      </c>
      <c r="M211" s="347">
        <v>6.12</v>
      </c>
      <c r="N211" s="347">
        <v>92.26</v>
      </c>
      <c r="O211" s="348">
        <v>11010</v>
      </c>
      <c r="P211" s="345">
        <v>83.99</v>
      </c>
      <c r="Q211" s="345">
        <v>78.819999999999993</v>
      </c>
      <c r="R211" s="345">
        <v>41.07</v>
      </c>
      <c r="S211" s="345">
        <v>124.69</v>
      </c>
      <c r="T211" s="345">
        <v>674</v>
      </c>
      <c r="U211" s="345">
        <v>108.95</v>
      </c>
      <c r="V211" s="345">
        <v>207</v>
      </c>
      <c r="W211" s="345">
        <v>0</v>
      </c>
      <c r="X211" s="345">
        <v>0</v>
      </c>
      <c r="Y211" s="345">
        <v>0</v>
      </c>
      <c r="Z211" s="345">
        <v>32</v>
      </c>
      <c r="AA211" s="345">
        <v>17</v>
      </c>
      <c r="AB211" s="345">
        <v>32</v>
      </c>
      <c r="AC211" s="345">
        <v>8</v>
      </c>
      <c r="AD211" s="349">
        <v>11365</v>
      </c>
      <c r="AE211" s="349">
        <v>74</v>
      </c>
      <c r="AF211" s="349">
        <v>133</v>
      </c>
      <c r="AG211" s="349">
        <v>207</v>
      </c>
    </row>
    <row r="212" spans="1:33" x14ac:dyDescent="0.2">
      <c r="A212" s="344" t="s">
        <v>478</v>
      </c>
      <c r="B212" s="350" t="s">
        <v>479</v>
      </c>
      <c r="C212" s="346">
        <v>1669</v>
      </c>
      <c r="D212" s="346">
        <v>0</v>
      </c>
      <c r="E212" s="346">
        <v>192</v>
      </c>
      <c r="F212" s="346">
        <v>179</v>
      </c>
      <c r="G212" s="346">
        <v>145</v>
      </c>
      <c r="H212" s="346">
        <v>2185</v>
      </c>
      <c r="I212" s="345">
        <v>2040</v>
      </c>
      <c r="J212" s="345">
        <v>0</v>
      </c>
      <c r="K212" s="347">
        <v>89.22</v>
      </c>
      <c r="L212" s="347">
        <v>87.97</v>
      </c>
      <c r="M212" s="347">
        <v>4.18</v>
      </c>
      <c r="N212" s="347">
        <v>92.72</v>
      </c>
      <c r="O212" s="348">
        <v>1111</v>
      </c>
      <c r="P212" s="345">
        <v>97.89</v>
      </c>
      <c r="Q212" s="345">
        <v>94.77</v>
      </c>
      <c r="R212" s="345">
        <v>46.39</v>
      </c>
      <c r="S212" s="345">
        <v>137.6</v>
      </c>
      <c r="T212" s="345">
        <v>243</v>
      </c>
      <c r="U212" s="345">
        <v>110.32</v>
      </c>
      <c r="V212" s="345">
        <v>164</v>
      </c>
      <c r="W212" s="345">
        <v>186.88</v>
      </c>
      <c r="X212" s="345">
        <v>43</v>
      </c>
      <c r="Y212" s="345">
        <v>0</v>
      </c>
      <c r="Z212" s="345">
        <v>1</v>
      </c>
      <c r="AA212" s="345">
        <v>5</v>
      </c>
      <c r="AB212" s="345">
        <v>5</v>
      </c>
      <c r="AC212" s="345">
        <v>6</v>
      </c>
      <c r="AD212" s="349">
        <v>1344</v>
      </c>
      <c r="AE212" s="349">
        <v>8</v>
      </c>
      <c r="AF212" s="349">
        <v>2</v>
      </c>
      <c r="AG212" s="349">
        <v>10</v>
      </c>
    </row>
    <row r="213" spans="1:33" x14ac:dyDescent="0.2">
      <c r="A213" s="344" t="s">
        <v>480</v>
      </c>
      <c r="B213" s="350" t="s">
        <v>481</v>
      </c>
      <c r="C213" s="346">
        <v>6040</v>
      </c>
      <c r="D213" s="346">
        <v>0</v>
      </c>
      <c r="E213" s="346">
        <v>464</v>
      </c>
      <c r="F213" s="346">
        <v>665</v>
      </c>
      <c r="G213" s="346">
        <v>765</v>
      </c>
      <c r="H213" s="346">
        <v>7934</v>
      </c>
      <c r="I213" s="345">
        <v>7169</v>
      </c>
      <c r="J213" s="345">
        <v>13</v>
      </c>
      <c r="K213" s="347">
        <v>121.02</v>
      </c>
      <c r="L213" s="347">
        <v>122.13</v>
      </c>
      <c r="M213" s="347">
        <v>3.84</v>
      </c>
      <c r="N213" s="347">
        <v>124.68</v>
      </c>
      <c r="O213" s="348">
        <v>5143</v>
      </c>
      <c r="P213" s="345">
        <v>102.13</v>
      </c>
      <c r="Q213" s="345">
        <v>101.28</v>
      </c>
      <c r="R213" s="345">
        <v>22.22</v>
      </c>
      <c r="S213" s="345">
        <v>123.21</v>
      </c>
      <c r="T213" s="345">
        <v>736</v>
      </c>
      <c r="U213" s="345">
        <v>142.13</v>
      </c>
      <c r="V213" s="345">
        <v>770</v>
      </c>
      <c r="W213" s="345">
        <v>197.82</v>
      </c>
      <c r="X213" s="345">
        <v>106</v>
      </c>
      <c r="Y213" s="345">
        <v>0</v>
      </c>
      <c r="Z213" s="345">
        <v>54</v>
      </c>
      <c r="AA213" s="345">
        <v>22</v>
      </c>
      <c r="AB213" s="345">
        <v>109</v>
      </c>
      <c r="AC213" s="345">
        <v>22</v>
      </c>
      <c r="AD213" s="349">
        <v>6040</v>
      </c>
      <c r="AE213" s="349">
        <v>47</v>
      </c>
      <c r="AF213" s="349">
        <v>30</v>
      </c>
      <c r="AG213" s="349">
        <v>77</v>
      </c>
    </row>
    <row r="214" spans="1:33" x14ac:dyDescent="0.2">
      <c r="A214" s="344" t="s">
        <v>482</v>
      </c>
      <c r="B214" s="350" t="s">
        <v>483</v>
      </c>
      <c r="C214" s="346">
        <v>1198</v>
      </c>
      <c r="D214" s="346">
        <v>0</v>
      </c>
      <c r="E214" s="346">
        <v>87</v>
      </c>
      <c r="F214" s="346">
        <v>719</v>
      </c>
      <c r="G214" s="346">
        <v>226</v>
      </c>
      <c r="H214" s="346">
        <v>2230</v>
      </c>
      <c r="I214" s="345">
        <v>2004</v>
      </c>
      <c r="J214" s="345">
        <v>1</v>
      </c>
      <c r="K214" s="347">
        <v>87.11</v>
      </c>
      <c r="L214" s="347">
        <v>86.58</v>
      </c>
      <c r="M214" s="347">
        <v>2.96</v>
      </c>
      <c r="N214" s="347">
        <v>89.19</v>
      </c>
      <c r="O214" s="348">
        <v>981</v>
      </c>
      <c r="P214" s="345">
        <v>74.650000000000006</v>
      </c>
      <c r="Q214" s="345">
        <v>71.77</v>
      </c>
      <c r="R214" s="345">
        <v>15.42</v>
      </c>
      <c r="S214" s="345">
        <v>89.76</v>
      </c>
      <c r="T214" s="345">
        <v>781</v>
      </c>
      <c r="U214" s="345">
        <v>108.83</v>
      </c>
      <c r="V214" s="345">
        <v>205</v>
      </c>
      <c r="W214" s="345">
        <v>97.94</v>
      </c>
      <c r="X214" s="345">
        <v>8</v>
      </c>
      <c r="Y214" s="345">
        <v>0</v>
      </c>
      <c r="Z214" s="345">
        <v>8</v>
      </c>
      <c r="AA214" s="345">
        <v>2</v>
      </c>
      <c r="AB214" s="345">
        <v>32</v>
      </c>
      <c r="AC214" s="345">
        <v>1</v>
      </c>
      <c r="AD214" s="349">
        <v>1198</v>
      </c>
      <c r="AE214" s="349">
        <v>2</v>
      </c>
      <c r="AF214" s="349">
        <v>10</v>
      </c>
      <c r="AG214" s="349">
        <v>12</v>
      </c>
    </row>
    <row r="215" spans="1:33" x14ac:dyDescent="0.2">
      <c r="A215" s="344" t="s">
        <v>484</v>
      </c>
      <c r="B215" s="350" t="s">
        <v>485</v>
      </c>
      <c r="C215" s="346">
        <v>8759</v>
      </c>
      <c r="D215" s="346">
        <v>12</v>
      </c>
      <c r="E215" s="346">
        <v>318</v>
      </c>
      <c r="F215" s="346">
        <v>835</v>
      </c>
      <c r="G215" s="346">
        <v>469</v>
      </c>
      <c r="H215" s="346">
        <v>10393</v>
      </c>
      <c r="I215" s="345">
        <v>9924</v>
      </c>
      <c r="J215" s="345">
        <v>1</v>
      </c>
      <c r="K215" s="347">
        <v>123.25</v>
      </c>
      <c r="L215" s="347">
        <v>135.63999999999999</v>
      </c>
      <c r="M215" s="347">
        <v>9.3699999999999992</v>
      </c>
      <c r="N215" s="347">
        <v>129.78</v>
      </c>
      <c r="O215" s="348">
        <v>8001</v>
      </c>
      <c r="P215" s="345">
        <v>117.1</v>
      </c>
      <c r="Q215" s="345">
        <v>118.29</v>
      </c>
      <c r="R215" s="345">
        <v>32.340000000000003</v>
      </c>
      <c r="S215" s="345">
        <v>147.11000000000001</v>
      </c>
      <c r="T215" s="345">
        <v>1088</v>
      </c>
      <c r="U215" s="345">
        <v>195.29</v>
      </c>
      <c r="V215" s="345">
        <v>552</v>
      </c>
      <c r="W215" s="345">
        <v>205.84</v>
      </c>
      <c r="X215" s="345">
        <v>11</v>
      </c>
      <c r="Y215" s="345">
        <v>6</v>
      </c>
      <c r="Z215" s="345">
        <v>12</v>
      </c>
      <c r="AA215" s="345">
        <v>42</v>
      </c>
      <c r="AB215" s="345">
        <v>4</v>
      </c>
      <c r="AC215" s="345">
        <v>13</v>
      </c>
      <c r="AD215" s="349">
        <v>8670</v>
      </c>
      <c r="AE215" s="349">
        <v>21</v>
      </c>
      <c r="AF215" s="349">
        <v>34</v>
      </c>
      <c r="AG215" s="349">
        <v>55</v>
      </c>
    </row>
    <row r="216" spans="1:33" x14ac:dyDescent="0.2">
      <c r="A216" s="344" t="s">
        <v>486</v>
      </c>
      <c r="B216" s="350" t="s">
        <v>487</v>
      </c>
      <c r="C216" s="346">
        <v>606</v>
      </c>
      <c r="D216" s="346">
        <v>4</v>
      </c>
      <c r="E216" s="346">
        <v>92</v>
      </c>
      <c r="F216" s="346">
        <v>97</v>
      </c>
      <c r="G216" s="346">
        <v>51</v>
      </c>
      <c r="H216" s="346">
        <v>850</v>
      </c>
      <c r="I216" s="345">
        <v>799</v>
      </c>
      <c r="J216" s="345">
        <v>0</v>
      </c>
      <c r="K216" s="347">
        <v>93.74</v>
      </c>
      <c r="L216" s="347">
        <v>93</v>
      </c>
      <c r="M216" s="347">
        <v>3.44</v>
      </c>
      <c r="N216" s="347">
        <v>96.17</v>
      </c>
      <c r="O216" s="348">
        <v>483</v>
      </c>
      <c r="P216" s="345">
        <v>97.33</v>
      </c>
      <c r="Q216" s="345">
        <v>102.75</v>
      </c>
      <c r="R216" s="345">
        <v>64.39</v>
      </c>
      <c r="S216" s="345">
        <v>153.97</v>
      </c>
      <c r="T216" s="345">
        <v>133</v>
      </c>
      <c r="U216" s="345">
        <v>106.3</v>
      </c>
      <c r="V216" s="345">
        <v>96</v>
      </c>
      <c r="W216" s="345">
        <v>157.94</v>
      </c>
      <c r="X216" s="345">
        <v>46</v>
      </c>
      <c r="Y216" s="345">
        <v>0</v>
      </c>
      <c r="Z216" s="345">
        <v>0</v>
      </c>
      <c r="AA216" s="345">
        <v>0</v>
      </c>
      <c r="AB216" s="345">
        <v>0</v>
      </c>
      <c r="AC216" s="345">
        <v>0</v>
      </c>
      <c r="AD216" s="349">
        <v>606</v>
      </c>
      <c r="AE216" s="349">
        <v>2</v>
      </c>
      <c r="AF216" s="349">
        <v>5</v>
      </c>
      <c r="AG216" s="349">
        <v>7</v>
      </c>
    </row>
    <row r="217" spans="1:33" x14ac:dyDescent="0.2">
      <c r="A217" s="344" t="s">
        <v>488</v>
      </c>
      <c r="B217" s="350" t="s">
        <v>489</v>
      </c>
      <c r="C217" s="346">
        <v>18763</v>
      </c>
      <c r="D217" s="346">
        <v>0</v>
      </c>
      <c r="E217" s="346">
        <v>553</v>
      </c>
      <c r="F217" s="346">
        <v>2032</v>
      </c>
      <c r="G217" s="346">
        <v>221</v>
      </c>
      <c r="H217" s="346">
        <v>21569</v>
      </c>
      <c r="I217" s="345">
        <v>21348</v>
      </c>
      <c r="J217" s="345">
        <v>60</v>
      </c>
      <c r="K217" s="347">
        <v>77.27</v>
      </c>
      <c r="L217" s="347">
        <v>78.930000000000007</v>
      </c>
      <c r="M217" s="347">
        <v>4.5999999999999996</v>
      </c>
      <c r="N217" s="347">
        <v>81.28</v>
      </c>
      <c r="O217" s="348">
        <v>17634</v>
      </c>
      <c r="P217" s="345">
        <v>76.290000000000006</v>
      </c>
      <c r="Q217" s="345">
        <v>73.13</v>
      </c>
      <c r="R217" s="345">
        <v>26.23</v>
      </c>
      <c r="S217" s="345">
        <v>101.06</v>
      </c>
      <c r="T217" s="345">
        <v>2488</v>
      </c>
      <c r="U217" s="345">
        <v>97.05</v>
      </c>
      <c r="V217" s="345">
        <v>1022</v>
      </c>
      <c r="W217" s="345">
        <v>0</v>
      </c>
      <c r="X217" s="345">
        <v>0</v>
      </c>
      <c r="Y217" s="345">
        <v>2</v>
      </c>
      <c r="Z217" s="345">
        <v>124</v>
      </c>
      <c r="AA217" s="345">
        <v>7</v>
      </c>
      <c r="AB217" s="345">
        <v>1</v>
      </c>
      <c r="AC217" s="345">
        <v>6</v>
      </c>
      <c r="AD217" s="349">
        <v>18682</v>
      </c>
      <c r="AE217" s="349">
        <v>272</v>
      </c>
      <c r="AF217" s="349">
        <v>206</v>
      </c>
      <c r="AG217" s="349">
        <v>478</v>
      </c>
    </row>
    <row r="218" spans="1:33" x14ac:dyDescent="0.2">
      <c r="A218" s="344" t="s">
        <v>490</v>
      </c>
      <c r="B218" s="350" t="s">
        <v>491</v>
      </c>
      <c r="C218" s="346">
        <v>2070</v>
      </c>
      <c r="D218" s="346">
        <v>0</v>
      </c>
      <c r="E218" s="346">
        <v>48</v>
      </c>
      <c r="F218" s="346">
        <v>715</v>
      </c>
      <c r="G218" s="346">
        <v>217</v>
      </c>
      <c r="H218" s="346">
        <v>3050</v>
      </c>
      <c r="I218" s="345">
        <v>2833</v>
      </c>
      <c r="J218" s="345">
        <v>4</v>
      </c>
      <c r="K218" s="347">
        <v>102.1</v>
      </c>
      <c r="L218" s="347">
        <v>103.47</v>
      </c>
      <c r="M218" s="347">
        <v>5.78</v>
      </c>
      <c r="N218" s="347">
        <v>104.09</v>
      </c>
      <c r="O218" s="348">
        <v>1772</v>
      </c>
      <c r="P218" s="345">
        <v>87.55</v>
      </c>
      <c r="Q218" s="345">
        <v>87.82</v>
      </c>
      <c r="R218" s="345">
        <v>34.76</v>
      </c>
      <c r="S218" s="345">
        <v>122.27</v>
      </c>
      <c r="T218" s="345">
        <v>763</v>
      </c>
      <c r="U218" s="345">
        <v>140.82</v>
      </c>
      <c r="V218" s="345">
        <v>297</v>
      </c>
      <c r="W218" s="345">
        <v>0</v>
      </c>
      <c r="X218" s="345">
        <v>0</v>
      </c>
      <c r="Y218" s="345">
        <v>1</v>
      </c>
      <c r="Z218" s="345">
        <v>3</v>
      </c>
      <c r="AA218" s="345">
        <v>0</v>
      </c>
      <c r="AB218" s="345">
        <v>8</v>
      </c>
      <c r="AC218" s="345">
        <v>0</v>
      </c>
      <c r="AD218" s="349">
        <v>2070</v>
      </c>
      <c r="AE218" s="349">
        <v>4</v>
      </c>
      <c r="AF218" s="349">
        <v>4</v>
      </c>
      <c r="AG218" s="349">
        <v>8</v>
      </c>
    </row>
    <row r="219" spans="1:33" x14ac:dyDescent="0.2">
      <c r="A219" s="344" t="s">
        <v>492</v>
      </c>
      <c r="B219" s="350" t="s">
        <v>493</v>
      </c>
      <c r="C219" s="346">
        <v>4218</v>
      </c>
      <c r="D219" s="346">
        <v>0</v>
      </c>
      <c r="E219" s="346">
        <v>64</v>
      </c>
      <c r="F219" s="346">
        <v>401</v>
      </c>
      <c r="G219" s="346">
        <v>39</v>
      </c>
      <c r="H219" s="346">
        <v>4722</v>
      </c>
      <c r="I219" s="345">
        <v>4683</v>
      </c>
      <c r="J219" s="345">
        <v>1</v>
      </c>
      <c r="K219" s="347">
        <v>75.88</v>
      </c>
      <c r="L219" s="347">
        <v>76.83</v>
      </c>
      <c r="M219" s="347">
        <v>3.58</v>
      </c>
      <c r="N219" s="347">
        <v>76.61</v>
      </c>
      <c r="O219" s="348">
        <v>3858</v>
      </c>
      <c r="P219" s="345">
        <v>82.69</v>
      </c>
      <c r="Q219" s="345">
        <v>80.81</v>
      </c>
      <c r="R219" s="345">
        <v>27.79</v>
      </c>
      <c r="S219" s="345">
        <v>109.44</v>
      </c>
      <c r="T219" s="345">
        <v>432</v>
      </c>
      <c r="U219" s="345">
        <v>94.16</v>
      </c>
      <c r="V219" s="345">
        <v>358</v>
      </c>
      <c r="W219" s="345">
        <v>0</v>
      </c>
      <c r="X219" s="345">
        <v>0</v>
      </c>
      <c r="Y219" s="345">
        <v>0</v>
      </c>
      <c r="Z219" s="345">
        <v>16</v>
      </c>
      <c r="AA219" s="345">
        <v>4</v>
      </c>
      <c r="AB219" s="345">
        <v>5</v>
      </c>
      <c r="AC219" s="345">
        <v>0</v>
      </c>
      <c r="AD219" s="349">
        <v>4218</v>
      </c>
      <c r="AE219" s="349">
        <v>15</v>
      </c>
      <c r="AF219" s="349">
        <v>12</v>
      </c>
      <c r="AG219" s="349">
        <v>27</v>
      </c>
    </row>
    <row r="220" spans="1:33" x14ac:dyDescent="0.2">
      <c r="A220" s="344" t="s">
        <v>494</v>
      </c>
      <c r="B220" s="350" t="s">
        <v>495</v>
      </c>
      <c r="C220" s="346">
        <v>3561</v>
      </c>
      <c r="D220" s="346">
        <v>0</v>
      </c>
      <c r="E220" s="346">
        <v>135</v>
      </c>
      <c r="F220" s="346">
        <v>700</v>
      </c>
      <c r="G220" s="346">
        <v>178</v>
      </c>
      <c r="H220" s="346">
        <v>4574</v>
      </c>
      <c r="I220" s="345">
        <v>4396</v>
      </c>
      <c r="J220" s="345">
        <v>20</v>
      </c>
      <c r="K220" s="347">
        <v>99.02</v>
      </c>
      <c r="L220" s="347">
        <v>97.51</v>
      </c>
      <c r="M220" s="347">
        <v>2.83</v>
      </c>
      <c r="N220" s="347">
        <v>101.35</v>
      </c>
      <c r="O220" s="348">
        <v>3178</v>
      </c>
      <c r="P220" s="345">
        <v>85.3</v>
      </c>
      <c r="Q220" s="345">
        <v>84.03</v>
      </c>
      <c r="R220" s="345">
        <v>31.69</v>
      </c>
      <c r="S220" s="345">
        <v>116.24</v>
      </c>
      <c r="T220" s="345">
        <v>675</v>
      </c>
      <c r="U220" s="345">
        <v>120.05</v>
      </c>
      <c r="V220" s="345">
        <v>368</v>
      </c>
      <c r="W220" s="345">
        <v>125.69</v>
      </c>
      <c r="X220" s="345">
        <v>24</v>
      </c>
      <c r="Y220" s="345">
        <v>0</v>
      </c>
      <c r="Z220" s="345">
        <v>5</v>
      </c>
      <c r="AA220" s="345">
        <v>0</v>
      </c>
      <c r="AB220" s="345">
        <v>30</v>
      </c>
      <c r="AC220" s="345">
        <v>7</v>
      </c>
      <c r="AD220" s="349">
        <v>3544</v>
      </c>
      <c r="AE220" s="349">
        <v>11</v>
      </c>
      <c r="AF220" s="349">
        <v>19</v>
      </c>
      <c r="AG220" s="349">
        <v>30</v>
      </c>
    </row>
    <row r="221" spans="1:33" x14ac:dyDescent="0.2">
      <c r="A221" s="344" t="s">
        <v>496</v>
      </c>
      <c r="B221" s="350" t="s">
        <v>497</v>
      </c>
      <c r="C221" s="346">
        <v>3320</v>
      </c>
      <c r="D221" s="346">
        <v>0</v>
      </c>
      <c r="E221" s="346">
        <v>370</v>
      </c>
      <c r="F221" s="346">
        <v>895</v>
      </c>
      <c r="G221" s="346">
        <v>303</v>
      </c>
      <c r="H221" s="346">
        <v>4888</v>
      </c>
      <c r="I221" s="345">
        <v>4585</v>
      </c>
      <c r="J221" s="345">
        <v>0</v>
      </c>
      <c r="K221" s="347">
        <v>83.38</v>
      </c>
      <c r="L221" s="347">
        <v>81.459999999999994</v>
      </c>
      <c r="M221" s="347">
        <v>7.69</v>
      </c>
      <c r="N221" s="347">
        <v>87.27</v>
      </c>
      <c r="O221" s="348">
        <v>2901</v>
      </c>
      <c r="P221" s="345">
        <v>83.89</v>
      </c>
      <c r="Q221" s="345">
        <v>74.94</v>
      </c>
      <c r="R221" s="345">
        <v>32.67</v>
      </c>
      <c r="S221" s="345">
        <v>112.89</v>
      </c>
      <c r="T221" s="345">
        <v>1221</v>
      </c>
      <c r="U221" s="345">
        <v>102.31</v>
      </c>
      <c r="V221" s="345">
        <v>309</v>
      </c>
      <c r="W221" s="345">
        <v>133.24</v>
      </c>
      <c r="X221" s="345">
        <v>31</v>
      </c>
      <c r="Y221" s="345">
        <v>0</v>
      </c>
      <c r="Z221" s="345">
        <v>1</v>
      </c>
      <c r="AA221" s="345">
        <v>20</v>
      </c>
      <c r="AB221" s="345">
        <v>17</v>
      </c>
      <c r="AC221" s="345">
        <v>2</v>
      </c>
      <c r="AD221" s="349">
        <v>3285</v>
      </c>
      <c r="AE221" s="349">
        <v>44</v>
      </c>
      <c r="AF221" s="349">
        <v>10</v>
      </c>
      <c r="AG221" s="349">
        <v>54</v>
      </c>
    </row>
    <row r="222" spans="1:33" x14ac:dyDescent="0.2">
      <c r="A222" s="344" t="s">
        <v>498</v>
      </c>
      <c r="B222" s="350" t="s">
        <v>499</v>
      </c>
      <c r="C222" s="346">
        <v>2230</v>
      </c>
      <c r="D222" s="346">
        <v>4</v>
      </c>
      <c r="E222" s="346">
        <v>49</v>
      </c>
      <c r="F222" s="346">
        <v>236</v>
      </c>
      <c r="G222" s="346">
        <v>490</v>
      </c>
      <c r="H222" s="346">
        <v>3009</v>
      </c>
      <c r="I222" s="345">
        <v>2519</v>
      </c>
      <c r="J222" s="345">
        <v>19</v>
      </c>
      <c r="K222" s="347">
        <v>99.97</v>
      </c>
      <c r="L222" s="347">
        <v>101.51</v>
      </c>
      <c r="M222" s="347">
        <v>4.42</v>
      </c>
      <c r="N222" s="347">
        <v>103.17</v>
      </c>
      <c r="O222" s="348">
        <v>2036</v>
      </c>
      <c r="P222" s="345">
        <v>84.15</v>
      </c>
      <c r="Q222" s="345">
        <v>87.19</v>
      </c>
      <c r="R222" s="345">
        <v>33.43</v>
      </c>
      <c r="S222" s="345">
        <v>115.52</v>
      </c>
      <c r="T222" s="345">
        <v>195</v>
      </c>
      <c r="U222" s="345">
        <v>114.7</v>
      </c>
      <c r="V222" s="345">
        <v>151</v>
      </c>
      <c r="W222" s="345">
        <v>190.17</v>
      </c>
      <c r="X222" s="345">
        <v>65</v>
      </c>
      <c r="Y222" s="345">
        <v>0</v>
      </c>
      <c r="Z222" s="345">
        <v>3</v>
      </c>
      <c r="AA222" s="345">
        <v>13</v>
      </c>
      <c r="AB222" s="345">
        <v>40</v>
      </c>
      <c r="AC222" s="345">
        <v>26</v>
      </c>
      <c r="AD222" s="349">
        <v>2193</v>
      </c>
      <c r="AE222" s="349">
        <v>10</v>
      </c>
      <c r="AF222" s="349">
        <v>12</v>
      </c>
      <c r="AG222" s="349">
        <v>22</v>
      </c>
    </row>
    <row r="223" spans="1:33" x14ac:dyDescent="0.2">
      <c r="A223" s="344" t="s">
        <v>500</v>
      </c>
      <c r="B223" s="350" t="s">
        <v>501</v>
      </c>
      <c r="C223" s="346">
        <v>1175</v>
      </c>
      <c r="D223" s="346">
        <v>23</v>
      </c>
      <c r="E223" s="346">
        <v>65</v>
      </c>
      <c r="F223" s="346">
        <v>285</v>
      </c>
      <c r="G223" s="346">
        <v>291</v>
      </c>
      <c r="H223" s="346">
        <v>1839</v>
      </c>
      <c r="I223" s="345">
        <v>1548</v>
      </c>
      <c r="J223" s="345">
        <v>11</v>
      </c>
      <c r="K223" s="347">
        <v>126.82</v>
      </c>
      <c r="L223" s="347">
        <v>120.77</v>
      </c>
      <c r="M223" s="347">
        <v>8.07</v>
      </c>
      <c r="N223" s="347">
        <v>133.05000000000001</v>
      </c>
      <c r="O223" s="348">
        <v>906</v>
      </c>
      <c r="P223" s="345">
        <v>115.39</v>
      </c>
      <c r="Q223" s="345">
        <v>107.72</v>
      </c>
      <c r="R223" s="345">
        <v>24.9</v>
      </c>
      <c r="S223" s="345">
        <v>139.11000000000001</v>
      </c>
      <c r="T223" s="345">
        <v>315</v>
      </c>
      <c r="U223" s="345">
        <v>193.08</v>
      </c>
      <c r="V223" s="345">
        <v>132</v>
      </c>
      <c r="W223" s="345">
        <v>142.35</v>
      </c>
      <c r="X223" s="345">
        <v>31</v>
      </c>
      <c r="Y223" s="345">
        <v>79</v>
      </c>
      <c r="Z223" s="345">
        <v>0</v>
      </c>
      <c r="AA223" s="345">
        <v>0</v>
      </c>
      <c r="AB223" s="345">
        <v>67</v>
      </c>
      <c r="AC223" s="345">
        <v>7</v>
      </c>
      <c r="AD223" s="349">
        <v>1126</v>
      </c>
      <c r="AE223" s="349">
        <v>5</v>
      </c>
      <c r="AF223" s="349">
        <v>1</v>
      </c>
      <c r="AG223" s="349">
        <v>6</v>
      </c>
    </row>
    <row r="224" spans="1:33" x14ac:dyDescent="0.2">
      <c r="A224" s="344" t="s">
        <v>502</v>
      </c>
      <c r="B224" s="350" t="s">
        <v>503</v>
      </c>
      <c r="C224" s="346">
        <v>2691</v>
      </c>
      <c r="D224" s="346">
        <v>0</v>
      </c>
      <c r="E224" s="346">
        <v>76</v>
      </c>
      <c r="F224" s="346">
        <v>1379</v>
      </c>
      <c r="G224" s="346">
        <v>261</v>
      </c>
      <c r="H224" s="346">
        <v>4407</v>
      </c>
      <c r="I224" s="345">
        <v>4146</v>
      </c>
      <c r="J224" s="345">
        <v>1</v>
      </c>
      <c r="K224" s="347">
        <v>97.93</v>
      </c>
      <c r="L224" s="347">
        <v>103.46</v>
      </c>
      <c r="M224" s="347">
        <v>4.24</v>
      </c>
      <c r="N224" s="347">
        <v>99.38</v>
      </c>
      <c r="O224" s="348">
        <v>2531</v>
      </c>
      <c r="P224" s="345">
        <v>92.83</v>
      </c>
      <c r="Q224" s="345">
        <v>92.73</v>
      </c>
      <c r="R224" s="345">
        <v>13.96</v>
      </c>
      <c r="S224" s="345">
        <v>104.54</v>
      </c>
      <c r="T224" s="345">
        <v>1422</v>
      </c>
      <c r="U224" s="345">
        <v>108.49</v>
      </c>
      <c r="V224" s="345">
        <v>114</v>
      </c>
      <c r="W224" s="345">
        <v>181.38</v>
      </c>
      <c r="X224" s="345">
        <v>3</v>
      </c>
      <c r="Y224" s="345">
        <v>0</v>
      </c>
      <c r="Z224" s="345">
        <v>2</v>
      </c>
      <c r="AA224" s="345">
        <v>1</v>
      </c>
      <c r="AB224" s="345">
        <v>9</v>
      </c>
      <c r="AC224" s="345">
        <v>18</v>
      </c>
      <c r="AD224" s="349">
        <v>2679</v>
      </c>
      <c r="AE224" s="349">
        <v>8</v>
      </c>
      <c r="AF224" s="349">
        <v>11</v>
      </c>
      <c r="AG224" s="349">
        <v>19</v>
      </c>
    </row>
    <row r="225" spans="1:33" x14ac:dyDescent="0.2">
      <c r="A225" s="344" t="s">
        <v>504</v>
      </c>
      <c r="B225" s="350" t="s">
        <v>505</v>
      </c>
      <c r="C225" s="346">
        <v>5193</v>
      </c>
      <c r="D225" s="346">
        <v>0</v>
      </c>
      <c r="E225" s="346">
        <v>181</v>
      </c>
      <c r="F225" s="346">
        <v>720</v>
      </c>
      <c r="G225" s="346">
        <v>573</v>
      </c>
      <c r="H225" s="346">
        <v>6667</v>
      </c>
      <c r="I225" s="345">
        <v>6094</v>
      </c>
      <c r="J225" s="345">
        <v>7</v>
      </c>
      <c r="K225" s="347">
        <v>113.86</v>
      </c>
      <c r="L225" s="347">
        <v>113.64</v>
      </c>
      <c r="M225" s="347">
        <v>7.93</v>
      </c>
      <c r="N225" s="347">
        <v>118.49</v>
      </c>
      <c r="O225" s="348">
        <v>4449</v>
      </c>
      <c r="P225" s="345">
        <v>92.95</v>
      </c>
      <c r="Q225" s="345">
        <v>94.37</v>
      </c>
      <c r="R225" s="345">
        <v>33.5</v>
      </c>
      <c r="S225" s="345">
        <v>125.13</v>
      </c>
      <c r="T225" s="345">
        <v>885</v>
      </c>
      <c r="U225" s="345">
        <v>145.93</v>
      </c>
      <c r="V225" s="345">
        <v>626</v>
      </c>
      <c r="W225" s="345">
        <v>123.59</v>
      </c>
      <c r="X225" s="345">
        <v>16</v>
      </c>
      <c r="Y225" s="345">
        <v>0</v>
      </c>
      <c r="Z225" s="345">
        <v>40</v>
      </c>
      <c r="AA225" s="345">
        <v>1</v>
      </c>
      <c r="AB225" s="345">
        <v>17</v>
      </c>
      <c r="AC225" s="345">
        <v>27</v>
      </c>
      <c r="AD225" s="349">
        <v>5172</v>
      </c>
      <c r="AE225" s="349">
        <v>4</v>
      </c>
      <c r="AF225" s="349">
        <v>52</v>
      </c>
      <c r="AG225" s="349">
        <v>56</v>
      </c>
    </row>
    <row r="226" spans="1:33" x14ac:dyDescent="0.2">
      <c r="A226" s="344" t="s">
        <v>506</v>
      </c>
      <c r="B226" s="350" t="s">
        <v>507</v>
      </c>
      <c r="C226" s="346">
        <v>1236</v>
      </c>
      <c r="D226" s="346">
        <v>0</v>
      </c>
      <c r="E226" s="346">
        <v>34</v>
      </c>
      <c r="F226" s="346">
        <v>563</v>
      </c>
      <c r="G226" s="346">
        <v>165</v>
      </c>
      <c r="H226" s="346">
        <v>1998</v>
      </c>
      <c r="I226" s="345">
        <v>1833</v>
      </c>
      <c r="J226" s="345">
        <v>5</v>
      </c>
      <c r="K226" s="347">
        <v>93.54</v>
      </c>
      <c r="L226" s="347">
        <v>101.92</v>
      </c>
      <c r="M226" s="347">
        <v>5.77</v>
      </c>
      <c r="N226" s="347">
        <v>95.59</v>
      </c>
      <c r="O226" s="348">
        <v>1105</v>
      </c>
      <c r="P226" s="345">
        <v>83</v>
      </c>
      <c r="Q226" s="345">
        <v>90.36</v>
      </c>
      <c r="R226" s="345">
        <v>22.3</v>
      </c>
      <c r="S226" s="345">
        <v>92.46</v>
      </c>
      <c r="T226" s="345">
        <v>495</v>
      </c>
      <c r="U226" s="345">
        <v>109.01</v>
      </c>
      <c r="V226" s="345">
        <v>96</v>
      </c>
      <c r="W226" s="345">
        <v>0</v>
      </c>
      <c r="X226" s="345">
        <v>0</v>
      </c>
      <c r="Y226" s="345">
        <v>0</v>
      </c>
      <c r="Z226" s="345">
        <v>4</v>
      </c>
      <c r="AA226" s="345">
        <v>0</v>
      </c>
      <c r="AB226" s="345">
        <v>31</v>
      </c>
      <c r="AC226" s="345">
        <v>4</v>
      </c>
      <c r="AD226" s="349">
        <v>1222</v>
      </c>
      <c r="AE226" s="349">
        <v>7</v>
      </c>
      <c r="AF226" s="349">
        <v>8</v>
      </c>
      <c r="AG226" s="349">
        <v>15</v>
      </c>
    </row>
    <row r="227" spans="1:33" x14ac:dyDescent="0.2">
      <c r="A227" s="344" t="s">
        <v>508</v>
      </c>
      <c r="B227" s="350" t="s">
        <v>509</v>
      </c>
      <c r="C227" s="346">
        <v>2052</v>
      </c>
      <c r="D227" s="346">
        <v>6</v>
      </c>
      <c r="E227" s="346">
        <v>39</v>
      </c>
      <c r="F227" s="346">
        <v>1058</v>
      </c>
      <c r="G227" s="346">
        <v>47</v>
      </c>
      <c r="H227" s="346">
        <v>3202</v>
      </c>
      <c r="I227" s="345">
        <v>3155</v>
      </c>
      <c r="J227" s="345">
        <v>11</v>
      </c>
      <c r="K227" s="347">
        <v>94.63</v>
      </c>
      <c r="L227" s="347">
        <v>90.79</v>
      </c>
      <c r="M227" s="347">
        <v>5.37</v>
      </c>
      <c r="N227" s="347">
        <v>96.11</v>
      </c>
      <c r="O227" s="348">
        <v>1540</v>
      </c>
      <c r="P227" s="345">
        <v>84.85</v>
      </c>
      <c r="Q227" s="345">
        <v>80.31</v>
      </c>
      <c r="R227" s="345">
        <v>15.02</v>
      </c>
      <c r="S227" s="345">
        <v>96.1</v>
      </c>
      <c r="T227" s="345">
        <v>773</v>
      </c>
      <c r="U227" s="345">
        <v>102.87</v>
      </c>
      <c r="V227" s="345">
        <v>453</v>
      </c>
      <c r="W227" s="345">
        <v>94.57</v>
      </c>
      <c r="X227" s="345">
        <v>308</v>
      </c>
      <c r="Y227" s="345">
        <v>0</v>
      </c>
      <c r="Z227" s="345">
        <v>5</v>
      </c>
      <c r="AA227" s="345">
        <v>8</v>
      </c>
      <c r="AB227" s="345">
        <v>0</v>
      </c>
      <c r="AC227" s="345">
        <v>0</v>
      </c>
      <c r="AD227" s="349">
        <v>2034</v>
      </c>
      <c r="AE227" s="349">
        <v>9</v>
      </c>
      <c r="AF227" s="349">
        <v>6</v>
      </c>
      <c r="AG227" s="349">
        <v>15</v>
      </c>
    </row>
    <row r="228" spans="1:33" x14ac:dyDescent="0.2">
      <c r="A228" s="344" t="s">
        <v>510</v>
      </c>
      <c r="B228" s="350" t="s">
        <v>511</v>
      </c>
      <c r="C228" s="346">
        <v>27247</v>
      </c>
      <c r="D228" s="346">
        <v>0</v>
      </c>
      <c r="E228" s="346">
        <v>1485</v>
      </c>
      <c r="F228" s="346">
        <v>1368</v>
      </c>
      <c r="G228" s="346">
        <v>245</v>
      </c>
      <c r="H228" s="346">
        <v>30345</v>
      </c>
      <c r="I228" s="345">
        <v>30100</v>
      </c>
      <c r="J228" s="345">
        <v>1493</v>
      </c>
      <c r="K228" s="347">
        <v>79.69</v>
      </c>
      <c r="L228" s="347">
        <v>80.27</v>
      </c>
      <c r="M228" s="347">
        <v>7.81</v>
      </c>
      <c r="N228" s="347">
        <v>83.2</v>
      </c>
      <c r="O228" s="348">
        <v>25759</v>
      </c>
      <c r="P228" s="345">
        <v>79.41</v>
      </c>
      <c r="Q228" s="345">
        <v>73.36</v>
      </c>
      <c r="R228" s="345">
        <v>33.5</v>
      </c>
      <c r="S228" s="345">
        <v>111.48</v>
      </c>
      <c r="T228" s="345">
        <v>2570</v>
      </c>
      <c r="U228" s="345">
        <v>106.62</v>
      </c>
      <c r="V228" s="345">
        <v>1301</v>
      </c>
      <c r="W228" s="345">
        <v>180.07</v>
      </c>
      <c r="X228" s="345">
        <v>66</v>
      </c>
      <c r="Y228" s="345">
        <v>37</v>
      </c>
      <c r="Z228" s="345">
        <v>149</v>
      </c>
      <c r="AA228" s="345">
        <v>20</v>
      </c>
      <c r="AB228" s="345">
        <v>23</v>
      </c>
      <c r="AC228" s="345">
        <v>11</v>
      </c>
      <c r="AD228" s="349">
        <v>27140</v>
      </c>
      <c r="AE228" s="349">
        <v>134</v>
      </c>
      <c r="AF228" s="349">
        <v>268</v>
      </c>
      <c r="AG228" s="349">
        <v>402</v>
      </c>
    </row>
    <row r="229" spans="1:33" x14ac:dyDescent="0.2">
      <c r="A229" s="344" t="s">
        <v>512</v>
      </c>
      <c r="B229" s="350" t="s">
        <v>513</v>
      </c>
      <c r="C229" s="346">
        <v>5537</v>
      </c>
      <c r="D229" s="346">
        <v>2</v>
      </c>
      <c r="E229" s="346">
        <v>458</v>
      </c>
      <c r="F229" s="346">
        <v>1081</v>
      </c>
      <c r="G229" s="346">
        <v>598</v>
      </c>
      <c r="H229" s="346">
        <v>7676</v>
      </c>
      <c r="I229" s="345">
        <v>7078</v>
      </c>
      <c r="J229" s="345">
        <v>22</v>
      </c>
      <c r="K229" s="347">
        <v>91.29</v>
      </c>
      <c r="L229" s="347">
        <v>90.94</v>
      </c>
      <c r="M229" s="347">
        <v>6.73</v>
      </c>
      <c r="N229" s="347">
        <v>96.48</v>
      </c>
      <c r="O229" s="348">
        <v>4496</v>
      </c>
      <c r="P229" s="345">
        <v>85.96</v>
      </c>
      <c r="Q229" s="345">
        <v>85.07</v>
      </c>
      <c r="R229" s="345">
        <v>41.95</v>
      </c>
      <c r="S229" s="345">
        <v>126.72</v>
      </c>
      <c r="T229" s="345">
        <v>1169</v>
      </c>
      <c r="U229" s="345">
        <v>130.16999999999999</v>
      </c>
      <c r="V229" s="345">
        <v>695</v>
      </c>
      <c r="W229" s="345">
        <v>159.4</v>
      </c>
      <c r="X229" s="345">
        <v>180</v>
      </c>
      <c r="Y229" s="345">
        <v>0</v>
      </c>
      <c r="Z229" s="345">
        <v>2</v>
      </c>
      <c r="AA229" s="345">
        <v>1</v>
      </c>
      <c r="AB229" s="345">
        <v>17</v>
      </c>
      <c r="AC229" s="345">
        <v>20</v>
      </c>
      <c r="AD229" s="349">
        <v>5342</v>
      </c>
      <c r="AE229" s="349">
        <v>25</v>
      </c>
      <c r="AF229" s="349">
        <v>19</v>
      </c>
      <c r="AG229" s="349">
        <v>44</v>
      </c>
    </row>
    <row r="230" spans="1:33" x14ac:dyDescent="0.2">
      <c r="A230" s="344" t="s">
        <v>514</v>
      </c>
      <c r="B230" s="350" t="s">
        <v>515</v>
      </c>
      <c r="C230" s="346">
        <v>5884</v>
      </c>
      <c r="D230" s="346">
        <v>21</v>
      </c>
      <c r="E230" s="346">
        <v>136</v>
      </c>
      <c r="F230" s="346">
        <v>600</v>
      </c>
      <c r="G230" s="346">
        <v>271</v>
      </c>
      <c r="H230" s="346">
        <v>6912</v>
      </c>
      <c r="I230" s="345">
        <v>6641</v>
      </c>
      <c r="J230" s="345">
        <v>39</v>
      </c>
      <c r="K230" s="347">
        <v>86.24</v>
      </c>
      <c r="L230" s="347">
        <v>86.19</v>
      </c>
      <c r="M230" s="347">
        <v>2.96</v>
      </c>
      <c r="N230" s="347">
        <v>87.39</v>
      </c>
      <c r="O230" s="348">
        <v>5607</v>
      </c>
      <c r="P230" s="345">
        <v>86.21</v>
      </c>
      <c r="Q230" s="345">
        <v>84</v>
      </c>
      <c r="R230" s="345">
        <v>28.03</v>
      </c>
      <c r="S230" s="345">
        <v>113.65</v>
      </c>
      <c r="T230" s="345">
        <v>610</v>
      </c>
      <c r="U230" s="345">
        <v>106.79</v>
      </c>
      <c r="V230" s="345">
        <v>289</v>
      </c>
      <c r="W230" s="345">
        <v>159.58000000000001</v>
      </c>
      <c r="X230" s="345">
        <v>64</v>
      </c>
      <c r="Y230" s="345">
        <v>0</v>
      </c>
      <c r="Z230" s="345">
        <v>14</v>
      </c>
      <c r="AA230" s="345">
        <v>1</v>
      </c>
      <c r="AB230" s="345">
        <v>17</v>
      </c>
      <c r="AC230" s="345">
        <v>3</v>
      </c>
      <c r="AD230" s="349">
        <v>5866</v>
      </c>
      <c r="AE230" s="349">
        <v>37</v>
      </c>
      <c r="AF230" s="349">
        <v>40</v>
      </c>
      <c r="AG230" s="349">
        <v>77</v>
      </c>
    </row>
    <row r="231" spans="1:33" x14ac:dyDescent="0.2">
      <c r="A231" s="344" t="s">
        <v>516</v>
      </c>
      <c r="B231" s="350" t="s">
        <v>517</v>
      </c>
      <c r="C231" s="346">
        <v>2720</v>
      </c>
      <c r="D231" s="346">
        <v>28</v>
      </c>
      <c r="E231" s="346">
        <v>245</v>
      </c>
      <c r="F231" s="346">
        <v>102</v>
      </c>
      <c r="G231" s="346">
        <v>213</v>
      </c>
      <c r="H231" s="346">
        <v>3308</v>
      </c>
      <c r="I231" s="345">
        <v>3095</v>
      </c>
      <c r="J231" s="345">
        <v>0</v>
      </c>
      <c r="K231" s="347">
        <v>94.5</v>
      </c>
      <c r="L231" s="347">
        <v>92.06</v>
      </c>
      <c r="M231" s="347">
        <v>4.13</v>
      </c>
      <c r="N231" s="347">
        <v>97.92</v>
      </c>
      <c r="O231" s="348">
        <v>1595</v>
      </c>
      <c r="P231" s="345">
        <v>74.81</v>
      </c>
      <c r="Q231" s="345">
        <v>71.459999999999994</v>
      </c>
      <c r="R231" s="345">
        <v>40.85</v>
      </c>
      <c r="S231" s="345">
        <v>113.84</v>
      </c>
      <c r="T231" s="345">
        <v>202</v>
      </c>
      <c r="U231" s="345">
        <v>113.01</v>
      </c>
      <c r="V231" s="345">
        <v>387</v>
      </c>
      <c r="W231" s="345">
        <v>0</v>
      </c>
      <c r="X231" s="345">
        <v>0</v>
      </c>
      <c r="Y231" s="345">
        <v>0</v>
      </c>
      <c r="Z231" s="345">
        <v>0</v>
      </c>
      <c r="AA231" s="345">
        <v>1</v>
      </c>
      <c r="AB231" s="345">
        <v>4</v>
      </c>
      <c r="AC231" s="345">
        <v>3</v>
      </c>
      <c r="AD231" s="349">
        <v>1910</v>
      </c>
      <c r="AE231" s="349">
        <v>26</v>
      </c>
      <c r="AF231" s="349">
        <v>1</v>
      </c>
      <c r="AG231" s="349">
        <v>27</v>
      </c>
    </row>
    <row r="232" spans="1:33" x14ac:dyDescent="0.2">
      <c r="A232" s="344" t="s">
        <v>518</v>
      </c>
      <c r="B232" s="350" t="s">
        <v>519</v>
      </c>
      <c r="C232" s="346">
        <v>15543</v>
      </c>
      <c r="D232" s="346">
        <v>0</v>
      </c>
      <c r="E232" s="346">
        <v>1531</v>
      </c>
      <c r="F232" s="346">
        <v>1589</v>
      </c>
      <c r="G232" s="346">
        <v>578</v>
      </c>
      <c r="H232" s="346">
        <v>19241</v>
      </c>
      <c r="I232" s="345">
        <v>18663</v>
      </c>
      <c r="J232" s="345">
        <v>71</v>
      </c>
      <c r="K232" s="347">
        <v>88.95</v>
      </c>
      <c r="L232" s="347">
        <v>89.02</v>
      </c>
      <c r="M232" s="347">
        <v>8.83</v>
      </c>
      <c r="N232" s="347">
        <v>92.16</v>
      </c>
      <c r="O232" s="348">
        <v>14504</v>
      </c>
      <c r="P232" s="345">
        <v>80.84</v>
      </c>
      <c r="Q232" s="345">
        <v>79.23</v>
      </c>
      <c r="R232" s="345">
        <v>31.58</v>
      </c>
      <c r="S232" s="345">
        <v>112.01</v>
      </c>
      <c r="T232" s="345">
        <v>2896</v>
      </c>
      <c r="U232" s="345">
        <v>100.43</v>
      </c>
      <c r="V232" s="345">
        <v>604</v>
      </c>
      <c r="W232" s="345">
        <v>0</v>
      </c>
      <c r="X232" s="345">
        <v>0</v>
      </c>
      <c r="Y232" s="345">
        <v>0</v>
      </c>
      <c r="Z232" s="345">
        <v>47</v>
      </c>
      <c r="AA232" s="345">
        <v>65</v>
      </c>
      <c r="AB232" s="345">
        <v>4</v>
      </c>
      <c r="AC232" s="345">
        <v>5</v>
      </c>
      <c r="AD232" s="349">
        <v>15181</v>
      </c>
      <c r="AE232" s="349">
        <v>117</v>
      </c>
      <c r="AF232" s="349">
        <v>144</v>
      </c>
      <c r="AG232" s="349">
        <v>261</v>
      </c>
    </row>
    <row r="233" spans="1:33" x14ac:dyDescent="0.2">
      <c r="A233" s="344" t="s">
        <v>520</v>
      </c>
      <c r="B233" s="350" t="s">
        <v>521</v>
      </c>
      <c r="C233" s="346">
        <v>1355</v>
      </c>
      <c r="D233" s="346">
        <v>0</v>
      </c>
      <c r="E233" s="346">
        <v>46</v>
      </c>
      <c r="F233" s="346">
        <v>193</v>
      </c>
      <c r="G233" s="346">
        <v>219</v>
      </c>
      <c r="H233" s="346">
        <v>1813</v>
      </c>
      <c r="I233" s="345">
        <v>1594</v>
      </c>
      <c r="J233" s="345">
        <v>5</v>
      </c>
      <c r="K233" s="347">
        <v>91.93</v>
      </c>
      <c r="L233" s="347">
        <v>90.33</v>
      </c>
      <c r="M233" s="347">
        <v>5.76</v>
      </c>
      <c r="N233" s="347">
        <v>95.8</v>
      </c>
      <c r="O233" s="348">
        <v>1144</v>
      </c>
      <c r="P233" s="345">
        <v>105.14</v>
      </c>
      <c r="Q233" s="345">
        <v>92.75</v>
      </c>
      <c r="R233" s="345">
        <v>49.51</v>
      </c>
      <c r="S233" s="345">
        <v>154.22</v>
      </c>
      <c r="T233" s="345">
        <v>234</v>
      </c>
      <c r="U233" s="345">
        <v>98.74</v>
      </c>
      <c r="V233" s="345">
        <v>97</v>
      </c>
      <c r="W233" s="345">
        <v>0</v>
      </c>
      <c r="X233" s="345">
        <v>0</v>
      </c>
      <c r="Y233" s="345">
        <v>0</v>
      </c>
      <c r="Z233" s="345">
        <v>1</v>
      </c>
      <c r="AA233" s="345">
        <v>2</v>
      </c>
      <c r="AB233" s="345">
        <v>15</v>
      </c>
      <c r="AC233" s="345">
        <v>2</v>
      </c>
      <c r="AD233" s="349">
        <v>1335</v>
      </c>
      <c r="AE233" s="349">
        <v>6</v>
      </c>
      <c r="AF233" s="349">
        <v>6</v>
      </c>
      <c r="AG233" s="349">
        <v>12</v>
      </c>
    </row>
    <row r="234" spans="1:33" x14ac:dyDescent="0.2">
      <c r="A234" s="344" t="s">
        <v>522</v>
      </c>
      <c r="B234" s="350" t="s">
        <v>523</v>
      </c>
      <c r="C234" s="346">
        <v>5303</v>
      </c>
      <c r="D234" s="346">
        <v>8</v>
      </c>
      <c r="E234" s="346">
        <v>89</v>
      </c>
      <c r="F234" s="346">
        <v>1125</v>
      </c>
      <c r="G234" s="346">
        <v>710</v>
      </c>
      <c r="H234" s="346">
        <v>7235</v>
      </c>
      <c r="I234" s="345">
        <v>6525</v>
      </c>
      <c r="J234" s="345">
        <v>142</v>
      </c>
      <c r="K234" s="347">
        <v>108.96</v>
      </c>
      <c r="L234" s="347">
        <v>106.8</v>
      </c>
      <c r="M234" s="347">
        <v>3.69</v>
      </c>
      <c r="N234" s="347">
        <v>111.31</v>
      </c>
      <c r="O234" s="348">
        <v>5098</v>
      </c>
      <c r="P234" s="345">
        <v>92.14</v>
      </c>
      <c r="Q234" s="345">
        <v>88.04</v>
      </c>
      <c r="R234" s="345">
        <v>21.64</v>
      </c>
      <c r="S234" s="345">
        <v>113.2</v>
      </c>
      <c r="T234" s="345">
        <v>1016</v>
      </c>
      <c r="U234" s="345">
        <v>148.52000000000001</v>
      </c>
      <c r="V234" s="345">
        <v>173</v>
      </c>
      <c r="W234" s="345">
        <v>123.97</v>
      </c>
      <c r="X234" s="345">
        <v>41</v>
      </c>
      <c r="Y234" s="345">
        <v>0</v>
      </c>
      <c r="Z234" s="345">
        <v>8</v>
      </c>
      <c r="AA234" s="345">
        <v>1</v>
      </c>
      <c r="AB234" s="345">
        <v>34</v>
      </c>
      <c r="AC234" s="345">
        <v>21</v>
      </c>
      <c r="AD234" s="349">
        <v>5288</v>
      </c>
      <c r="AE234" s="349">
        <v>6</v>
      </c>
      <c r="AF234" s="349">
        <v>6</v>
      </c>
      <c r="AG234" s="349">
        <v>12</v>
      </c>
    </row>
    <row r="235" spans="1:33" x14ac:dyDescent="0.2">
      <c r="A235" s="344" t="s">
        <v>524</v>
      </c>
      <c r="B235" s="350" t="s">
        <v>525</v>
      </c>
      <c r="C235" s="346">
        <v>15199</v>
      </c>
      <c r="D235" s="346">
        <v>57</v>
      </c>
      <c r="E235" s="346">
        <v>1131</v>
      </c>
      <c r="F235" s="346">
        <v>1250</v>
      </c>
      <c r="G235" s="346">
        <v>420</v>
      </c>
      <c r="H235" s="346">
        <v>18057</v>
      </c>
      <c r="I235" s="345">
        <v>17637</v>
      </c>
      <c r="J235" s="345">
        <v>3</v>
      </c>
      <c r="K235" s="347">
        <v>81.44</v>
      </c>
      <c r="L235" s="347">
        <v>80.84</v>
      </c>
      <c r="M235" s="347">
        <v>8.19</v>
      </c>
      <c r="N235" s="347">
        <v>84.04</v>
      </c>
      <c r="O235" s="348">
        <v>13589</v>
      </c>
      <c r="P235" s="345">
        <v>85.03</v>
      </c>
      <c r="Q235" s="345">
        <v>79.2</v>
      </c>
      <c r="R235" s="345">
        <v>47.1</v>
      </c>
      <c r="S235" s="345">
        <v>127.34</v>
      </c>
      <c r="T235" s="345">
        <v>2163</v>
      </c>
      <c r="U235" s="345">
        <v>96.83</v>
      </c>
      <c r="V235" s="345">
        <v>1381</v>
      </c>
      <c r="W235" s="345">
        <v>0</v>
      </c>
      <c r="X235" s="345">
        <v>0</v>
      </c>
      <c r="Y235" s="345">
        <v>5</v>
      </c>
      <c r="Z235" s="345">
        <v>71</v>
      </c>
      <c r="AA235" s="345">
        <v>53</v>
      </c>
      <c r="AB235" s="345">
        <v>23</v>
      </c>
      <c r="AC235" s="345">
        <v>6</v>
      </c>
      <c r="AD235" s="349">
        <v>15085</v>
      </c>
      <c r="AE235" s="349">
        <v>76</v>
      </c>
      <c r="AF235" s="349">
        <v>50</v>
      </c>
      <c r="AG235" s="349">
        <v>126</v>
      </c>
    </row>
    <row r="236" spans="1:33" x14ac:dyDescent="0.2">
      <c r="A236" s="344" t="s">
        <v>526</v>
      </c>
      <c r="B236" s="350" t="s">
        <v>527</v>
      </c>
      <c r="C236" s="346">
        <v>11463</v>
      </c>
      <c r="D236" s="346">
        <v>24</v>
      </c>
      <c r="E236" s="346">
        <v>216</v>
      </c>
      <c r="F236" s="346">
        <v>2138</v>
      </c>
      <c r="G236" s="346">
        <v>590</v>
      </c>
      <c r="H236" s="346">
        <v>14431</v>
      </c>
      <c r="I236" s="345">
        <v>13841</v>
      </c>
      <c r="J236" s="345">
        <v>9</v>
      </c>
      <c r="K236" s="347">
        <v>90.55</v>
      </c>
      <c r="L236" s="347">
        <v>90.2</v>
      </c>
      <c r="M236" s="347">
        <v>3.19</v>
      </c>
      <c r="N236" s="347">
        <v>92.24</v>
      </c>
      <c r="O236" s="348">
        <v>9951</v>
      </c>
      <c r="P236" s="345">
        <v>84.86</v>
      </c>
      <c r="Q236" s="345">
        <v>82.15</v>
      </c>
      <c r="R236" s="345">
        <v>17.23</v>
      </c>
      <c r="S236" s="345">
        <v>97.75</v>
      </c>
      <c r="T236" s="345">
        <v>2247</v>
      </c>
      <c r="U236" s="345">
        <v>108.11</v>
      </c>
      <c r="V236" s="345">
        <v>946</v>
      </c>
      <c r="W236" s="345">
        <v>111.15</v>
      </c>
      <c r="X236" s="345">
        <v>11</v>
      </c>
      <c r="Y236" s="345">
        <v>0</v>
      </c>
      <c r="Z236" s="345">
        <v>29</v>
      </c>
      <c r="AA236" s="345">
        <v>13</v>
      </c>
      <c r="AB236" s="345">
        <v>19</v>
      </c>
      <c r="AC236" s="345">
        <v>16</v>
      </c>
      <c r="AD236" s="349">
        <v>11016</v>
      </c>
      <c r="AE236" s="349">
        <v>46</v>
      </c>
      <c r="AF236" s="349">
        <v>99</v>
      </c>
      <c r="AG236" s="349">
        <v>145</v>
      </c>
    </row>
    <row r="237" spans="1:33" x14ac:dyDescent="0.2">
      <c r="A237" s="344" t="s">
        <v>528</v>
      </c>
      <c r="B237" s="350" t="s">
        <v>529</v>
      </c>
      <c r="C237" s="346">
        <v>3509</v>
      </c>
      <c r="D237" s="346">
        <v>30</v>
      </c>
      <c r="E237" s="346">
        <v>370</v>
      </c>
      <c r="F237" s="346">
        <v>228</v>
      </c>
      <c r="G237" s="346">
        <v>525</v>
      </c>
      <c r="H237" s="346">
        <v>4662</v>
      </c>
      <c r="I237" s="345">
        <v>4137</v>
      </c>
      <c r="J237" s="345">
        <v>12</v>
      </c>
      <c r="K237" s="347">
        <v>123.44</v>
      </c>
      <c r="L237" s="347">
        <v>121.98</v>
      </c>
      <c r="M237" s="347">
        <v>7.47</v>
      </c>
      <c r="N237" s="347">
        <v>129.96</v>
      </c>
      <c r="O237" s="348">
        <v>3131</v>
      </c>
      <c r="P237" s="345">
        <v>102.36</v>
      </c>
      <c r="Q237" s="345">
        <v>97.81</v>
      </c>
      <c r="R237" s="345">
        <v>38.83</v>
      </c>
      <c r="S237" s="345">
        <v>139.52000000000001</v>
      </c>
      <c r="T237" s="345">
        <v>511</v>
      </c>
      <c r="U237" s="345">
        <v>146.21</v>
      </c>
      <c r="V237" s="345">
        <v>142</v>
      </c>
      <c r="W237" s="345">
        <v>0</v>
      </c>
      <c r="X237" s="345">
        <v>0</v>
      </c>
      <c r="Y237" s="345">
        <v>11</v>
      </c>
      <c r="Z237" s="345">
        <v>9</v>
      </c>
      <c r="AA237" s="345">
        <v>0</v>
      </c>
      <c r="AB237" s="345">
        <v>55</v>
      </c>
      <c r="AC237" s="345">
        <v>16</v>
      </c>
      <c r="AD237" s="349">
        <v>3334</v>
      </c>
      <c r="AE237" s="349">
        <v>9</v>
      </c>
      <c r="AF237" s="349">
        <v>5</v>
      </c>
      <c r="AG237" s="349">
        <v>14</v>
      </c>
    </row>
    <row r="238" spans="1:33" x14ac:dyDescent="0.2">
      <c r="A238" s="344" t="s">
        <v>530</v>
      </c>
      <c r="B238" s="350" t="s">
        <v>531</v>
      </c>
      <c r="C238" s="346">
        <v>2158</v>
      </c>
      <c r="D238" s="346">
        <v>0</v>
      </c>
      <c r="E238" s="346">
        <v>228</v>
      </c>
      <c r="F238" s="346">
        <v>510</v>
      </c>
      <c r="G238" s="346">
        <v>510</v>
      </c>
      <c r="H238" s="346">
        <v>3406</v>
      </c>
      <c r="I238" s="345">
        <v>2896</v>
      </c>
      <c r="J238" s="345">
        <v>2</v>
      </c>
      <c r="K238" s="347">
        <v>102.87</v>
      </c>
      <c r="L238" s="347">
        <v>101.94</v>
      </c>
      <c r="M238" s="347">
        <v>4.9800000000000004</v>
      </c>
      <c r="N238" s="347">
        <v>106.62</v>
      </c>
      <c r="O238" s="348">
        <v>1738</v>
      </c>
      <c r="P238" s="345">
        <v>90.32</v>
      </c>
      <c r="Q238" s="345">
        <v>87.84</v>
      </c>
      <c r="R238" s="345">
        <v>53.2</v>
      </c>
      <c r="S238" s="345">
        <v>132.55000000000001</v>
      </c>
      <c r="T238" s="345">
        <v>514</v>
      </c>
      <c r="U238" s="345">
        <v>111.19</v>
      </c>
      <c r="V238" s="345">
        <v>384</v>
      </c>
      <c r="W238" s="345">
        <v>189.5</v>
      </c>
      <c r="X238" s="345">
        <v>33</v>
      </c>
      <c r="Y238" s="345">
        <v>0</v>
      </c>
      <c r="Z238" s="345">
        <v>2</v>
      </c>
      <c r="AA238" s="345">
        <v>0</v>
      </c>
      <c r="AB238" s="345">
        <v>48</v>
      </c>
      <c r="AC238" s="345">
        <v>18</v>
      </c>
      <c r="AD238" s="349">
        <v>2140</v>
      </c>
      <c r="AE238" s="349">
        <v>9</v>
      </c>
      <c r="AF238" s="349">
        <v>4</v>
      </c>
      <c r="AG238" s="349">
        <v>13</v>
      </c>
    </row>
    <row r="239" spans="1:33" x14ac:dyDescent="0.2">
      <c r="A239" s="344" t="s">
        <v>532</v>
      </c>
      <c r="B239" s="350" t="s">
        <v>533</v>
      </c>
      <c r="C239" s="346">
        <v>3891</v>
      </c>
      <c r="D239" s="346">
        <v>8</v>
      </c>
      <c r="E239" s="346">
        <v>389</v>
      </c>
      <c r="F239" s="346">
        <v>810</v>
      </c>
      <c r="G239" s="346">
        <v>386</v>
      </c>
      <c r="H239" s="346">
        <v>5484</v>
      </c>
      <c r="I239" s="345">
        <v>5098</v>
      </c>
      <c r="J239" s="345">
        <v>0</v>
      </c>
      <c r="K239" s="347">
        <v>98.53</v>
      </c>
      <c r="L239" s="347">
        <v>97.15</v>
      </c>
      <c r="M239" s="347">
        <v>3.99</v>
      </c>
      <c r="N239" s="347">
        <v>101.66</v>
      </c>
      <c r="O239" s="348">
        <v>3241</v>
      </c>
      <c r="P239" s="345">
        <v>88.82</v>
      </c>
      <c r="Q239" s="345">
        <v>87.66</v>
      </c>
      <c r="R239" s="345">
        <v>30.8</v>
      </c>
      <c r="S239" s="345">
        <v>118.82</v>
      </c>
      <c r="T239" s="345">
        <v>1036</v>
      </c>
      <c r="U239" s="345">
        <v>120.01</v>
      </c>
      <c r="V239" s="345">
        <v>266</v>
      </c>
      <c r="W239" s="345">
        <v>94.25</v>
      </c>
      <c r="X239" s="345">
        <v>1</v>
      </c>
      <c r="Y239" s="345">
        <v>0</v>
      </c>
      <c r="Z239" s="345">
        <v>4</v>
      </c>
      <c r="AA239" s="345">
        <v>6</v>
      </c>
      <c r="AB239" s="345">
        <v>46</v>
      </c>
      <c r="AC239" s="345">
        <v>3</v>
      </c>
      <c r="AD239" s="349">
        <v>3545</v>
      </c>
      <c r="AE239" s="349">
        <v>23</v>
      </c>
      <c r="AF239" s="349">
        <v>24</v>
      </c>
      <c r="AG239" s="349">
        <v>47</v>
      </c>
    </row>
    <row r="240" spans="1:33" x14ac:dyDescent="0.2">
      <c r="A240" s="344" t="s">
        <v>534</v>
      </c>
      <c r="B240" s="350" t="s">
        <v>535</v>
      </c>
      <c r="C240" s="346">
        <v>2990</v>
      </c>
      <c r="D240" s="346">
        <v>0</v>
      </c>
      <c r="E240" s="346">
        <v>291</v>
      </c>
      <c r="F240" s="346">
        <v>198</v>
      </c>
      <c r="G240" s="346">
        <v>1176</v>
      </c>
      <c r="H240" s="346">
        <v>4655</v>
      </c>
      <c r="I240" s="345">
        <v>3479</v>
      </c>
      <c r="J240" s="345">
        <v>7</v>
      </c>
      <c r="K240" s="347">
        <v>113.81</v>
      </c>
      <c r="L240" s="347">
        <v>114.75</v>
      </c>
      <c r="M240" s="347">
        <v>3.15</v>
      </c>
      <c r="N240" s="347">
        <v>116.21</v>
      </c>
      <c r="O240" s="348">
        <v>2192</v>
      </c>
      <c r="P240" s="345">
        <v>97.42</v>
      </c>
      <c r="Q240" s="345">
        <v>98.21</v>
      </c>
      <c r="R240" s="345">
        <v>58.51</v>
      </c>
      <c r="S240" s="345">
        <v>154.94</v>
      </c>
      <c r="T240" s="345">
        <v>238</v>
      </c>
      <c r="U240" s="345">
        <v>149.47999999999999</v>
      </c>
      <c r="V240" s="345">
        <v>365</v>
      </c>
      <c r="W240" s="345">
        <v>172.02</v>
      </c>
      <c r="X240" s="345">
        <v>30</v>
      </c>
      <c r="Y240" s="345">
        <v>0</v>
      </c>
      <c r="Z240" s="345">
        <v>1</v>
      </c>
      <c r="AA240" s="345">
        <v>1</v>
      </c>
      <c r="AB240" s="345">
        <v>47</v>
      </c>
      <c r="AC240" s="345">
        <v>34</v>
      </c>
      <c r="AD240" s="349">
        <v>2715</v>
      </c>
      <c r="AE240" s="349">
        <v>6</v>
      </c>
      <c r="AF240" s="349">
        <v>0</v>
      </c>
      <c r="AG240" s="349">
        <v>6</v>
      </c>
    </row>
    <row r="241" spans="1:33" x14ac:dyDescent="0.2">
      <c r="A241" s="344" t="s">
        <v>536</v>
      </c>
      <c r="B241" s="350" t="s">
        <v>537</v>
      </c>
      <c r="C241" s="346">
        <v>906</v>
      </c>
      <c r="D241" s="346">
        <v>0</v>
      </c>
      <c r="E241" s="346">
        <v>116</v>
      </c>
      <c r="F241" s="346">
        <v>37</v>
      </c>
      <c r="G241" s="346">
        <v>161</v>
      </c>
      <c r="H241" s="346">
        <v>1220</v>
      </c>
      <c r="I241" s="345">
        <v>1059</v>
      </c>
      <c r="J241" s="345">
        <v>0</v>
      </c>
      <c r="K241" s="347">
        <v>95.5</v>
      </c>
      <c r="L241" s="347">
        <v>94.9</v>
      </c>
      <c r="M241" s="347">
        <v>4.24</v>
      </c>
      <c r="N241" s="347">
        <v>98.42</v>
      </c>
      <c r="O241" s="348">
        <v>835</v>
      </c>
      <c r="P241" s="345">
        <v>100.31</v>
      </c>
      <c r="Q241" s="345">
        <v>85.06</v>
      </c>
      <c r="R241" s="345">
        <v>55.67</v>
      </c>
      <c r="S241" s="345">
        <v>152.58000000000001</v>
      </c>
      <c r="T241" s="345">
        <v>131</v>
      </c>
      <c r="U241" s="345">
        <v>100.73</v>
      </c>
      <c r="V241" s="345">
        <v>118</v>
      </c>
      <c r="W241" s="345">
        <v>192.26</v>
      </c>
      <c r="X241" s="345">
        <v>18</v>
      </c>
      <c r="Y241" s="345">
        <v>0</v>
      </c>
      <c r="Z241" s="345">
        <v>2</v>
      </c>
      <c r="AA241" s="345">
        <v>0</v>
      </c>
      <c r="AB241" s="345">
        <v>18</v>
      </c>
      <c r="AC241" s="345">
        <v>5</v>
      </c>
      <c r="AD241" s="349">
        <v>897</v>
      </c>
      <c r="AE241" s="349">
        <v>27</v>
      </c>
      <c r="AF241" s="349">
        <v>4</v>
      </c>
      <c r="AG241" s="349">
        <v>31</v>
      </c>
    </row>
    <row r="242" spans="1:33" x14ac:dyDescent="0.2">
      <c r="A242" s="344" t="s">
        <v>538</v>
      </c>
      <c r="B242" s="350" t="s">
        <v>539</v>
      </c>
      <c r="C242" s="346">
        <v>9897</v>
      </c>
      <c r="D242" s="346">
        <v>0</v>
      </c>
      <c r="E242" s="346">
        <v>283</v>
      </c>
      <c r="F242" s="346">
        <v>1840</v>
      </c>
      <c r="G242" s="346">
        <v>541</v>
      </c>
      <c r="H242" s="346">
        <v>12561</v>
      </c>
      <c r="I242" s="345">
        <v>12020</v>
      </c>
      <c r="J242" s="345">
        <v>2</v>
      </c>
      <c r="K242" s="347">
        <v>98.7</v>
      </c>
      <c r="L242" s="347">
        <v>100.43</v>
      </c>
      <c r="M242" s="347">
        <v>4.2</v>
      </c>
      <c r="N242" s="347">
        <v>100.92</v>
      </c>
      <c r="O242" s="348">
        <v>9166</v>
      </c>
      <c r="P242" s="345">
        <v>86.38</v>
      </c>
      <c r="Q242" s="345">
        <v>84.74</v>
      </c>
      <c r="R242" s="345">
        <v>19.21</v>
      </c>
      <c r="S242" s="345">
        <v>104.52</v>
      </c>
      <c r="T242" s="345">
        <v>1948</v>
      </c>
      <c r="U242" s="345">
        <v>127.46</v>
      </c>
      <c r="V242" s="345">
        <v>332</v>
      </c>
      <c r="W242" s="345">
        <v>187.97</v>
      </c>
      <c r="X242" s="345">
        <v>81</v>
      </c>
      <c r="Y242" s="345">
        <v>39</v>
      </c>
      <c r="Z242" s="345">
        <v>28</v>
      </c>
      <c r="AA242" s="345">
        <v>2</v>
      </c>
      <c r="AB242" s="345">
        <v>83</v>
      </c>
      <c r="AC242" s="345">
        <v>7</v>
      </c>
      <c r="AD242" s="349">
        <v>9564</v>
      </c>
      <c r="AE242" s="349">
        <v>74</v>
      </c>
      <c r="AF242" s="349">
        <v>58</v>
      </c>
      <c r="AG242" s="349">
        <v>132</v>
      </c>
    </row>
    <row r="243" spans="1:33" x14ac:dyDescent="0.2">
      <c r="A243" s="344" t="s">
        <v>540</v>
      </c>
      <c r="B243" s="350" t="s">
        <v>541</v>
      </c>
      <c r="C243" s="346">
        <v>3499</v>
      </c>
      <c r="D243" s="346">
        <v>0</v>
      </c>
      <c r="E243" s="346">
        <v>67</v>
      </c>
      <c r="F243" s="346">
        <v>826</v>
      </c>
      <c r="G243" s="346">
        <v>414</v>
      </c>
      <c r="H243" s="346">
        <v>4806</v>
      </c>
      <c r="I243" s="345">
        <v>4392</v>
      </c>
      <c r="J243" s="345">
        <v>3</v>
      </c>
      <c r="K243" s="347">
        <v>96.39</v>
      </c>
      <c r="L243" s="347">
        <v>93.42</v>
      </c>
      <c r="M243" s="347">
        <v>2.37</v>
      </c>
      <c r="N243" s="347">
        <v>98.66</v>
      </c>
      <c r="O243" s="348">
        <v>3119</v>
      </c>
      <c r="P243" s="345">
        <v>83.11</v>
      </c>
      <c r="Q243" s="345">
        <v>77.569999999999993</v>
      </c>
      <c r="R243" s="345">
        <v>23.83</v>
      </c>
      <c r="S243" s="345">
        <v>106.51</v>
      </c>
      <c r="T243" s="345">
        <v>779</v>
      </c>
      <c r="U243" s="345">
        <v>122.92</v>
      </c>
      <c r="V243" s="345">
        <v>179</v>
      </c>
      <c r="W243" s="345">
        <v>99.13</v>
      </c>
      <c r="X243" s="345">
        <v>4</v>
      </c>
      <c r="Y243" s="345">
        <v>6</v>
      </c>
      <c r="Z243" s="345">
        <v>6</v>
      </c>
      <c r="AA243" s="345">
        <v>4</v>
      </c>
      <c r="AB243" s="345">
        <v>22</v>
      </c>
      <c r="AC243" s="345">
        <v>11</v>
      </c>
      <c r="AD243" s="349">
        <v>3305</v>
      </c>
      <c r="AE243" s="349">
        <v>2</v>
      </c>
      <c r="AF243" s="349">
        <v>15</v>
      </c>
      <c r="AG243" s="349">
        <v>17</v>
      </c>
    </row>
    <row r="244" spans="1:33" x14ac:dyDescent="0.2">
      <c r="A244" s="344" t="s">
        <v>542</v>
      </c>
      <c r="B244" s="350" t="s">
        <v>543</v>
      </c>
      <c r="C244" s="346">
        <v>935</v>
      </c>
      <c r="D244" s="346">
        <v>0</v>
      </c>
      <c r="E244" s="346">
        <v>83</v>
      </c>
      <c r="F244" s="346">
        <v>0</v>
      </c>
      <c r="G244" s="346">
        <v>203</v>
      </c>
      <c r="H244" s="346">
        <v>1221</v>
      </c>
      <c r="I244" s="345">
        <v>1018</v>
      </c>
      <c r="J244" s="345">
        <v>0</v>
      </c>
      <c r="K244" s="347">
        <v>87.4</v>
      </c>
      <c r="L244" s="347">
        <v>88.67</v>
      </c>
      <c r="M244" s="347">
        <v>3.98</v>
      </c>
      <c r="N244" s="347">
        <v>90.58</v>
      </c>
      <c r="O244" s="348">
        <v>755</v>
      </c>
      <c r="P244" s="345">
        <v>110.97</v>
      </c>
      <c r="Q244" s="345">
        <v>60.76</v>
      </c>
      <c r="R244" s="345">
        <v>25.28</v>
      </c>
      <c r="S244" s="345">
        <v>136.25</v>
      </c>
      <c r="T244" s="345">
        <v>35</v>
      </c>
      <c r="U244" s="345">
        <v>108.66</v>
      </c>
      <c r="V244" s="345">
        <v>95</v>
      </c>
      <c r="W244" s="345">
        <v>0</v>
      </c>
      <c r="X244" s="345">
        <v>0</v>
      </c>
      <c r="Y244" s="345">
        <v>29</v>
      </c>
      <c r="Z244" s="345">
        <v>0</v>
      </c>
      <c r="AA244" s="345">
        <v>1</v>
      </c>
      <c r="AB244" s="345">
        <v>7</v>
      </c>
      <c r="AC244" s="345">
        <v>5</v>
      </c>
      <c r="AD244" s="349">
        <v>870</v>
      </c>
      <c r="AE244" s="349">
        <v>0</v>
      </c>
      <c r="AF244" s="349">
        <v>37</v>
      </c>
      <c r="AG244" s="349">
        <v>37</v>
      </c>
    </row>
    <row r="245" spans="1:33" x14ac:dyDescent="0.2">
      <c r="A245" s="344" t="s">
        <v>544</v>
      </c>
      <c r="B245" s="350" t="s">
        <v>545</v>
      </c>
      <c r="C245" s="346">
        <v>1557</v>
      </c>
      <c r="D245" s="346">
        <v>0</v>
      </c>
      <c r="E245" s="346">
        <v>186</v>
      </c>
      <c r="F245" s="346">
        <v>352</v>
      </c>
      <c r="G245" s="346">
        <v>440</v>
      </c>
      <c r="H245" s="346">
        <v>2535</v>
      </c>
      <c r="I245" s="345">
        <v>2095</v>
      </c>
      <c r="J245" s="345">
        <v>14</v>
      </c>
      <c r="K245" s="347">
        <v>90.16</v>
      </c>
      <c r="L245" s="347">
        <v>90.17</v>
      </c>
      <c r="M245" s="347">
        <v>5.2</v>
      </c>
      <c r="N245" s="347">
        <v>94.57</v>
      </c>
      <c r="O245" s="348">
        <v>1247</v>
      </c>
      <c r="P245" s="345">
        <v>95.32</v>
      </c>
      <c r="Q245" s="345">
        <v>74.05</v>
      </c>
      <c r="R245" s="345">
        <v>43.63</v>
      </c>
      <c r="S245" s="345">
        <v>133.63999999999999</v>
      </c>
      <c r="T245" s="345">
        <v>387</v>
      </c>
      <c r="U245" s="345">
        <v>103.62</v>
      </c>
      <c r="V245" s="345">
        <v>106</v>
      </c>
      <c r="W245" s="345">
        <v>113.13</v>
      </c>
      <c r="X245" s="345">
        <v>21</v>
      </c>
      <c r="Y245" s="345">
        <v>0</v>
      </c>
      <c r="Z245" s="345">
        <v>0</v>
      </c>
      <c r="AA245" s="345">
        <v>2</v>
      </c>
      <c r="AB245" s="345">
        <v>25</v>
      </c>
      <c r="AC245" s="345">
        <v>10</v>
      </c>
      <c r="AD245" s="349">
        <v>1502</v>
      </c>
      <c r="AE245" s="349">
        <v>3</v>
      </c>
      <c r="AF245" s="349">
        <v>1</v>
      </c>
      <c r="AG245" s="349">
        <v>4</v>
      </c>
    </row>
    <row r="246" spans="1:33" x14ac:dyDescent="0.2">
      <c r="A246" s="344" t="s">
        <v>546</v>
      </c>
      <c r="B246" s="350" t="s">
        <v>547</v>
      </c>
      <c r="C246" s="346">
        <v>3791</v>
      </c>
      <c r="D246" s="346">
        <v>66</v>
      </c>
      <c r="E246" s="346">
        <v>195</v>
      </c>
      <c r="F246" s="346">
        <v>613</v>
      </c>
      <c r="G246" s="346">
        <v>109</v>
      </c>
      <c r="H246" s="346">
        <v>4774</v>
      </c>
      <c r="I246" s="345">
        <v>4665</v>
      </c>
      <c r="J246" s="345">
        <v>124</v>
      </c>
      <c r="K246" s="347">
        <v>93.81</v>
      </c>
      <c r="L246" s="347">
        <v>94.86</v>
      </c>
      <c r="M246" s="347">
        <v>4.7699999999999996</v>
      </c>
      <c r="N246" s="347">
        <v>95</v>
      </c>
      <c r="O246" s="348">
        <v>3594</v>
      </c>
      <c r="P246" s="345">
        <v>79.92</v>
      </c>
      <c r="Q246" s="345">
        <v>83.35</v>
      </c>
      <c r="R246" s="345">
        <v>38.549999999999997</v>
      </c>
      <c r="S246" s="345">
        <v>116.59</v>
      </c>
      <c r="T246" s="345">
        <v>696</v>
      </c>
      <c r="U246" s="345">
        <v>115.77</v>
      </c>
      <c r="V246" s="345">
        <v>226</v>
      </c>
      <c r="W246" s="345">
        <v>204.66</v>
      </c>
      <c r="X246" s="345">
        <v>8</v>
      </c>
      <c r="Y246" s="345">
        <v>0</v>
      </c>
      <c r="Z246" s="345">
        <v>40</v>
      </c>
      <c r="AA246" s="345">
        <v>13</v>
      </c>
      <c r="AB246" s="345">
        <v>0</v>
      </c>
      <c r="AC246" s="345">
        <v>1</v>
      </c>
      <c r="AD246" s="349">
        <v>3756</v>
      </c>
      <c r="AE246" s="349">
        <v>21</v>
      </c>
      <c r="AF246" s="349">
        <v>6</v>
      </c>
      <c r="AG246" s="349">
        <v>27</v>
      </c>
    </row>
    <row r="247" spans="1:33" x14ac:dyDescent="0.2">
      <c r="A247" s="344" t="s">
        <v>548</v>
      </c>
      <c r="B247" s="350" t="s">
        <v>549</v>
      </c>
      <c r="C247" s="346">
        <v>5703</v>
      </c>
      <c r="D247" s="346">
        <v>0</v>
      </c>
      <c r="E247" s="346">
        <v>209</v>
      </c>
      <c r="F247" s="346">
        <v>926</v>
      </c>
      <c r="G247" s="346">
        <v>494</v>
      </c>
      <c r="H247" s="346">
        <v>7332</v>
      </c>
      <c r="I247" s="345">
        <v>6838</v>
      </c>
      <c r="J247" s="345">
        <v>9</v>
      </c>
      <c r="K247" s="347">
        <v>90.3</v>
      </c>
      <c r="L247" s="347">
        <v>92.13</v>
      </c>
      <c r="M247" s="347">
        <v>4.6399999999999997</v>
      </c>
      <c r="N247" s="347">
        <v>91.39</v>
      </c>
      <c r="O247" s="348">
        <v>4741</v>
      </c>
      <c r="P247" s="345">
        <v>87.46</v>
      </c>
      <c r="Q247" s="345">
        <v>82.38</v>
      </c>
      <c r="R247" s="345">
        <v>28.76</v>
      </c>
      <c r="S247" s="345">
        <v>116.22</v>
      </c>
      <c r="T247" s="345">
        <v>1104</v>
      </c>
      <c r="U247" s="345">
        <v>113.54</v>
      </c>
      <c r="V247" s="345">
        <v>873</v>
      </c>
      <c r="W247" s="345">
        <v>0</v>
      </c>
      <c r="X247" s="345">
        <v>0</v>
      </c>
      <c r="Y247" s="345">
        <v>0</v>
      </c>
      <c r="Z247" s="345">
        <v>10</v>
      </c>
      <c r="AA247" s="345">
        <v>5</v>
      </c>
      <c r="AB247" s="345">
        <v>2</v>
      </c>
      <c r="AC247" s="345">
        <v>16</v>
      </c>
      <c r="AD247" s="349">
        <v>5703</v>
      </c>
      <c r="AE247" s="349">
        <v>15</v>
      </c>
      <c r="AF247" s="349">
        <v>21</v>
      </c>
      <c r="AG247" s="349">
        <v>36</v>
      </c>
    </row>
    <row r="248" spans="1:33" x14ac:dyDescent="0.2">
      <c r="A248" s="344" t="s">
        <v>550</v>
      </c>
      <c r="B248" s="350" t="s">
        <v>551</v>
      </c>
      <c r="C248" s="346">
        <v>5615</v>
      </c>
      <c r="D248" s="346">
        <v>0</v>
      </c>
      <c r="E248" s="346">
        <v>183</v>
      </c>
      <c r="F248" s="346">
        <v>914</v>
      </c>
      <c r="G248" s="346">
        <v>565</v>
      </c>
      <c r="H248" s="346">
        <v>7277</v>
      </c>
      <c r="I248" s="345">
        <v>6712</v>
      </c>
      <c r="J248" s="345">
        <v>0</v>
      </c>
      <c r="K248" s="347">
        <v>113.36</v>
      </c>
      <c r="L248" s="347">
        <v>113.03</v>
      </c>
      <c r="M248" s="347">
        <v>4.26</v>
      </c>
      <c r="N248" s="347">
        <v>114.71</v>
      </c>
      <c r="O248" s="348">
        <v>5217</v>
      </c>
      <c r="P248" s="345">
        <v>94.11</v>
      </c>
      <c r="Q248" s="345">
        <v>90.8</v>
      </c>
      <c r="R248" s="345">
        <v>20.059999999999999</v>
      </c>
      <c r="S248" s="345">
        <v>111.67</v>
      </c>
      <c r="T248" s="345">
        <v>932</v>
      </c>
      <c r="U248" s="345">
        <v>159.19999999999999</v>
      </c>
      <c r="V248" s="345">
        <v>245</v>
      </c>
      <c r="W248" s="345">
        <v>165.4</v>
      </c>
      <c r="X248" s="345">
        <v>38</v>
      </c>
      <c r="Y248" s="345">
        <v>0</v>
      </c>
      <c r="Z248" s="345">
        <v>4</v>
      </c>
      <c r="AA248" s="345">
        <v>10</v>
      </c>
      <c r="AB248" s="345">
        <v>60</v>
      </c>
      <c r="AC248" s="345">
        <v>19</v>
      </c>
      <c r="AD248" s="349">
        <v>5500</v>
      </c>
      <c r="AE248" s="349">
        <v>26</v>
      </c>
      <c r="AF248" s="349">
        <v>17</v>
      </c>
      <c r="AG248" s="349">
        <v>43</v>
      </c>
    </row>
    <row r="249" spans="1:33" x14ac:dyDescent="0.2">
      <c r="A249" s="344" t="s">
        <v>552</v>
      </c>
      <c r="B249" s="350" t="s">
        <v>553</v>
      </c>
      <c r="C249" s="346">
        <v>3798</v>
      </c>
      <c r="D249" s="346">
        <v>6</v>
      </c>
      <c r="E249" s="346">
        <v>195</v>
      </c>
      <c r="F249" s="346">
        <v>1123</v>
      </c>
      <c r="G249" s="346">
        <v>256</v>
      </c>
      <c r="H249" s="346">
        <v>5378</v>
      </c>
      <c r="I249" s="345">
        <v>5122</v>
      </c>
      <c r="J249" s="345">
        <v>85</v>
      </c>
      <c r="K249" s="347">
        <v>89.5</v>
      </c>
      <c r="L249" s="347">
        <v>89.94</v>
      </c>
      <c r="M249" s="347">
        <v>2.72</v>
      </c>
      <c r="N249" s="347">
        <v>92.12</v>
      </c>
      <c r="O249" s="348">
        <v>3550</v>
      </c>
      <c r="P249" s="345">
        <v>87.74</v>
      </c>
      <c r="Q249" s="345">
        <v>81.31</v>
      </c>
      <c r="R249" s="345">
        <v>23.35</v>
      </c>
      <c r="S249" s="345">
        <v>111.03</v>
      </c>
      <c r="T249" s="345">
        <v>1291</v>
      </c>
      <c r="U249" s="345">
        <v>102.58</v>
      </c>
      <c r="V249" s="345">
        <v>243</v>
      </c>
      <c r="W249" s="345">
        <v>76</v>
      </c>
      <c r="X249" s="345">
        <v>1</v>
      </c>
      <c r="Y249" s="345">
        <v>0</v>
      </c>
      <c r="Z249" s="345">
        <v>4</v>
      </c>
      <c r="AA249" s="345">
        <v>1</v>
      </c>
      <c r="AB249" s="345">
        <v>11</v>
      </c>
      <c r="AC249" s="345">
        <v>4</v>
      </c>
      <c r="AD249" s="349">
        <v>3798</v>
      </c>
      <c r="AE249" s="349">
        <v>21</v>
      </c>
      <c r="AF249" s="349">
        <v>4</v>
      </c>
      <c r="AG249" s="349">
        <v>25</v>
      </c>
    </row>
    <row r="250" spans="1:33" x14ac:dyDescent="0.2">
      <c r="A250" s="344" t="s">
        <v>554</v>
      </c>
      <c r="B250" s="350" t="s">
        <v>555</v>
      </c>
      <c r="C250" s="346">
        <v>9029</v>
      </c>
      <c r="D250" s="346">
        <v>22</v>
      </c>
      <c r="E250" s="346">
        <v>331</v>
      </c>
      <c r="F250" s="346">
        <v>1702</v>
      </c>
      <c r="G250" s="346">
        <v>588</v>
      </c>
      <c r="H250" s="346">
        <v>11672</v>
      </c>
      <c r="I250" s="345">
        <v>11084</v>
      </c>
      <c r="J250" s="345">
        <v>1</v>
      </c>
      <c r="K250" s="347">
        <v>94.56</v>
      </c>
      <c r="L250" s="347">
        <v>90.6</v>
      </c>
      <c r="M250" s="347">
        <v>4.33</v>
      </c>
      <c r="N250" s="347">
        <v>95.86</v>
      </c>
      <c r="O250" s="348">
        <v>8300</v>
      </c>
      <c r="P250" s="345">
        <v>85.93</v>
      </c>
      <c r="Q250" s="345">
        <v>78.7</v>
      </c>
      <c r="R250" s="345">
        <v>28.36</v>
      </c>
      <c r="S250" s="345">
        <v>113.91</v>
      </c>
      <c r="T250" s="345">
        <v>2009</v>
      </c>
      <c r="U250" s="345">
        <v>114.13</v>
      </c>
      <c r="V250" s="345">
        <v>435</v>
      </c>
      <c r="W250" s="345">
        <v>111.03</v>
      </c>
      <c r="X250" s="345">
        <v>15</v>
      </c>
      <c r="Y250" s="345">
        <v>1</v>
      </c>
      <c r="Z250" s="345">
        <v>23</v>
      </c>
      <c r="AA250" s="345">
        <v>25</v>
      </c>
      <c r="AB250" s="345">
        <v>27</v>
      </c>
      <c r="AC250" s="345">
        <v>12</v>
      </c>
      <c r="AD250" s="349">
        <v>8930</v>
      </c>
      <c r="AE250" s="349">
        <v>40</v>
      </c>
      <c r="AF250" s="349">
        <v>33</v>
      </c>
      <c r="AG250" s="349">
        <v>73</v>
      </c>
    </row>
    <row r="251" spans="1:33" x14ac:dyDescent="0.2">
      <c r="A251" s="344" t="s">
        <v>556</v>
      </c>
      <c r="B251" s="350" t="s">
        <v>557</v>
      </c>
      <c r="C251" s="346">
        <v>4354</v>
      </c>
      <c r="D251" s="346">
        <v>0</v>
      </c>
      <c r="E251" s="346">
        <v>798</v>
      </c>
      <c r="F251" s="346">
        <v>1373</v>
      </c>
      <c r="G251" s="346">
        <v>209</v>
      </c>
      <c r="H251" s="346">
        <v>6734</v>
      </c>
      <c r="I251" s="345">
        <v>6525</v>
      </c>
      <c r="J251" s="345">
        <v>4</v>
      </c>
      <c r="K251" s="347">
        <v>90.74</v>
      </c>
      <c r="L251" s="347">
        <v>89.95</v>
      </c>
      <c r="M251" s="347">
        <v>2.5099999999999998</v>
      </c>
      <c r="N251" s="347">
        <v>91.57</v>
      </c>
      <c r="O251" s="348">
        <v>4292</v>
      </c>
      <c r="P251" s="345">
        <v>85.86</v>
      </c>
      <c r="Q251" s="345">
        <v>85.44</v>
      </c>
      <c r="R251" s="345">
        <v>22.44</v>
      </c>
      <c r="S251" s="345">
        <v>94.76</v>
      </c>
      <c r="T251" s="345">
        <v>2055</v>
      </c>
      <c r="U251" s="345">
        <v>108.21</v>
      </c>
      <c r="V251" s="345">
        <v>47</v>
      </c>
      <c r="W251" s="345">
        <v>152.59</v>
      </c>
      <c r="X251" s="345">
        <v>108</v>
      </c>
      <c r="Y251" s="345">
        <v>0</v>
      </c>
      <c r="Z251" s="345">
        <v>24</v>
      </c>
      <c r="AA251" s="345">
        <v>4</v>
      </c>
      <c r="AB251" s="345">
        <v>12</v>
      </c>
      <c r="AC251" s="345">
        <v>0</v>
      </c>
      <c r="AD251" s="349">
        <v>4354</v>
      </c>
      <c r="AE251" s="349">
        <v>16</v>
      </c>
      <c r="AF251" s="349">
        <v>6</v>
      </c>
      <c r="AG251" s="349">
        <v>22</v>
      </c>
    </row>
    <row r="252" spans="1:33" x14ac:dyDescent="0.2">
      <c r="A252" s="344" t="s">
        <v>558</v>
      </c>
      <c r="B252" s="350" t="s">
        <v>559</v>
      </c>
      <c r="C252" s="346">
        <v>3617</v>
      </c>
      <c r="D252" s="346">
        <v>6</v>
      </c>
      <c r="E252" s="346">
        <v>378</v>
      </c>
      <c r="F252" s="346">
        <v>754</v>
      </c>
      <c r="G252" s="346">
        <v>238</v>
      </c>
      <c r="H252" s="346">
        <v>4993</v>
      </c>
      <c r="I252" s="345">
        <v>4755</v>
      </c>
      <c r="J252" s="345">
        <v>79</v>
      </c>
      <c r="K252" s="347">
        <v>81.53</v>
      </c>
      <c r="L252" s="347">
        <v>82.9</v>
      </c>
      <c r="M252" s="347">
        <v>3.62</v>
      </c>
      <c r="N252" s="347">
        <v>83.99</v>
      </c>
      <c r="O252" s="348">
        <v>3179</v>
      </c>
      <c r="P252" s="345">
        <v>83.23</v>
      </c>
      <c r="Q252" s="345">
        <v>77.09</v>
      </c>
      <c r="R252" s="345">
        <v>45.34</v>
      </c>
      <c r="S252" s="345">
        <v>127.45</v>
      </c>
      <c r="T252" s="345">
        <v>973</v>
      </c>
      <c r="U252" s="345">
        <v>96.91</v>
      </c>
      <c r="V252" s="345">
        <v>352</v>
      </c>
      <c r="W252" s="345">
        <v>107.9</v>
      </c>
      <c r="X252" s="345">
        <v>84</v>
      </c>
      <c r="Y252" s="345">
        <v>0</v>
      </c>
      <c r="Z252" s="345">
        <v>3</v>
      </c>
      <c r="AA252" s="345">
        <v>5</v>
      </c>
      <c r="AB252" s="345">
        <v>0</v>
      </c>
      <c r="AC252" s="345">
        <v>3</v>
      </c>
      <c r="AD252" s="349">
        <v>3513</v>
      </c>
      <c r="AE252" s="349">
        <v>58</v>
      </c>
      <c r="AF252" s="349">
        <v>20</v>
      </c>
      <c r="AG252" s="349">
        <v>78</v>
      </c>
    </row>
    <row r="253" spans="1:33" x14ac:dyDescent="0.2">
      <c r="A253" s="344" t="s">
        <v>560</v>
      </c>
      <c r="B253" s="350" t="s">
        <v>561</v>
      </c>
      <c r="C253" s="346">
        <v>5653</v>
      </c>
      <c r="D253" s="346">
        <v>31</v>
      </c>
      <c r="E253" s="346">
        <v>942</v>
      </c>
      <c r="F253" s="346">
        <v>1022</v>
      </c>
      <c r="G253" s="346">
        <v>970</v>
      </c>
      <c r="H253" s="346">
        <v>8618</v>
      </c>
      <c r="I253" s="345">
        <v>7648</v>
      </c>
      <c r="J253" s="345">
        <v>3</v>
      </c>
      <c r="K253" s="347">
        <v>108.04</v>
      </c>
      <c r="L253" s="347">
        <v>107.5</v>
      </c>
      <c r="M253" s="347">
        <v>6.34</v>
      </c>
      <c r="N253" s="347">
        <v>113.72</v>
      </c>
      <c r="O253" s="348">
        <v>4534</v>
      </c>
      <c r="P253" s="345">
        <v>93.19</v>
      </c>
      <c r="Q253" s="345">
        <v>89.24</v>
      </c>
      <c r="R253" s="345">
        <v>35.31</v>
      </c>
      <c r="S253" s="345">
        <v>126.3</v>
      </c>
      <c r="T253" s="345">
        <v>1729</v>
      </c>
      <c r="U253" s="345">
        <v>143.22</v>
      </c>
      <c r="V253" s="345">
        <v>668</v>
      </c>
      <c r="W253" s="345">
        <v>0</v>
      </c>
      <c r="X253" s="345">
        <v>0</v>
      </c>
      <c r="Y253" s="345">
        <v>92</v>
      </c>
      <c r="Z253" s="345">
        <v>62</v>
      </c>
      <c r="AA253" s="345">
        <v>45</v>
      </c>
      <c r="AB253" s="345">
        <v>63</v>
      </c>
      <c r="AC253" s="345">
        <v>54</v>
      </c>
      <c r="AD253" s="349">
        <v>5534</v>
      </c>
      <c r="AE253" s="349">
        <v>43</v>
      </c>
      <c r="AF253" s="349">
        <v>37</v>
      </c>
      <c r="AG253" s="349">
        <v>80</v>
      </c>
    </row>
    <row r="254" spans="1:33" x14ac:dyDescent="0.2">
      <c r="A254" s="344" t="s">
        <v>562</v>
      </c>
      <c r="B254" s="350" t="s">
        <v>563</v>
      </c>
      <c r="C254" s="346">
        <v>2699</v>
      </c>
      <c r="D254" s="346">
        <v>0</v>
      </c>
      <c r="E254" s="346">
        <v>408</v>
      </c>
      <c r="F254" s="346">
        <v>325</v>
      </c>
      <c r="G254" s="346">
        <v>268</v>
      </c>
      <c r="H254" s="346">
        <v>3700</v>
      </c>
      <c r="I254" s="345">
        <v>3432</v>
      </c>
      <c r="J254" s="345">
        <v>2</v>
      </c>
      <c r="K254" s="347">
        <v>99.6</v>
      </c>
      <c r="L254" s="347">
        <v>97.98</v>
      </c>
      <c r="M254" s="347">
        <v>11.04</v>
      </c>
      <c r="N254" s="347">
        <v>108.55</v>
      </c>
      <c r="O254" s="348">
        <v>2471</v>
      </c>
      <c r="P254" s="345">
        <v>90.56</v>
      </c>
      <c r="Q254" s="345">
        <v>88.69</v>
      </c>
      <c r="R254" s="345">
        <v>55.68</v>
      </c>
      <c r="S254" s="345">
        <v>144.68</v>
      </c>
      <c r="T254" s="345">
        <v>502</v>
      </c>
      <c r="U254" s="345">
        <v>153.13999999999999</v>
      </c>
      <c r="V254" s="345">
        <v>212</v>
      </c>
      <c r="W254" s="345">
        <v>0</v>
      </c>
      <c r="X254" s="345">
        <v>0</v>
      </c>
      <c r="Y254" s="345">
        <v>11</v>
      </c>
      <c r="Z254" s="345">
        <v>1</v>
      </c>
      <c r="AA254" s="345">
        <v>17</v>
      </c>
      <c r="AB254" s="345">
        <v>2</v>
      </c>
      <c r="AC254" s="345">
        <v>9</v>
      </c>
      <c r="AD254" s="349">
        <v>2699</v>
      </c>
      <c r="AE254" s="349">
        <v>14</v>
      </c>
      <c r="AF254" s="349">
        <v>3</v>
      </c>
      <c r="AG254" s="349">
        <v>17</v>
      </c>
    </row>
    <row r="255" spans="1:33" x14ac:dyDescent="0.2">
      <c r="A255" s="344" t="s">
        <v>564</v>
      </c>
      <c r="B255" s="350" t="s">
        <v>565</v>
      </c>
      <c r="C255" s="346">
        <v>14447</v>
      </c>
      <c r="D255" s="346">
        <v>106</v>
      </c>
      <c r="E255" s="346">
        <v>1606</v>
      </c>
      <c r="F255" s="346">
        <v>597</v>
      </c>
      <c r="G255" s="346">
        <v>2556</v>
      </c>
      <c r="H255" s="346">
        <v>19312</v>
      </c>
      <c r="I255" s="345">
        <v>16756</v>
      </c>
      <c r="J255" s="345">
        <v>30</v>
      </c>
      <c r="K255" s="347">
        <v>123.58</v>
      </c>
      <c r="L255" s="347">
        <v>127.69</v>
      </c>
      <c r="M255" s="347">
        <v>10.93</v>
      </c>
      <c r="N255" s="347">
        <v>132.07</v>
      </c>
      <c r="O255" s="348">
        <v>11849</v>
      </c>
      <c r="P255" s="345">
        <v>106.38</v>
      </c>
      <c r="Q255" s="345">
        <v>105.72</v>
      </c>
      <c r="R255" s="345">
        <v>49.83</v>
      </c>
      <c r="S255" s="345">
        <v>151.93</v>
      </c>
      <c r="T255" s="345">
        <v>2024</v>
      </c>
      <c r="U255" s="345">
        <v>205.19</v>
      </c>
      <c r="V255" s="345">
        <v>790</v>
      </c>
      <c r="W255" s="345">
        <v>203.1</v>
      </c>
      <c r="X255" s="345">
        <v>22</v>
      </c>
      <c r="Y255" s="345">
        <v>5</v>
      </c>
      <c r="Z255" s="345">
        <v>26</v>
      </c>
      <c r="AA255" s="345">
        <v>19</v>
      </c>
      <c r="AB255" s="345">
        <v>291</v>
      </c>
      <c r="AC255" s="345">
        <v>93</v>
      </c>
      <c r="AD255" s="349">
        <v>13576</v>
      </c>
      <c r="AE255" s="349">
        <v>75</v>
      </c>
      <c r="AF255" s="349">
        <v>56</v>
      </c>
      <c r="AG255" s="349">
        <v>131</v>
      </c>
    </row>
    <row r="256" spans="1:33" x14ac:dyDescent="0.2">
      <c r="A256" s="344" t="s">
        <v>566</v>
      </c>
      <c r="B256" s="350" t="s">
        <v>567</v>
      </c>
      <c r="C256" s="345">
        <v>4908</v>
      </c>
      <c r="D256" s="345">
        <v>0</v>
      </c>
      <c r="E256" s="345">
        <v>115</v>
      </c>
      <c r="F256" s="345">
        <v>313</v>
      </c>
      <c r="G256" s="345">
        <v>428</v>
      </c>
      <c r="H256" s="345">
        <v>5764</v>
      </c>
      <c r="I256" s="345">
        <v>5336</v>
      </c>
      <c r="J256" s="345">
        <v>25</v>
      </c>
      <c r="K256" s="345">
        <v>119.25</v>
      </c>
      <c r="L256" s="347">
        <v>114.59</v>
      </c>
      <c r="M256" s="347">
        <v>5.45</v>
      </c>
      <c r="N256" s="347">
        <v>123.84</v>
      </c>
      <c r="O256" s="348">
        <v>4820</v>
      </c>
      <c r="P256" s="345">
        <v>109.39</v>
      </c>
      <c r="Q256" s="345">
        <v>103.64</v>
      </c>
      <c r="R256" s="345">
        <v>70</v>
      </c>
      <c r="S256" s="345">
        <v>176.44</v>
      </c>
      <c r="T256" s="345">
        <v>357</v>
      </c>
      <c r="U256" s="345">
        <v>218.62</v>
      </c>
      <c r="V256" s="345">
        <v>77</v>
      </c>
      <c r="W256" s="345">
        <v>135.83000000000001</v>
      </c>
      <c r="X256" s="345">
        <v>6</v>
      </c>
      <c r="Y256" s="345">
        <v>1</v>
      </c>
      <c r="Z256" s="345">
        <v>2</v>
      </c>
      <c r="AA256" s="345">
        <v>0</v>
      </c>
      <c r="AB256" s="345">
        <v>52</v>
      </c>
      <c r="AC256" s="345">
        <v>18</v>
      </c>
      <c r="AD256" s="345">
        <v>4899</v>
      </c>
      <c r="AE256" s="345">
        <v>7</v>
      </c>
      <c r="AF256" s="345">
        <v>19</v>
      </c>
      <c r="AG256" s="345">
        <v>26</v>
      </c>
    </row>
    <row r="257" spans="1:33" x14ac:dyDescent="0.2">
      <c r="A257" s="344" t="s">
        <v>568</v>
      </c>
      <c r="B257" s="350" t="s">
        <v>569</v>
      </c>
      <c r="C257" s="345">
        <v>1944</v>
      </c>
      <c r="D257" s="345">
        <v>8</v>
      </c>
      <c r="E257" s="345">
        <v>228</v>
      </c>
      <c r="F257" s="345">
        <v>192</v>
      </c>
      <c r="G257" s="345">
        <v>200</v>
      </c>
      <c r="H257" s="345">
        <v>2572</v>
      </c>
      <c r="I257" s="345">
        <v>2372</v>
      </c>
      <c r="J257" s="345">
        <v>3</v>
      </c>
      <c r="K257" s="345">
        <v>123.85</v>
      </c>
      <c r="L257" s="347">
        <v>119.7</v>
      </c>
      <c r="M257" s="347">
        <v>6.62</v>
      </c>
      <c r="N257" s="347">
        <v>129.69</v>
      </c>
      <c r="O257" s="348">
        <v>1593</v>
      </c>
      <c r="P257" s="345">
        <v>103.64</v>
      </c>
      <c r="Q257" s="345">
        <v>100.46</v>
      </c>
      <c r="R257" s="345">
        <v>34.799999999999997</v>
      </c>
      <c r="S257" s="345">
        <v>136.01</v>
      </c>
      <c r="T257" s="345">
        <v>344</v>
      </c>
      <c r="U257" s="345">
        <v>187.8</v>
      </c>
      <c r="V257" s="345">
        <v>141</v>
      </c>
      <c r="W257" s="345">
        <v>192.71</v>
      </c>
      <c r="X257" s="345">
        <v>39</v>
      </c>
      <c r="Y257" s="345">
        <v>0</v>
      </c>
      <c r="Z257" s="345">
        <v>0</v>
      </c>
      <c r="AA257" s="345">
        <v>6</v>
      </c>
      <c r="AB257" s="345">
        <v>4</v>
      </c>
      <c r="AC257" s="345">
        <v>23</v>
      </c>
      <c r="AD257" s="345">
        <v>1939</v>
      </c>
      <c r="AE257" s="345">
        <v>29</v>
      </c>
      <c r="AF257" s="345">
        <v>5</v>
      </c>
      <c r="AG257" s="345">
        <v>34</v>
      </c>
    </row>
    <row r="258" spans="1:33" x14ac:dyDescent="0.2">
      <c r="A258" s="344" t="s">
        <v>570</v>
      </c>
      <c r="B258" s="350" t="s">
        <v>571</v>
      </c>
      <c r="C258" s="345">
        <v>14683</v>
      </c>
      <c r="D258" s="345">
        <v>2</v>
      </c>
      <c r="E258" s="345">
        <v>643</v>
      </c>
      <c r="F258" s="345">
        <v>2074</v>
      </c>
      <c r="G258" s="345">
        <v>483</v>
      </c>
      <c r="H258" s="345">
        <v>17885</v>
      </c>
      <c r="I258" s="345">
        <v>17402</v>
      </c>
      <c r="J258" s="345">
        <v>3</v>
      </c>
      <c r="K258" s="345">
        <v>90.88</v>
      </c>
      <c r="L258" s="347">
        <v>88.06</v>
      </c>
      <c r="M258" s="347">
        <v>1.76</v>
      </c>
      <c r="N258" s="347">
        <v>92.46</v>
      </c>
      <c r="O258" s="348">
        <v>13799</v>
      </c>
      <c r="P258" s="345">
        <v>87.93</v>
      </c>
      <c r="Q258" s="345">
        <v>83.05</v>
      </c>
      <c r="R258" s="345">
        <v>28.38</v>
      </c>
      <c r="S258" s="345">
        <v>115.41</v>
      </c>
      <c r="T258" s="345">
        <v>2447</v>
      </c>
      <c r="U258" s="345">
        <v>102.86</v>
      </c>
      <c r="V258" s="345">
        <v>811</v>
      </c>
      <c r="W258" s="345">
        <v>106.14</v>
      </c>
      <c r="X258" s="345">
        <v>2</v>
      </c>
      <c r="Y258" s="345">
        <v>0</v>
      </c>
      <c r="Z258" s="345">
        <v>62</v>
      </c>
      <c r="AA258" s="345">
        <v>38</v>
      </c>
      <c r="AB258" s="345">
        <v>23</v>
      </c>
      <c r="AC258" s="345">
        <v>5</v>
      </c>
      <c r="AD258" s="345">
        <v>14638</v>
      </c>
      <c r="AE258" s="345">
        <v>157</v>
      </c>
      <c r="AF258" s="345">
        <v>117</v>
      </c>
      <c r="AG258" s="345">
        <v>274</v>
      </c>
    </row>
    <row r="259" spans="1:33" x14ac:dyDescent="0.2">
      <c r="A259" s="344" t="s">
        <v>572</v>
      </c>
      <c r="B259" s="350" t="s">
        <v>573</v>
      </c>
      <c r="C259" s="346">
        <v>5780</v>
      </c>
      <c r="D259" s="346">
        <v>0</v>
      </c>
      <c r="E259" s="346">
        <v>247</v>
      </c>
      <c r="F259" s="346">
        <v>1629</v>
      </c>
      <c r="G259" s="346">
        <v>253</v>
      </c>
      <c r="H259" s="346">
        <v>7909</v>
      </c>
      <c r="I259" s="345">
        <v>7656</v>
      </c>
      <c r="J259" s="345">
        <v>0</v>
      </c>
      <c r="K259" s="347">
        <v>84.77</v>
      </c>
      <c r="L259" s="347">
        <v>85.59</v>
      </c>
      <c r="M259" s="347">
        <v>3.81</v>
      </c>
      <c r="N259" s="347">
        <v>86.8</v>
      </c>
      <c r="O259" s="348">
        <v>5455</v>
      </c>
      <c r="P259" s="345">
        <v>75.72</v>
      </c>
      <c r="Q259" s="345">
        <v>76.14</v>
      </c>
      <c r="R259" s="345">
        <v>15.71</v>
      </c>
      <c r="S259" s="345">
        <v>90.3</v>
      </c>
      <c r="T259" s="345">
        <v>1705</v>
      </c>
      <c r="U259" s="345">
        <v>106.86</v>
      </c>
      <c r="V259" s="345">
        <v>318</v>
      </c>
      <c r="W259" s="345">
        <v>161.28</v>
      </c>
      <c r="X259" s="345">
        <v>126</v>
      </c>
      <c r="Y259" s="345">
        <v>67</v>
      </c>
      <c r="Z259" s="345">
        <v>6</v>
      </c>
      <c r="AA259" s="345">
        <v>3</v>
      </c>
      <c r="AB259" s="345">
        <v>29</v>
      </c>
      <c r="AC259" s="345">
        <v>9</v>
      </c>
      <c r="AD259" s="349">
        <v>5780</v>
      </c>
      <c r="AE259" s="349">
        <v>21</v>
      </c>
      <c r="AF259" s="349">
        <v>6</v>
      </c>
      <c r="AG259" s="349">
        <v>27</v>
      </c>
    </row>
    <row r="260" spans="1:33" x14ac:dyDescent="0.2">
      <c r="A260" s="344" t="s">
        <v>574</v>
      </c>
      <c r="B260" s="350" t="s">
        <v>575</v>
      </c>
      <c r="C260" s="346">
        <v>2589</v>
      </c>
      <c r="D260" s="346">
        <v>0</v>
      </c>
      <c r="E260" s="346">
        <v>123</v>
      </c>
      <c r="F260" s="346">
        <v>931</v>
      </c>
      <c r="G260" s="346">
        <v>69</v>
      </c>
      <c r="H260" s="346">
        <v>3712</v>
      </c>
      <c r="I260" s="345">
        <v>3643</v>
      </c>
      <c r="J260" s="345">
        <v>10</v>
      </c>
      <c r="K260" s="347">
        <v>88.05</v>
      </c>
      <c r="L260" s="347">
        <v>89.12</v>
      </c>
      <c r="M260" s="347">
        <v>5</v>
      </c>
      <c r="N260" s="347">
        <v>89.1</v>
      </c>
      <c r="O260" s="348">
        <v>2344</v>
      </c>
      <c r="P260" s="345">
        <v>82.9</v>
      </c>
      <c r="Q260" s="345">
        <v>83.28</v>
      </c>
      <c r="R260" s="345">
        <v>17.22</v>
      </c>
      <c r="S260" s="345">
        <v>99.56</v>
      </c>
      <c r="T260" s="345">
        <v>939</v>
      </c>
      <c r="U260" s="345">
        <v>96.36</v>
      </c>
      <c r="V260" s="345">
        <v>181</v>
      </c>
      <c r="W260" s="345">
        <v>137.30000000000001</v>
      </c>
      <c r="X260" s="345">
        <v>63</v>
      </c>
      <c r="Y260" s="345">
        <v>0</v>
      </c>
      <c r="Z260" s="345">
        <v>8</v>
      </c>
      <c r="AA260" s="345">
        <v>2</v>
      </c>
      <c r="AB260" s="345">
        <v>4</v>
      </c>
      <c r="AC260" s="345">
        <v>0</v>
      </c>
      <c r="AD260" s="349">
        <v>2430</v>
      </c>
      <c r="AE260" s="349">
        <v>22</v>
      </c>
      <c r="AF260" s="349">
        <v>6</v>
      </c>
      <c r="AG260" s="349">
        <v>28</v>
      </c>
    </row>
    <row r="261" spans="1:33" x14ac:dyDescent="0.2">
      <c r="A261" s="344" t="s">
        <v>576</v>
      </c>
      <c r="B261" s="350" t="s">
        <v>577</v>
      </c>
      <c r="C261" s="346">
        <v>1656</v>
      </c>
      <c r="D261" s="346">
        <v>0</v>
      </c>
      <c r="E261" s="346">
        <v>144</v>
      </c>
      <c r="F261" s="346">
        <v>311</v>
      </c>
      <c r="G261" s="346">
        <v>315</v>
      </c>
      <c r="H261" s="346">
        <v>2426</v>
      </c>
      <c r="I261" s="345">
        <v>2111</v>
      </c>
      <c r="J261" s="345">
        <v>11</v>
      </c>
      <c r="K261" s="347">
        <v>116.07</v>
      </c>
      <c r="L261" s="347">
        <v>117.46</v>
      </c>
      <c r="M261" s="347">
        <v>6.97</v>
      </c>
      <c r="N261" s="347">
        <v>122.09</v>
      </c>
      <c r="O261" s="348">
        <v>1397</v>
      </c>
      <c r="P261" s="345">
        <v>94.71</v>
      </c>
      <c r="Q261" s="345">
        <v>90.73</v>
      </c>
      <c r="R261" s="345">
        <v>33.29</v>
      </c>
      <c r="S261" s="345">
        <v>128</v>
      </c>
      <c r="T261" s="345">
        <v>384</v>
      </c>
      <c r="U261" s="345">
        <v>131.93</v>
      </c>
      <c r="V261" s="345">
        <v>108</v>
      </c>
      <c r="W261" s="345">
        <v>0</v>
      </c>
      <c r="X261" s="345">
        <v>0</v>
      </c>
      <c r="Y261" s="345">
        <v>0</v>
      </c>
      <c r="Z261" s="345">
        <v>0</v>
      </c>
      <c r="AA261" s="345">
        <v>0</v>
      </c>
      <c r="AB261" s="345">
        <v>8</v>
      </c>
      <c r="AC261" s="345">
        <v>10</v>
      </c>
      <c r="AD261" s="349">
        <v>1526</v>
      </c>
      <c r="AE261" s="349">
        <v>12</v>
      </c>
      <c r="AF261" s="349">
        <v>2</v>
      </c>
      <c r="AG261" s="349">
        <v>14</v>
      </c>
    </row>
    <row r="262" spans="1:33" x14ac:dyDescent="0.2">
      <c r="A262" s="344" t="s">
        <v>578</v>
      </c>
      <c r="B262" s="350" t="s">
        <v>579</v>
      </c>
      <c r="C262" s="346">
        <v>4281</v>
      </c>
      <c r="D262" s="346">
        <v>4</v>
      </c>
      <c r="E262" s="346">
        <v>421</v>
      </c>
      <c r="F262" s="346">
        <v>1450</v>
      </c>
      <c r="G262" s="346">
        <v>962</v>
      </c>
      <c r="H262" s="346">
        <v>7118</v>
      </c>
      <c r="I262" s="345">
        <v>6156</v>
      </c>
      <c r="J262" s="345">
        <v>5</v>
      </c>
      <c r="K262" s="347">
        <v>84.91</v>
      </c>
      <c r="L262" s="347">
        <v>85.53</v>
      </c>
      <c r="M262" s="347">
        <v>6.79</v>
      </c>
      <c r="N262" s="347">
        <v>88.64</v>
      </c>
      <c r="O262" s="348">
        <v>3664</v>
      </c>
      <c r="P262" s="345">
        <v>84.36</v>
      </c>
      <c r="Q262" s="345">
        <v>79.569999999999993</v>
      </c>
      <c r="R262" s="345">
        <v>26.23</v>
      </c>
      <c r="S262" s="345">
        <v>109.77</v>
      </c>
      <c r="T262" s="345">
        <v>1779</v>
      </c>
      <c r="U262" s="345">
        <v>111.33</v>
      </c>
      <c r="V262" s="345">
        <v>413</v>
      </c>
      <c r="W262" s="345">
        <v>145.82</v>
      </c>
      <c r="X262" s="345">
        <v>59</v>
      </c>
      <c r="Y262" s="345">
        <v>0</v>
      </c>
      <c r="Z262" s="345">
        <v>9</v>
      </c>
      <c r="AA262" s="345">
        <v>10</v>
      </c>
      <c r="AB262" s="345">
        <v>34</v>
      </c>
      <c r="AC262" s="345">
        <v>10</v>
      </c>
      <c r="AD262" s="349">
        <v>4016</v>
      </c>
      <c r="AE262" s="349">
        <v>27</v>
      </c>
      <c r="AF262" s="349">
        <v>8</v>
      </c>
      <c r="AG262" s="349">
        <v>35</v>
      </c>
    </row>
    <row r="263" spans="1:33" x14ac:dyDescent="0.2">
      <c r="A263" s="344" t="s">
        <v>580</v>
      </c>
      <c r="B263" s="350" t="s">
        <v>581</v>
      </c>
      <c r="C263" s="346">
        <v>12791</v>
      </c>
      <c r="D263" s="346">
        <v>4</v>
      </c>
      <c r="E263" s="346">
        <v>243</v>
      </c>
      <c r="F263" s="346">
        <v>839</v>
      </c>
      <c r="G263" s="346">
        <v>162</v>
      </c>
      <c r="H263" s="346">
        <v>14039</v>
      </c>
      <c r="I263" s="345">
        <v>13877</v>
      </c>
      <c r="J263" s="345">
        <v>18</v>
      </c>
      <c r="K263" s="347">
        <v>82.7</v>
      </c>
      <c r="L263" s="347">
        <v>88.65</v>
      </c>
      <c r="M263" s="347">
        <v>7.22</v>
      </c>
      <c r="N263" s="347">
        <v>84.69</v>
      </c>
      <c r="O263" s="348">
        <v>11320</v>
      </c>
      <c r="P263" s="345">
        <v>84.02</v>
      </c>
      <c r="Q263" s="345">
        <v>79.010000000000005</v>
      </c>
      <c r="R263" s="345">
        <v>39.33</v>
      </c>
      <c r="S263" s="345">
        <v>123.16</v>
      </c>
      <c r="T263" s="345">
        <v>1023</v>
      </c>
      <c r="U263" s="345">
        <v>98.23</v>
      </c>
      <c r="V263" s="345">
        <v>1413</v>
      </c>
      <c r="W263" s="345">
        <v>216.88</v>
      </c>
      <c r="X263" s="345">
        <v>32</v>
      </c>
      <c r="Y263" s="345">
        <v>0</v>
      </c>
      <c r="Z263" s="345">
        <v>45</v>
      </c>
      <c r="AA263" s="345">
        <v>2</v>
      </c>
      <c r="AB263" s="345">
        <v>15</v>
      </c>
      <c r="AC263" s="345">
        <v>1</v>
      </c>
      <c r="AD263" s="349">
        <v>12791</v>
      </c>
      <c r="AE263" s="349">
        <v>215</v>
      </c>
      <c r="AF263" s="349">
        <v>136</v>
      </c>
      <c r="AG263" s="349">
        <v>351</v>
      </c>
    </row>
    <row r="264" spans="1:33" x14ac:dyDescent="0.2">
      <c r="A264" s="344" t="s">
        <v>582</v>
      </c>
      <c r="B264" s="350" t="s">
        <v>583</v>
      </c>
      <c r="C264" s="346">
        <v>5936</v>
      </c>
      <c r="D264" s="346">
        <v>0</v>
      </c>
      <c r="E264" s="346">
        <v>720</v>
      </c>
      <c r="F264" s="346">
        <v>1094</v>
      </c>
      <c r="G264" s="346">
        <v>279</v>
      </c>
      <c r="H264" s="346">
        <v>8029</v>
      </c>
      <c r="I264" s="345">
        <v>7750</v>
      </c>
      <c r="J264" s="345">
        <v>16</v>
      </c>
      <c r="K264" s="347">
        <v>78.06</v>
      </c>
      <c r="L264" s="347">
        <v>78.75</v>
      </c>
      <c r="M264" s="347">
        <v>4.09</v>
      </c>
      <c r="N264" s="347">
        <v>80.77</v>
      </c>
      <c r="O264" s="348">
        <v>4991</v>
      </c>
      <c r="P264" s="345">
        <v>89.07</v>
      </c>
      <c r="Q264" s="345">
        <v>88.04</v>
      </c>
      <c r="R264" s="345">
        <v>51.76</v>
      </c>
      <c r="S264" s="345">
        <v>140.12</v>
      </c>
      <c r="T264" s="345">
        <v>1399</v>
      </c>
      <c r="U264" s="345">
        <v>94.06</v>
      </c>
      <c r="V264" s="345">
        <v>414</v>
      </c>
      <c r="W264" s="345">
        <v>168.46</v>
      </c>
      <c r="X264" s="345">
        <v>120</v>
      </c>
      <c r="Y264" s="345">
        <v>10</v>
      </c>
      <c r="Z264" s="345">
        <v>2</v>
      </c>
      <c r="AA264" s="345">
        <v>12</v>
      </c>
      <c r="AB264" s="345">
        <v>0</v>
      </c>
      <c r="AC264" s="345">
        <v>8</v>
      </c>
      <c r="AD264" s="349">
        <v>5382</v>
      </c>
      <c r="AE264" s="349">
        <v>51</v>
      </c>
      <c r="AF264" s="349">
        <v>11</v>
      </c>
      <c r="AG264" s="349">
        <v>62</v>
      </c>
    </row>
    <row r="265" spans="1:33" x14ac:dyDescent="0.2">
      <c r="A265" s="344" t="s">
        <v>584</v>
      </c>
      <c r="B265" s="350" t="s">
        <v>585</v>
      </c>
      <c r="C265" s="346">
        <v>6459</v>
      </c>
      <c r="D265" s="346">
        <v>2</v>
      </c>
      <c r="E265" s="346">
        <v>63</v>
      </c>
      <c r="F265" s="346">
        <v>660</v>
      </c>
      <c r="G265" s="346">
        <v>526</v>
      </c>
      <c r="H265" s="346">
        <v>7710</v>
      </c>
      <c r="I265" s="345">
        <v>7184</v>
      </c>
      <c r="J265" s="345">
        <v>7</v>
      </c>
      <c r="K265" s="347">
        <v>106.32</v>
      </c>
      <c r="L265" s="347">
        <v>103.22</v>
      </c>
      <c r="M265" s="347">
        <v>4.47</v>
      </c>
      <c r="N265" s="347">
        <v>107.72</v>
      </c>
      <c r="O265" s="348">
        <v>5908</v>
      </c>
      <c r="P265" s="345">
        <v>83.8</v>
      </c>
      <c r="Q265" s="345">
        <v>87.64</v>
      </c>
      <c r="R265" s="345">
        <v>30.44</v>
      </c>
      <c r="S265" s="345">
        <v>113.93</v>
      </c>
      <c r="T265" s="345">
        <v>675</v>
      </c>
      <c r="U265" s="345">
        <v>133.27000000000001</v>
      </c>
      <c r="V265" s="345">
        <v>205</v>
      </c>
      <c r="W265" s="345">
        <v>0</v>
      </c>
      <c r="X265" s="345">
        <v>0</v>
      </c>
      <c r="Y265" s="345">
        <v>0</v>
      </c>
      <c r="Z265" s="345">
        <v>9</v>
      </c>
      <c r="AA265" s="345">
        <v>23</v>
      </c>
      <c r="AB265" s="345">
        <v>50</v>
      </c>
      <c r="AC265" s="345">
        <v>8</v>
      </c>
      <c r="AD265" s="349">
        <v>6082</v>
      </c>
      <c r="AE265" s="349">
        <v>29</v>
      </c>
      <c r="AF265" s="349">
        <v>79</v>
      </c>
      <c r="AG265" s="349">
        <v>108</v>
      </c>
    </row>
    <row r="266" spans="1:33" x14ac:dyDescent="0.2">
      <c r="A266" s="344" t="s">
        <v>586</v>
      </c>
      <c r="B266" s="350" t="s">
        <v>587</v>
      </c>
      <c r="C266" s="346">
        <v>1301</v>
      </c>
      <c r="D266" s="346">
        <v>0</v>
      </c>
      <c r="E266" s="346">
        <v>123</v>
      </c>
      <c r="F266" s="346">
        <v>153</v>
      </c>
      <c r="G266" s="346">
        <v>308</v>
      </c>
      <c r="H266" s="346">
        <v>1885</v>
      </c>
      <c r="I266" s="345">
        <v>1577</v>
      </c>
      <c r="J266" s="345">
        <v>0</v>
      </c>
      <c r="K266" s="347">
        <v>101.07</v>
      </c>
      <c r="L266" s="347">
        <v>99.2</v>
      </c>
      <c r="M266" s="347">
        <v>4.63</v>
      </c>
      <c r="N266" s="347">
        <v>104.54</v>
      </c>
      <c r="O266" s="348">
        <v>1022</v>
      </c>
      <c r="P266" s="345">
        <v>87</v>
      </c>
      <c r="Q266" s="345">
        <v>80.87</v>
      </c>
      <c r="R266" s="345">
        <v>31.5</v>
      </c>
      <c r="S266" s="345">
        <v>112.53</v>
      </c>
      <c r="T266" s="345">
        <v>232</v>
      </c>
      <c r="U266" s="345">
        <v>121.79</v>
      </c>
      <c r="V266" s="345">
        <v>204</v>
      </c>
      <c r="W266" s="345">
        <v>0</v>
      </c>
      <c r="X266" s="345">
        <v>0</v>
      </c>
      <c r="Y266" s="345">
        <v>0</v>
      </c>
      <c r="Z266" s="345">
        <v>1</v>
      </c>
      <c r="AA266" s="345">
        <v>1</v>
      </c>
      <c r="AB266" s="345">
        <v>2</v>
      </c>
      <c r="AC266" s="345">
        <v>7</v>
      </c>
      <c r="AD266" s="349">
        <v>1235</v>
      </c>
      <c r="AE266" s="349">
        <v>9</v>
      </c>
      <c r="AF266" s="349">
        <v>2</v>
      </c>
      <c r="AG266" s="349">
        <v>11</v>
      </c>
    </row>
    <row r="267" spans="1:33" x14ac:dyDescent="0.2">
      <c r="A267" s="344" t="s">
        <v>588</v>
      </c>
      <c r="B267" s="350" t="s">
        <v>589</v>
      </c>
      <c r="C267" s="346">
        <v>31721</v>
      </c>
      <c r="D267" s="346">
        <v>38</v>
      </c>
      <c r="E267" s="346">
        <v>601</v>
      </c>
      <c r="F267" s="346">
        <v>1877</v>
      </c>
      <c r="G267" s="346">
        <v>346</v>
      </c>
      <c r="H267" s="346">
        <v>34583</v>
      </c>
      <c r="I267" s="345">
        <v>34237</v>
      </c>
      <c r="J267" s="345">
        <v>31</v>
      </c>
      <c r="K267" s="347">
        <v>81.13</v>
      </c>
      <c r="L267" s="347">
        <v>81.180000000000007</v>
      </c>
      <c r="M267" s="347">
        <v>5.89</v>
      </c>
      <c r="N267" s="347">
        <v>82.21</v>
      </c>
      <c r="O267" s="348">
        <v>30034</v>
      </c>
      <c r="P267" s="345">
        <v>78.36</v>
      </c>
      <c r="Q267" s="345">
        <v>74.63</v>
      </c>
      <c r="R267" s="345">
        <v>30.1</v>
      </c>
      <c r="S267" s="345">
        <v>107.17</v>
      </c>
      <c r="T267" s="345">
        <v>2034</v>
      </c>
      <c r="U267" s="345">
        <v>101.81</v>
      </c>
      <c r="V267" s="345">
        <v>1253</v>
      </c>
      <c r="W267" s="345">
        <v>159</v>
      </c>
      <c r="X267" s="345">
        <v>350</v>
      </c>
      <c r="Y267" s="345">
        <v>0</v>
      </c>
      <c r="Z267" s="345">
        <v>90</v>
      </c>
      <c r="AA267" s="345">
        <v>0</v>
      </c>
      <c r="AB267" s="345">
        <v>35</v>
      </c>
      <c r="AC267" s="345">
        <v>30</v>
      </c>
      <c r="AD267" s="349">
        <v>31279</v>
      </c>
      <c r="AE267" s="349">
        <v>332</v>
      </c>
      <c r="AF267" s="349">
        <v>104</v>
      </c>
      <c r="AG267" s="349">
        <v>436</v>
      </c>
    </row>
    <row r="268" spans="1:33" x14ac:dyDescent="0.2">
      <c r="A268" s="344" t="s">
        <v>590</v>
      </c>
      <c r="B268" s="350" t="s">
        <v>591</v>
      </c>
      <c r="C268" s="346">
        <v>2902</v>
      </c>
      <c r="D268" s="346">
        <v>0</v>
      </c>
      <c r="E268" s="346">
        <v>130</v>
      </c>
      <c r="F268" s="346">
        <v>321</v>
      </c>
      <c r="G268" s="346">
        <v>247</v>
      </c>
      <c r="H268" s="346">
        <v>3600</v>
      </c>
      <c r="I268" s="345">
        <v>3353</v>
      </c>
      <c r="J268" s="345">
        <v>176</v>
      </c>
      <c r="K268" s="347">
        <v>114.22</v>
      </c>
      <c r="L268" s="347">
        <v>116.37</v>
      </c>
      <c r="M268" s="347">
        <v>5.95</v>
      </c>
      <c r="N268" s="347">
        <v>116.46</v>
      </c>
      <c r="O268" s="348">
        <v>2887</v>
      </c>
      <c r="P268" s="345">
        <v>96.3</v>
      </c>
      <c r="Q268" s="345">
        <v>97.03</v>
      </c>
      <c r="R268" s="345">
        <v>21.58</v>
      </c>
      <c r="S268" s="345">
        <v>117.54</v>
      </c>
      <c r="T268" s="345">
        <v>383</v>
      </c>
      <c r="U268" s="345">
        <v>175.47</v>
      </c>
      <c r="V268" s="345">
        <v>2</v>
      </c>
      <c r="W268" s="345">
        <v>0</v>
      </c>
      <c r="X268" s="345">
        <v>0</v>
      </c>
      <c r="Y268" s="345">
        <v>14</v>
      </c>
      <c r="Z268" s="345">
        <v>2</v>
      </c>
      <c r="AA268" s="345">
        <v>2</v>
      </c>
      <c r="AB268" s="345">
        <v>0</v>
      </c>
      <c r="AC268" s="345">
        <v>12</v>
      </c>
      <c r="AD268" s="349">
        <v>2902</v>
      </c>
      <c r="AE268" s="349">
        <v>4</v>
      </c>
      <c r="AF268" s="349">
        <v>0</v>
      </c>
      <c r="AG268" s="349">
        <v>4</v>
      </c>
    </row>
    <row r="269" spans="1:33" x14ac:dyDescent="0.2">
      <c r="A269" s="344" t="s">
        <v>592</v>
      </c>
      <c r="B269" s="350" t="s">
        <v>593</v>
      </c>
      <c r="C269" s="346">
        <v>4589</v>
      </c>
      <c r="D269" s="346">
        <v>8</v>
      </c>
      <c r="E269" s="346">
        <v>327</v>
      </c>
      <c r="F269" s="346">
        <v>904</v>
      </c>
      <c r="G269" s="346">
        <v>594</v>
      </c>
      <c r="H269" s="346">
        <v>6422</v>
      </c>
      <c r="I269" s="345">
        <v>5828</v>
      </c>
      <c r="J269" s="345">
        <v>5</v>
      </c>
      <c r="K269" s="347">
        <v>119.89</v>
      </c>
      <c r="L269" s="347">
        <v>121.55</v>
      </c>
      <c r="M269" s="347">
        <v>7.48</v>
      </c>
      <c r="N269" s="347">
        <v>126.92</v>
      </c>
      <c r="O269" s="348">
        <v>4029</v>
      </c>
      <c r="P269" s="345">
        <v>110.13</v>
      </c>
      <c r="Q269" s="345">
        <v>104.03</v>
      </c>
      <c r="R269" s="345">
        <v>42.66</v>
      </c>
      <c r="S269" s="345">
        <v>150.71</v>
      </c>
      <c r="T269" s="345">
        <v>741</v>
      </c>
      <c r="U269" s="345">
        <v>177.21</v>
      </c>
      <c r="V269" s="345">
        <v>317</v>
      </c>
      <c r="W269" s="345">
        <v>218.87</v>
      </c>
      <c r="X269" s="345">
        <v>79</v>
      </c>
      <c r="Y269" s="345">
        <v>0</v>
      </c>
      <c r="Z269" s="345">
        <v>10</v>
      </c>
      <c r="AA269" s="345">
        <v>9</v>
      </c>
      <c r="AB269" s="345">
        <v>15</v>
      </c>
      <c r="AC269" s="345">
        <v>52</v>
      </c>
      <c r="AD269" s="349">
        <v>4397</v>
      </c>
      <c r="AE269" s="349">
        <v>19</v>
      </c>
      <c r="AF269" s="349">
        <v>12</v>
      </c>
      <c r="AG269" s="349">
        <v>31</v>
      </c>
    </row>
    <row r="270" spans="1:33" x14ac:dyDescent="0.2">
      <c r="A270" s="344" t="s">
        <v>594</v>
      </c>
      <c r="B270" s="350" t="s">
        <v>595</v>
      </c>
      <c r="C270" s="346">
        <v>7571</v>
      </c>
      <c r="D270" s="346">
        <v>0</v>
      </c>
      <c r="E270" s="346">
        <v>230</v>
      </c>
      <c r="F270" s="346">
        <v>439</v>
      </c>
      <c r="G270" s="346">
        <v>542</v>
      </c>
      <c r="H270" s="346">
        <v>8782</v>
      </c>
      <c r="I270" s="345">
        <v>8240</v>
      </c>
      <c r="J270" s="345">
        <v>0</v>
      </c>
      <c r="K270" s="347">
        <v>100.24</v>
      </c>
      <c r="L270" s="347">
        <v>100.04</v>
      </c>
      <c r="M270" s="347">
        <v>5.16</v>
      </c>
      <c r="N270" s="347">
        <v>102.6</v>
      </c>
      <c r="O270" s="348">
        <v>6627</v>
      </c>
      <c r="P270" s="345">
        <v>87.61</v>
      </c>
      <c r="Q270" s="345">
        <v>87.16</v>
      </c>
      <c r="R270" s="345">
        <v>43.99</v>
      </c>
      <c r="S270" s="345">
        <v>131.07</v>
      </c>
      <c r="T270" s="345">
        <v>584</v>
      </c>
      <c r="U270" s="345">
        <v>125.21</v>
      </c>
      <c r="V270" s="345">
        <v>828</v>
      </c>
      <c r="W270" s="345">
        <v>201.91</v>
      </c>
      <c r="X270" s="345">
        <v>1</v>
      </c>
      <c r="Y270" s="345">
        <v>23</v>
      </c>
      <c r="Z270" s="345">
        <v>9</v>
      </c>
      <c r="AA270" s="345">
        <v>8</v>
      </c>
      <c r="AB270" s="345">
        <v>34</v>
      </c>
      <c r="AC270" s="345">
        <v>21</v>
      </c>
      <c r="AD270" s="349">
        <v>7504</v>
      </c>
      <c r="AE270" s="349">
        <v>22</v>
      </c>
      <c r="AF270" s="349">
        <v>101</v>
      </c>
      <c r="AG270" s="349">
        <v>123</v>
      </c>
    </row>
    <row r="271" spans="1:33" x14ac:dyDescent="0.2">
      <c r="A271" s="344" t="s">
        <v>596</v>
      </c>
      <c r="B271" s="350" t="s">
        <v>597</v>
      </c>
      <c r="C271" s="346">
        <v>3418</v>
      </c>
      <c r="D271" s="346">
        <v>0</v>
      </c>
      <c r="E271" s="346">
        <v>530</v>
      </c>
      <c r="F271" s="346">
        <v>1037</v>
      </c>
      <c r="G271" s="346">
        <v>869</v>
      </c>
      <c r="H271" s="346">
        <v>5854</v>
      </c>
      <c r="I271" s="345">
        <v>4985</v>
      </c>
      <c r="J271" s="345">
        <v>1</v>
      </c>
      <c r="K271" s="347">
        <v>100.31</v>
      </c>
      <c r="L271" s="347">
        <v>98.95</v>
      </c>
      <c r="M271" s="347">
        <v>5.93</v>
      </c>
      <c r="N271" s="347">
        <v>104.58</v>
      </c>
      <c r="O271" s="348">
        <v>2890</v>
      </c>
      <c r="P271" s="345">
        <v>83.41</v>
      </c>
      <c r="Q271" s="345">
        <v>82.38</v>
      </c>
      <c r="R271" s="345">
        <v>39.71</v>
      </c>
      <c r="S271" s="345">
        <v>121.85</v>
      </c>
      <c r="T271" s="345">
        <v>1443</v>
      </c>
      <c r="U271" s="345">
        <v>125.21</v>
      </c>
      <c r="V271" s="345">
        <v>268</v>
      </c>
      <c r="W271" s="345">
        <v>172.97</v>
      </c>
      <c r="X271" s="345">
        <v>75</v>
      </c>
      <c r="Y271" s="345">
        <v>0</v>
      </c>
      <c r="Z271" s="345">
        <v>2</v>
      </c>
      <c r="AA271" s="345">
        <v>1</v>
      </c>
      <c r="AB271" s="345">
        <v>13</v>
      </c>
      <c r="AC271" s="345">
        <v>33</v>
      </c>
      <c r="AD271" s="349">
        <v>3286</v>
      </c>
      <c r="AE271" s="349">
        <v>10</v>
      </c>
      <c r="AF271" s="349">
        <v>3</v>
      </c>
      <c r="AG271" s="349">
        <v>13</v>
      </c>
    </row>
    <row r="272" spans="1:33" x14ac:dyDescent="0.2">
      <c r="A272" s="344" t="s">
        <v>598</v>
      </c>
      <c r="B272" s="350" t="s">
        <v>599</v>
      </c>
      <c r="C272" s="346">
        <v>19864</v>
      </c>
      <c r="D272" s="346">
        <v>0</v>
      </c>
      <c r="E272" s="346">
        <v>494</v>
      </c>
      <c r="F272" s="346">
        <v>1912</v>
      </c>
      <c r="G272" s="346">
        <v>179</v>
      </c>
      <c r="H272" s="346">
        <v>22449</v>
      </c>
      <c r="I272" s="345">
        <v>22270</v>
      </c>
      <c r="J272" s="345">
        <v>15</v>
      </c>
      <c r="K272" s="347">
        <v>84.5</v>
      </c>
      <c r="L272" s="347">
        <v>81.680000000000007</v>
      </c>
      <c r="M272" s="347">
        <v>3.52</v>
      </c>
      <c r="N272" s="347">
        <v>87.11</v>
      </c>
      <c r="O272" s="348">
        <v>17349</v>
      </c>
      <c r="P272" s="345">
        <v>81.67</v>
      </c>
      <c r="Q272" s="345">
        <v>74.75</v>
      </c>
      <c r="R272" s="345">
        <v>31.75</v>
      </c>
      <c r="S272" s="345">
        <v>108.74</v>
      </c>
      <c r="T272" s="345">
        <v>2294</v>
      </c>
      <c r="U272" s="345">
        <v>105.81</v>
      </c>
      <c r="V272" s="345">
        <v>1454</v>
      </c>
      <c r="W272" s="345">
        <v>0</v>
      </c>
      <c r="X272" s="345">
        <v>0</v>
      </c>
      <c r="Y272" s="345">
        <v>0</v>
      </c>
      <c r="Z272" s="345">
        <v>51</v>
      </c>
      <c r="AA272" s="345">
        <v>7</v>
      </c>
      <c r="AB272" s="345">
        <v>0</v>
      </c>
      <c r="AC272" s="345">
        <v>7</v>
      </c>
      <c r="AD272" s="349">
        <v>18841</v>
      </c>
      <c r="AE272" s="349">
        <v>47</v>
      </c>
      <c r="AF272" s="349">
        <v>105</v>
      </c>
      <c r="AG272" s="349">
        <v>152</v>
      </c>
    </row>
    <row r="273" spans="1:33" x14ac:dyDescent="0.2">
      <c r="A273" s="344" t="s">
        <v>600</v>
      </c>
      <c r="B273" s="350" t="s">
        <v>601</v>
      </c>
      <c r="C273" s="346">
        <v>1403</v>
      </c>
      <c r="D273" s="346">
        <v>0</v>
      </c>
      <c r="E273" s="346">
        <v>138</v>
      </c>
      <c r="F273" s="346">
        <v>109</v>
      </c>
      <c r="G273" s="346">
        <v>125</v>
      </c>
      <c r="H273" s="346">
        <v>1775</v>
      </c>
      <c r="I273" s="345">
        <v>1650</v>
      </c>
      <c r="J273" s="345">
        <v>36</v>
      </c>
      <c r="K273" s="347">
        <v>90.22</v>
      </c>
      <c r="L273" s="347">
        <v>90.86</v>
      </c>
      <c r="M273" s="347">
        <v>4.87</v>
      </c>
      <c r="N273" s="347">
        <v>94.02</v>
      </c>
      <c r="O273" s="348">
        <v>1243</v>
      </c>
      <c r="P273" s="345">
        <v>82.66</v>
      </c>
      <c r="Q273" s="345">
        <v>80.84</v>
      </c>
      <c r="R273" s="345">
        <v>31.33</v>
      </c>
      <c r="S273" s="345">
        <v>109.45</v>
      </c>
      <c r="T273" s="345">
        <v>214</v>
      </c>
      <c r="U273" s="345">
        <v>105.78</v>
      </c>
      <c r="V273" s="345">
        <v>134</v>
      </c>
      <c r="W273" s="345">
        <v>0</v>
      </c>
      <c r="X273" s="345">
        <v>0</v>
      </c>
      <c r="Y273" s="345">
        <v>0</v>
      </c>
      <c r="Z273" s="345">
        <v>0</v>
      </c>
      <c r="AA273" s="345">
        <v>1</v>
      </c>
      <c r="AB273" s="345">
        <v>0</v>
      </c>
      <c r="AC273" s="345">
        <v>7</v>
      </c>
      <c r="AD273" s="349">
        <v>1403</v>
      </c>
      <c r="AE273" s="349">
        <v>6</v>
      </c>
      <c r="AF273" s="349">
        <v>1</v>
      </c>
      <c r="AG273" s="349">
        <v>7</v>
      </c>
    </row>
    <row r="274" spans="1:33" x14ac:dyDescent="0.2">
      <c r="A274" s="344" t="s">
        <v>602</v>
      </c>
      <c r="B274" s="350" t="s">
        <v>603</v>
      </c>
      <c r="C274" s="346">
        <v>955</v>
      </c>
      <c r="D274" s="346">
        <v>0</v>
      </c>
      <c r="E274" s="346">
        <v>143</v>
      </c>
      <c r="F274" s="346">
        <v>70</v>
      </c>
      <c r="G274" s="346">
        <v>214</v>
      </c>
      <c r="H274" s="346">
        <v>1382</v>
      </c>
      <c r="I274" s="345">
        <v>1168</v>
      </c>
      <c r="J274" s="345">
        <v>0</v>
      </c>
      <c r="K274" s="347">
        <v>126.79</v>
      </c>
      <c r="L274" s="347">
        <v>126.81</v>
      </c>
      <c r="M274" s="347">
        <v>6.46</v>
      </c>
      <c r="N274" s="347">
        <v>132.99</v>
      </c>
      <c r="O274" s="348">
        <v>667</v>
      </c>
      <c r="P274" s="345">
        <v>108.48</v>
      </c>
      <c r="Q274" s="345">
        <v>104.37</v>
      </c>
      <c r="R274" s="345">
        <v>42.51</v>
      </c>
      <c r="S274" s="345">
        <v>145.36000000000001</v>
      </c>
      <c r="T274" s="345">
        <v>68</v>
      </c>
      <c r="U274" s="345">
        <v>169.46</v>
      </c>
      <c r="V274" s="345">
        <v>168</v>
      </c>
      <c r="W274" s="345">
        <v>158.5</v>
      </c>
      <c r="X274" s="345">
        <v>28</v>
      </c>
      <c r="Y274" s="345">
        <v>0</v>
      </c>
      <c r="Z274" s="345">
        <v>1</v>
      </c>
      <c r="AA274" s="345">
        <v>0</v>
      </c>
      <c r="AB274" s="345">
        <v>3</v>
      </c>
      <c r="AC274" s="345">
        <v>9</v>
      </c>
      <c r="AD274" s="349">
        <v>892</v>
      </c>
      <c r="AE274" s="349">
        <v>3</v>
      </c>
      <c r="AF274" s="349">
        <v>2</v>
      </c>
      <c r="AG274" s="349">
        <v>5</v>
      </c>
    </row>
    <row r="275" spans="1:33" x14ac:dyDescent="0.2">
      <c r="A275" s="344" t="s">
        <v>604</v>
      </c>
      <c r="B275" s="350" t="s">
        <v>605</v>
      </c>
      <c r="C275" s="346">
        <v>3936</v>
      </c>
      <c r="D275" s="346">
        <v>0</v>
      </c>
      <c r="E275" s="346">
        <v>129</v>
      </c>
      <c r="F275" s="346">
        <v>1440</v>
      </c>
      <c r="G275" s="346">
        <v>548</v>
      </c>
      <c r="H275" s="346">
        <v>6053</v>
      </c>
      <c r="I275" s="345">
        <v>5505</v>
      </c>
      <c r="J275" s="345">
        <v>13</v>
      </c>
      <c r="K275" s="347">
        <v>89.76</v>
      </c>
      <c r="L275" s="347">
        <v>89.13</v>
      </c>
      <c r="M275" s="347">
        <v>3.59</v>
      </c>
      <c r="N275" s="347">
        <v>93.18</v>
      </c>
      <c r="O275" s="348">
        <v>3432</v>
      </c>
      <c r="P275" s="345">
        <v>87.07</v>
      </c>
      <c r="Q275" s="345">
        <v>82.27</v>
      </c>
      <c r="R275" s="345">
        <v>18.09</v>
      </c>
      <c r="S275" s="345">
        <v>104.67</v>
      </c>
      <c r="T275" s="345">
        <v>1284</v>
      </c>
      <c r="U275" s="345">
        <v>128.35</v>
      </c>
      <c r="V275" s="345">
        <v>466</v>
      </c>
      <c r="W275" s="345">
        <v>99.39</v>
      </c>
      <c r="X275" s="345">
        <v>10</v>
      </c>
      <c r="Y275" s="345">
        <v>0</v>
      </c>
      <c r="Z275" s="345">
        <v>19</v>
      </c>
      <c r="AA275" s="345">
        <v>9</v>
      </c>
      <c r="AB275" s="345">
        <v>27</v>
      </c>
      <c r="AC275" s="345">
        <v>9</v>
      </c>
      <c r="AD275" s="349">
        <v>3910</v>
      </c>
      <c r="AE275" s="349">
        <v>7</v>
      </c>
      <c r="AF275" s="349">
        <v>9</v>
      </c>
      <c r="AG275" s="349">
        <v>16</v>
      </c>
    </row>
    <row r="276" spans="1:33" x14ac:dyDescent="0.2">
      <c r="A276" s="344" t="s">
        <v>606</v>
      </c>
      <c r="B276" s="350" t="s">
        <v>607</v>
      </c>
      <c r="C276" s="346">
        <v>11259</v>
      </c>
      <c r="D276" s="346">
        <v>0</v>
      </c>
      <c r="E276" s="346">
        <v>285</v>
      </c>
      <c r="F276" s="346">
        <v>1824</v>
      </c>
      <c r="G276" s="346">
        <v>376</v>
      </c>
      <c r="H276" s="346">
        <v>13744</v>
      </c>
      <c r="I276" s="345">
        <v>13368</v>
      </c>
      <c r="J276" s="345">
        <v>16</v>
      </c>
      <c r="K276" s="347">
        <v>92.19</v>
      </c>
      <c r="L276" s="347">
        <v>92.56</v>
      </c>
      <c r="M276" s="347">
        <v>5.58</v>
      </c>
      <c r="N276" s="347">
        <v>94.21</v>
      </c>
      <c r="O276" s="348">
        <v>10420</v>
      </c>
      <c r="P276" s="345">
        <v>85.18</v>
      </c>
      <c r="Q276" s="345">
        <v>84.95</v>
      </c>
      <c r="R276" s="345">
        <v>36.94</v>
      </c>
      <c r="S276" s="345">
        <v>119.98</v>
      </c>
      <c r="T276" s="345">
        <v>1844</v>
      </c>
      <c r="U276" s="345">
        <v>110.49</v>
      </c>
      <c r="V276" s="345">
        <v>642</v>
      </c>
      <c r="W276" s="345">
        <v>170.52</v>
      </c>
      <c r="X276" s="345">
        <v>145</v>
      </c>
      <c r="Y276" s="345">
        <v>0</v>
      </c>
      <c r="Z276" s="345">
        <v>64</v>
      </c>
      <c r="AA276" s="345">
        <v>223</v>
      </c>
      <c r="AB276" s="345">
        <v>28</v>
      </c>
      <c r="AC276" s="345">
        <v>18</v>
      </c>
      <c r="AD276" s="349">
        <v>11219</v>
      </c>
      <c r="AE276" s="349">
        <v>30</v>
      </c>
      <c r="AF276" s="349">
        <v>233</v>
      </c>
      <c r="AG276" s="349">
        <v>263</v>
      </c>
    </row>
    <row r="277" spans="1:33" x14ac:dyDescent="0.2">
      <c r="A277" s="344" t="s">
        <v>608</v>
      </c>
      <c r="B277" s="350" t="s">
        <v>609</v>
      </c>
      <c r="C277" s="346">
        <v>1889</v>
      </c>
      <c r="D277" s="346">
        <v>0</v>
      </c>
      <c r="E277" s="346">
        <v>244</v>
      </c>
      <c r="F277" s="346">
        <v>553</v>
      </c>
      <c r="G277" s="346">
        <v>75</v>
      </c>
      <c r="H277" s="346">
        <v>2761</v>
      </c>
      <c r="I277" s="345">
        <v>2686</v>
      </c>
      <c r="J277" s="345">
        <v>0</v>
      </c>
      <c r="K277" s="347">
        <v>101.82</v>
      </c>
      <c r="L277" s="347">
        <v>99.48</v>
      </c>
      <c r="M277" s="347">
        <v>3.99</v>
      </c>
      <c r="N277" s="347">
        <v>104.89</v>
      </c>
      <c r="O277" s="348">
        <v>1690</v>
      </c>
      <c r="P277" s="345">
        <v>87.51</v>
      </c>
      <c r="Q277" s="345">
        <v>83.57</v>
      </c>
      <c r="R277" s="345">
        <v>34.24</v>
      </c>
      <c r="S277" s="345">
        <v>121.15</v>
      </c>
      <c r="T277" s="345">
        <v>742</v>
      </c>
      <c r="U277" s="345">
        <v>124.54</v>
      </c>
      <c r="V277" s="345">
        <v>138</v>
      </c>
      <c r="W277" s="345">
        <v>0</v>
      </c>
      <c r="X277" s="345">
        <v>0</v>
      </c>
      <c r="Y277" s="345">
        <v>0</v>
      </c>
      <c r="Z277" s="345">
        <v>0</v>
      </c>
      <c r="AA277" s="345">
        <v>2</v>
      </c>
      <c r="AB277" s="345">
        <v>0</v>
      </c>
      <c r="AC277" s="345">
        <v>0</v>
      </c>
      <c r="AD277" s="349">
        <v>1877</v>
      </c>
      <c r="AE277" s="349">
        <v>7</v>
      </c>
      <c r="AF277" s="349">
        <v>4</v>
      </c>
      <c r="AG277" s="349">
        <v>11</v>
      </c>
    </row>
    <row r="278" spans="1:33" x14ac:dyDescent="0.2">
      <c r="A278" s="344" t="s">
        <v>610</v>
      </c>
      <c r="B278" s="350" t="s">
        <v>611</v>
      </c>
      <c r="C278" s="346">
        <v>6937</v>
      </c>
      <c r="D278" s="346">
        <v>0</v>
      </c>
      <c r="E278" s="346">
        <v>291</v>
      </c>
      <c r="F278" s="346">
        <v>414</v>
      </c>
      <c r="G278" s="346">
        <v>609</v>
      </c>
      <c r="H278" s="346">
        <v>8251</v>
      </c>
      <c r="I278" s="345">
        <v>7642</v>
      </c>
      <c r="J278" s="345">
        <v>0</v>
      </c>
      <c r="K278" s="347">
        <v>109.07</v>
      </c>
      <c r="L278" s="347">
        <v>110</v>
      </c>
      <c r="M278" s="347">
        <v>3.04</v>
      </c>
      <c r="N278" s="347">
        <v>111.54</v>
      </c>
      <c r="O278" s="348">
        <v>6161</v>
      </c>
      <c r="P278" s="345">
        <v>93.27</v>
      </c>
      <c r="Q278" s="345">
        <v>91.86</v>
      </c>
      <c r="R278" s="345">
        <v>32.979999999999997</v>
      </c>
      <c r="S278" s="345">
        <v>126.13</v>
      </c>
      <c r="T278" s="345">
        <v>555</v>
      </c>
      <c r="U278" s="345">
        <v>140.37</v>
      </c>
      <c r="V278" s="345">
        <v>528</v>
      </c>
      <c r="W278" s="345">
        <v>144.66</v>
      </c>
      <c r="X278" s="345">
        <v>1</v>
      </c>
      <c r="Y278" s="345">
        <v>9</v>
      </c>
      <c r="Z278" s="345">
        <v>9</v>
      </c>
      <c r="AA278" s="345">
        <v>5</v>
      </c>
      <c r="AB278" s="345">
        <v>106</v>
      </c>
      <c r="AC278" s="345">
        <v>20</v>
      </c>
      <c r="AD278" s="349">
        <v>6772</v>
      </c>
      <c r="AE278" s="349">
        <v>24</v>
      </c>
      <c r="AF278" s="349">
        <v>17</v>
      </c>
      <c r="AG278" s="349">
        <v>41</v>
      </c>
    </row>
    <row r="279" spans="1:33" x14ac:dyDescent="0.2">
      <c r="A279" s="344" t="s">
        <v>612</v>
      </c>
      <c r="B279" s="350" t="s">
        <v>613</v>
      </c>
      <c r="C279" s="346">
        <v>4141</v>
      </c>
      <c r="D279" s="346">
        <v>0</v>
      </c>
      <c r="E279" s="346">
        <v>68</v>
      </c>
      <c r="F279" s="346">
        <v>557</v>
      </c>
      <c r="G279" s="346">
        <v>470</v>
      </c>
      <c r="H279" s="346">
        <v>5236</v>
      </c>
      <c r="I279" s="345">
        <v>4766</v>
      </c>
      <c r="J279" s="345">
        <v>0</v>
      </c>
      <c r="K279" s="347">
        <v>97.13</v>
      </c>
      <c r="L279" s="347">
        <v>97.33</v>
      </c>
      <c r="M279" s="347">
        <v>3.01</v>
      </c>
      <c r="N279" s="347">
        <v>99.03</v>
      </c>
      <c r="O279" s="348">
        <v>3866</v>
      </c>
      <c r="P279" s="345">
        <v>87.23</v>
      </c>
      <c r="Q279" s="345">
        <v>84.48</v>
      </c>
      <c r="R279" s="345">
        <v>31.99</v>
      </c>
      <c r="S279" s="345">
        <v>118.9</v>
      </c>
      <c r="T279" s="345">
        <v>618</v>
      </c>
      <c r="U279" s="345">
        <v>129.97999999999999</v>
      </c>
      <c r="V279" s="345">
        <v>274</v>
      </c>
      <c r="W279" s="345">
        <v>119.04</v>
      </c>
      <c r="X279" s="345">
        <v>4</v>
      </c>
      <c r="Y279" s="345">
        <v>0</v>
      </c>
      <c r="Z279" s="345">
        <v>5</v>
      </c>
      <c r="AA279" s="345">
        <v>5</v>
      </c>
      <c r="AB279" s="345">
        <v>63</v>
      </c>
      <c r="AC279" s="345">
        <v>2</v>
      </c>
      <c r="AD279" s="349">
        <v>4135</v>
      </c>
      <c r="AE279" s="349">
        <v>35</v>
      </c>
      <c r="AF279" s="349">
        <v>21</v>
      </c>
      <c r="AG279" s="349">
        <v>56</v>
      </c>
    </row>
    <row r="280" spans="1:33" x14ac:dyDescent="0.2">
      <c r="A280" s="344" t="s">
        <v>614</v>
      </c>
      <c r="B280" s="350" t="s">
        <v>615</v>
      </c>
      <c r="C280" s="346">
        <v>3994</v>
      </c>
      <c r="D280" s="346">
        <v>0</v>
      </c>
      <c r="E280" s="346">
        <v>111</v>
      </c>
      <c r="F280" s="346">
        <v>641</v>
      </c>
      <c r="G280" s="346">
        <v>130</v>
      </c>
      <c r="H280" s="346">
        <v>4876</v>
      </c>
      <c r="I280" s="345">
        <v>4746</v>
      </c>
      <c r="J280" s="345">
        <v>0</v>
      </c>
      <c r="K280" s="347">
        <v>93.8</v>
      </c>
      <c r="L280" s="347">
        <v>91.84</v>
      </c>
      <c r="M280" s="347">
        <v>6.63</v>
      </c>
      <c r="N280" s="347">
        <v>98.51</v>
      </c>
      <c r="O280" s="348">
        <v>3731</v>
      </c>
      <c r="P280" s="345">
        <v>83.4</v>
      </c>
      <c r="Q280" s="345">
        <v>80.489999999999995</v>
      </c>
      <c r="R280" s="345">
        <v>35.22</v>
      </c>
      <c r="S280" s="345">
        <v>117.7</v>
      </c>
      <c r="T280" s="345">
        <v>733</v>
      </c>
      <c r="U280" s="345">
        <v>119.54</v>
      </c>
      <c r="V280" s="345">
        <v>219</v>
      </c>
      <c r="W280" s="345">
        <v>0</v>
      </c>
      <c r="X280" s="345">
        <v>0</v>
      </c>
      <c r="Y280" s="345">
        <v>120</v>
      </c>
      <c r="Z280" s="345">
        <v>7</v>
      </c>
      <c r="AA280" s="345">
        <v>19</v>
      </c>
      <c r="AB280" s="345">
        <v>12</v>
      </c>
      <c r="AC280" s="345">
        <v>2</v>
      </c>
      <c r="AD280" s="349">
        <v>3994</v>
      </c>
      <c r="AE280" s="349">
        <v>23</v>
      </c>
      <c r="AF280" s="349">
        <v>48</v>
      </c>
      <c r="AG280" s="349">
        <v>71</v>
      </c>
    </row>
    <row r="281" spans="1:33" x14ac:dyDescent="0.2">
      <c r="A281" s="344" t="s">
        <v>616</v>
      </c>
      <c r="B281" s="350" t="s">
        <v>617</v>
      </c>
      <c r="C281" s="346">
        <v>4565</v>
      </c>
      <c r="D281" s="346">
        <v>24</v>
      </c>
      <c r="E281" s="346">
        <v>89</v>
      </c>
      <c r="F281" s="346">
        <v>898</v>
      </c>
      <c r="G281" s="346">
        <v>196</v>
      </c>
      <c r="H281" s="346">
        <v>5772</v>
      </c>
      <c r="I281" s="345">
        <v>5576</v>
      </c>
      <c r="J281" s="345">
        <v>25</v>
      </c>
      <c r="K281" s="347">
        <v>116.25</v>
      </c>
      <c r="L281" s="347">
        <v>120.2</v>
      </c>
      <c r="M281" s="347">
        <v>5.07</v>
      </c>
      <c r="N281" s="347">
        <v>118.43</v>
      </c>
      <c r="O281" s="348">
        <v>4406</v>
      </c>
      <c r="P281" s="345">
        <v>100.02</v>
      </c>
      <c r="Q281" s="345">
        <v>99.04</v>
      </c>
      <c r="R281" s="345">
        <v>17.239999999999998</v>
      </c>
      <c r="S281" s="345">
        <v>115.96</v>
      </c>
      <c r="T281" s="345">
        <v>928</v>
      </c>
      <c r="U281" s="345">
        <v>166.55</v>
      </c>
      <c r="V281" s="345">
        <v>135</v>
      </c>
      <c r="W281" s="345">
        <v>0</v>
      </c>
      <c r="X281" s="345">
        <v>0</v>
      </c>
      <c r="Y281" s="345">
        <v>0</v>
      </c>
      <c r="Z281" s="345">
        <v>9</v>
      </c>
      <c r="AA281" s="345">
        <v>2</v>
      </c>
      <c r="AB281" s="345">
        <v>15</v>
      </c>
      <c r="AC281" s="345">
        <v>7</v>
      </c>
      <c r="AD281" s="349">
        <v>4555</v>
      </c>
      <c r="AE281" s="349">
        <v>18</v>
      </c>
      <c r="AF281" s="349">
        <v>18</v>
      </c>
      <c r="AG281" s="349">
        <v>36</v>
      </c>
    </row>
    <row r="282" spans="1:33" x14ac:dyDescent="0.2">
      <c r="A282" s="344" t="s">
        <v>618</v>
      </c>
      <c r="B282" s="350" t="s">
        <v>619</v>
      </c>
      <c r="C282" s="346">
        <v>1622</v>
      </c>
      <c r="D282" s="346">
        <v>0</v>
      </c>
      <c r="E282" s="346">
        <v>76</v>
      </c>
      <c r="F282" s="346">
        <v>91</v>
      </c>
      <c r="G282" s="346">
        <v>275</v>
      </c>
      <c r="H282" s="346">
        <v>2064</v>
      </c>
      <c r="I282" s="345">
        <v>1789</v>
      </c>
      <c r="J282" s="345">
        <v>0</v>
      </c>
      <c r="K282" s="347">
        <v>107.25</v>
      </c>
      <c r="L282" s="347">
        <v>106.62</v>
      </c>
      <c r="M282" s="347">
        <v>6.98</v>
      </c>
      <c r="N282" s="347">
        <v>111.84</v>
      </c>
      <c r="O282" s="348">
        <v>1276</v>
      </c>
      <c r="P282" s="345">
        <v>110.66</v>
      </c>
      <c r="Q282" s="345">
        <v>109.1</v>
      </c>
      <c r="R282" s="345">
        <v>56.98</v>
      </c>
      <c r="S282" s="345">
        <v>160.75</v>
      </c>
      <c r="T282" s="345">
        <v>124</v>
      </c>
      <c r="U282" s="345">
        <v>149.13999999999999</v>
      </c>
      <c r="V282" s="345">
        <v>276</v>
      </c>
      <c r="W282" s="345">
        <v>0</v>
      </c>
      <c r="X282" s="345">
        <v>0</v>
      </c>
      <c r="Y282" s="345">
        <v>1</v>
      </c>
      <c r="Z282" s="345">
        <v>7</v>
      </c>
      <c r="AA282" s="345">
        <v>0</v>
      </c>
      <c r="AB282" s="345">
        <v>22</v>
      </c>
      <c r="AC282" s="345">
        <v>15</v>
      </c>
      <c r="AD282" s="349">
        <v>1605</v>
      </c>
      <c r="AE282" s="349">
        <v>26</v>
      </c>
      <c r="AF282" s="349">
        <v>2</v>
      </c>
      <c r="AG282" s="349">
        <v>28</v>
      </c>
    </row>
    <row r="283" spans="1:33" x14ac:dyDescent="0.2">
      <c r="A283" s="344" t="s">
        <v>620</v>
      </c>
      <c r="B283" s="350" t="s">
        <v>621</v>
      </c>
      <c r="C283" s="346">
        <v>7430</v>
      </c>
      <c r="D283" s="346">
        <v>0</v>
      </c>
      <c r="E283" s="346">
        <v>44</v>
      </c>
      <c r="F283" s="346">
        <v>631</v>
      </c>
      <c r="G283" s="346">
        <v>849</v>
      </c>
      <c r="H283" s="346">
        <v>8954</v>
      </c>
      <c r="I283" s="345">
        <v>8105</v>
      </c>
      <c r="J283" s="345">
        <v>0</v>
      </c>
      <c r="K283" s="347">
        <v>116.33</v>
      </c>
      <c r="L283" s="347">
        <v>112.99</v>
      </c>
      <c r="M283" s="347">
        <v>5.94</v>
      </c>
      <c r="N283" s="347">
        <v>117.22</v>
      </c>
      <c r="O283" s="348">
        <v>6356</v>
      </c>
      <c r="P283" s="345">
        <v>96.62</v>
      </c>
      <c r="Q283" s="345">
        <v>92.81</v>
      </c>
      <c r="R283" s="345">
        <v>23.62</v>
      </c>
      <c r="S283" s="345">
        <v>114.53</v>
      </c>
      <c r="T283" s="345">
        <v>632</v>
      </c>
      <c r="U283" s="345">
        <v>141.35</v>
      </c>
      <c r="V283" s="345">
        <v>960</v>
      </c>
      <c r="W283" s="345">
        <v>0</v>
      </c>
      <c r="X283" s="345">
        <v>0</v>
      </c>
      <c r="Y283" s="345">
        <v>0</v>
      </c>
      <c r="Z283" s="345">
        <v>11</v>
      </c>
      <c r="AA283" s="345">
        <v>4</v>
      </c>
      <c r="AB283" s="345">
        <v>49</v>
      </c>
      <c r="AC283" s="345">
        <v>24</v>
      </c>
      <c r="AD283" s="349">
        <v>7422</v>
      </c>
      <c r="AE283" s="349">
        <v>16</v>
      </c>
      <c r="AF283" s="349">
        <v>24</v>
      </c>
      <c r="AG283" s="349">
        <v>40</v>
      </c>
    </row>
    <row r="284" spans="1:33" x14ac:dyDescent="0.2">
      <c r="A284" s="344" t="s">
        <v>622</v>
      </c>
      <c r="B284" s="350" t="s">
        <v>623</v>
      </c>
      <c r="C284" s="346">
        <v>4119</v>
      </c>
      <c r="D284" s="346">
        <v>54</v>
      </c>
      <c r="E284" s="346">
        <v>247</v>
      </c>
      <c r="F284" s="346">
        <v>975</v>
      </c>
      <c r="G284" s="346">
        <v>517</v>
      </c>
      <c r="H284" s="346">
        <v>5912</v>
      </c>
      <c r="I284" s="345">
        <v>5395</v>
      </c>
      <c r="J284" s="345">
        <v>24</v>
      </c>
      <c r="K284" s="347">
        <v>90.13</v>
      </c>
      <c r="L284" s="347">
        <v>88.82</v>
      </c>
      <c r="M284" s="347">
        <v>7.66</v>
      </c>
      <c r="N284" s="347">
        <v>96.58</v>
      </c>
      <c r="O284" s="348">
        <v>3748</v>
      </c>
      <c r="P284" s="345">
        <v>83.86</v>
      </c>
      <c r="Q284" s="345">
        <v>80.78</v>
      </c>
      <c r="R284" s="345">
        <v>38.57</v>
      </c>
      <c r="S284" s="345">
        <v>120.86</v>
      </c>
      <c r="T284" s="345">
        <v>890</v>
      </c>
      <c r="U284" s="345">
        <v>115.9</v>
      </c>
      <c r="V284" s="345">
        <v>411</v>
      </c>
      <c r="W284" s="345">
        <v>147.56</v>
      </c>
      <c r="X284" s="345">
        <v>2</v>
      </c>
      <c r="Y284" s="345">
        <v>14</v>
      </c>
      <c r="Z284" s="345">
        <v>13</v>
      </c>
      <c r="AA284" s="345">
        <v>50</v>
      </c>
      <c r="AB284" s="345">
        <v>23</v>
      </c>
      <c r="AC284" s="345">
        <v>5</v>
      </c>
      <c r="AD284" s="349">
        <v>4119</v>
      </c>
      <c r="AE284" s="349">
        <v>17</v>
      </c>
      <c r="AF284" s="349">
        <v>12</v>
      </c>
      <c r="AG284" s="349">
        <v>29</v>
      </c>
    </row>
    <row r="285" spans="1:33" x14ac:dyDescent="0.2">
      <c r="A285" s="344" t="s">
        <v>624</v>
      </c>
      <c r="B285" s="350" t="s">
        <v>625</v>
      </c>
      <c r="C285" s="346">
        <v>1907</v>
      </c>
      <c r="D285" s="346">
        <v>0</v>
      </c>
      <c r="E285" s="346">
        <v>13</v>
      </c>
      <c r="F285" s="346">
        <v>833</v>
      </c>
      <c r="G285" s="346">
        <v>183</v>
      </c>
      <c r="H285" s="346">
        <v>2936</v>
      </c>
      <c r="I285" s="345">
        <v>2753</v>
      </c>
      <c r="J285" s="345">
        <v>0</v>
      </c>
      <c r="K285" s="347">
        <v>87.06</v>
      </c>
      <c r="L285" s="347">
        <v>84.53</v>
      </c>
      <c r="M285" s="347">
        <v>3.55</v>
      </c>
      <c r="N285" s="347">
        <v>88.85</v>
      </c>
      <c r="O285" s="348">
        <v>1809</v>
      </c>
      <c r="P285" s="345">
        <v>73.64</v>
      </c>
      <c r="Q285" s="345">
        <v>71.209999999999994</v>
      </c>
      <c r="R285" s="345">
        <v>18.37</v>
      </c>
      <c r="S285" s="345">
        <v>84.47</v>
      </c>
      <c r="T285" s="345">
        <v>784</v>
      </c>
      <c r="U285" s="345">
        <v>110.04</v>
      </c>
      <c r="V285" s="345">
        <v>91</v>
      </c>
      <c r="W285" s="345">
        <v>144.84</v>
      </c>
      <c r="X285" s="345">
        <v>41</v>
      </c>
      <c r="Y285" s="345">
        <v>0</v>
      </c>
      <c r="Z285" s="345">
        <v>3</v>
      </c>
      <c r="AA285" s="345">
        <v>0</v>
      </c>
      <c r="AB285" s="345">
        <v>8</v>
      </c>
      <c r="AC285" s="345">
        <v>4</v>
      </c>
      <c r="AD285" s="349">
        <v>1899</v>
      </c>
      <c r="AE285" s="349">
        <v>6</v>
      </c>
      <c r="AF285" s="349">
        <v>7</v>
      </c>
      <c r="AG285" s="349">
        <v>13</v>
      </c>
    </row>
    <row r="286" spans="1:33" x14ac:dyDescent="0.2">
      <c r="A286" s="344" t="s">
        <v>626</v>
      </c>
      <c r="B286" s="350" t="s">
        <v>627</v>
      </c>
      <c r="C286" s="346">
        <v>28921</v>
      </c>
      <c r="D286" s="346">
        <v>80</v>
      </c>
      <c r="E286" s="346">
        <v>1540</v>
      </c>
      <c r="F286" s="346">
        <v>906</v>
      </c>
      <c r="G286" s="346">
        <v>2920</v>
      </c>
      <c r="H286" s="346">
        <v>34367</v>
      </c>
      <c r="I286" s="345">
        <v>31447</v>
      </c>
      <c r="J286" s="345">
        <v>25</v>
      </c>
      <c r="K286" s="347">
        <v>126.31</v>
      </c>
      <c r="L286" s="347">
        <v>131.75</v>
      </c>
      <c r="M286" s="347">
        <v>13.52</v>
      </c>
      <c r="N286" s="347">
        <v>138.91999999999999</v>
      </c>
      <c r="O286" s="348">
        <v>25854</v>
      </c>
      <c r="P286" s="345">
        <v>108.81</v>
      </c>
      <c r="Q286" s="345">
        <v>110.21</v>
      </c>
      <c r="R286" s="345">
        <v>44.86</v>
      </c>
      <c r="S286" s="345">
        <v>151.38999999999999</v>
      </c>
      <c r="T286" s="345">
        <v>2086</v>
      </c>
      <c r="U286" s="345">
        <v>204.91</v>
      </c>
      <c r="V286" s="345">
        <v>1310</v>
      </c>
      <c r="W286" s="345">
        <v>184.56</v>
      </c>
      <c r="X286" s="345">
        <v>87</v>
      </c>
      <c r="Y286" s="345">
        <v>0</v>
      </c>
      <c r="Z286" s="345">
        <v>114</v>
      </c>
      <c r="AA286" s="345">
        <v>42</v>
      </c>
      <c r="AB286" s="345">
        <v>159</v>
      </c>
      <c r="AC286" s="345">
        <v>194</v>
      </c>
      <c r="AD286" s="349">
        <v>27654</v>
      </c>
      <c r="AE286" s="349">
        <v>124</v>
      </c>
      <c r="AF286" s="349">
        <v>313</v>
      </c>
      <c r="AG286" s="349">
        <v>437</v>
      </c>
    </row>
    <row r="287" spans="1:33" x14ac:dyDescent="0.2">
      <c r="A287" s="344" t="s">
        <v>628</v>
      </c>
      <c r="B287" s="350" t="s">
        <v>629</v>
      </c>
      <c r="C287" s="346">
        <v>11747</v>
      </c>
      <c r="D287" s="346">
        <v>4</v>
      </c>
      <c r="E287" s="346">
        <v>412</v>
      </c>
      <c r="F287" s="346">
        <v>3327</v>
      </c>
      <c r="G287" s="346">
        <v>621</v>
      </c>
      <c r="H287" s="346">
        <v>16111</v>
      </c>
      <c r="I287" s="345">
        <v>15490</v>
      </c>
      <c r="J287" s="345">
        <v>8</v>
      </c>
      <c r="K287" s="347">
        <v>90.05</v>
      </c>
      <c r="L287" s="347">
        <v>95.71</v>
      </c>
      <c r="M287" s="347">
        <v>4.83</v>
      </c>
      <c r="N287" s="347">
        <v>93.11</v>
      </c>
      <c r="O287" s="348">
        <v>10091</v>
      </c>
      <c r="P287" s="345">
        <v>86.4</v>
      </c>
      <c r="Q287" s="345">
        <v>92.34</v>
      </c>
      <c r="R287" s="345">
        <v>19.12</v>
      </c>
      <c r="S287" s="345">
        <v>105.49</v>
      </c>
      <c r="T287" s="345">
        <v>3585</v>
      </c>
      <c r="U287" s="345">
        <v>122.22</v>
      </c>
      <c r="V287" s="345">
        <v>1520</v>
      </c>
      <c r="W287" s="345">
        <v>174.5</v>
      </c>
      <c r="X287" s="345">
        <v>70</v>
      </c>
      <c r="Y287" s="345">
        <v>0</v>
      </c>
      <c r="Z287" s="345">
        <v>51</v>
      </c>
      <c r="AA287" s="345">
        <v>99</v>
      </c>
      <c r="AB287" s="345">
        <v>30</v>
      </c>
      <c r="AC287" s="345">
        <v>30</v>
      </c>
      <c r="AD287" s="349">
        <v>11654</v>
      </c>
      <c r="AE287" s="349">
        <v>86</v>
      </c>
      <c r="AF287" s="349">
        <v>12</v>
      </c>
      <c r="AG287" s="349">
        <v>98</v>
      </c>
    </row>
    <row r="288" spans="1:33" x14ac:dyDescent="0.2">
      <c r="A288" s="344" t="s">
        <v>630</v>
      </c>
      <c r="B288" s="350" t="s">
        <v>631</v>
      </c>
      <c r="C288" s="346">
        <v>6191</v>
      </c>
      <c r="D288" s="346">
        <v>0</v>
      </c>
      <c r="E288" s="346">
        <v>194</v>
      </c>
      <c r="F288" s="346">
        <v>808</v>
      </c>
      <c r="G288" s="346">
        <v>362</v>
      </c>
      <c r="H288" s="346">
        <v>7555</v>
      </c>
      <c r="I288" s="345">
        <v>7193</v>
      </c>
      <c r="J288" s="345">
        <v>0</v>
      </c>
      <c r="K288" s="347">
        <v>113.01</v>
      </c>
      <c r="L288" s="347">
        <v>113.2</v>
      </c>
      <c r="M288" s="347">
        <v>3.22</v>
      </c>
      <c r="N288" s="347">
        <v>115.61</v>
      </c>
      <c r="O288" s="348">
        <v>5559</v>
      </c>
      <c r="P288" s="345">
        <v>92.16</v>
      </c>
      <c r="Q288" s="345">
        <v>90.87</v>
      </c>
      <c r="R288" s="345">
        <v>20.25</v>
      </c>
      <c r="S288" s="345">
        <v>111.52</v>
      </c>
      <c r="T288" s="345">
        <v>684</v>
      </c>
      <c r="U288" s="345">
        <v>156.52000000000001</v>
      </c>
      <c r="V288" s="345">
        <v>458</v>
      </c>
      <c r="W288" s="345">
        <v>131.13999999999999</v>
      </c>
      <c r="X288" s="345">
        <v>106</v>
      </c>
      <c r="Y288" s="345">
        <v>0</v>
      </c>
      <c r="Z288" s="345">
        <v>6</v>
      </c>
      <c r="AA288" s="345">
        <v>2</v>
      </c>
      <c r="AB288" s="345">
        <v>34</v>
      </c>
      <c r="AC288" s="345">
        <v>8</v>
      </c>
      <c r="AD288" s="349">
        <v>6038</v>
      </c>
      <c r="AE288" s="349">
        <v>20</v>
      </c>
      <c r="AF288" s="349">
        <v>30</v>
      </c>
      <c r="AG288" s="349">
        <v>50</v>
      </c>
    </row>
    <row r="289" spans="1:33" x14ac:dyDescent="0.2">
      <c r="A289" s="344" t="s">
        <v>632</v>
      </c>
      <c r="B289" s="350" t="s">
        <v>633</v>
      </c>
      <c r="C289" s="346">
        <v>1335</v>
      </c>
      <c r="D289" s="346">
        <v>2</v>
      </c>
      <c r="E289" s="346">
        <v>53</v>
      </c>
      <c r="F289" s="346">
        <v>214</v>
      </c>
      <c r="G289" s="346">
        <v>340</v>
      </c>
      <c r="H289" s="346">
        <v>1944</v>
      </c>
      <c r="I289" s="345">
        <v>1604</v>
      </c>
      <c r="J289" s="345">
        <v>7</v>
      </c>
      <c r="K289" s="347">
        <v>110.38</v>
      </c>
      <c r="L289" s="347">
        <v>108.83</v>
      </c>
      <c r="M289" s="347">
        <v>6.1</v>
      </c>
      <c r="N289" s="347">
        <v>114.3</v>
      </c>
      <c r="O289" s="348">
        <v>1031</v>
      </c>
      <c r="P289" s="345">
        <v>98.33</v>
      </c>
      <c r="Q289" s="345">
        <v>93.76</v>
      </c>
      <c r="R289" s="345">
        <v>55.1</v>
      </c>
      <c r="S289" s="345">
        <v>153.43</v>
      </c>
      <c r="T289" s="345">
        <v>236</v>
      </c>
      <c r="U289" s="345">
        <v>151.9</v>
      </c>
      <c r="V289" s="345">
        <v>275</v>
      </c>
      <c r="W289" s="345">
        <v>0</v>
      </c>
      <c r="X289" s="345">
        <v>0</v>
      </c>
      <c r="Y289" s="345">
        <v>0</v>
      </c>
      <c r="Z289" s="345">
        <v>1</v>
      </c>
      <c r="AA289" s="345">
        <v>2</v>
      </c>
      <c r="AB289" s="345">
        <v>17</v>
      </c>
      <c r="AC289" s="345">
        <v>11</v>
      </c>
      <c r="AD289" s="349">
        <v>1326</v>
      </c>
      <c r="AE289" s="349">
        <v>11</v>
      </c>
      <c r="AF289" s="349">
        <v>6</v>
      </c>
      <c r="AG289" s="349">
        <v>17</v>
      </c>
    </row>
    <row r="290" spans="1:33" x14ac:dyDescent="0.2">
      <c r="A290" s="344" t="s">
        <v>634</v>
      </c>
      <c r="B290" s="350" t="s">
        <v>635</v>
      </c>
      <c r="C290" s="346">
        <v>5854</v>
      </c>
      <c r="D290" s="346">
        <v>19</v>
      </c>
      <c r="E290" s="346">
        <v>135</v>
      </c>
      <c r="F290" s="346">
        <v>1009</v>
      </c>
      <c r="G290" s="346">
        <v>557</v>
      </c>
      <c r="H290" s="346">
        <v>7574</v>
      </c>
      <c r="I290" s="345">
        <v>7017</v>
      </c>
      <c r="J290" s="345">
        <v>7</v>
      </c>
      <c r="K290" s="347">
        <v>110.96</v>
      </c>
      <c r="L290" s="347">
        <v>113.27</v>
      </c>
      <c r="M290" s="347">
        <v>5.34</v>
      </c>
      <c r="N290" s="347">
        <v>111.77</v>
      </c>
      <c r="O290" s="348">
        <v>5025</v>
      </c>
      <c r="P290" s="345">
        <v>98.63</v>
      </c>
      <c r="Q290" s="345">
        <v>98.78</v>
      </c>
      <c r="R290" s="345">
        <v>27.58</v>
      </c>
      <c r="S290" s="345">
        <v>113.28</v>
      </c>
      <c r="T290" s="345">
        <v>1122</v>
      </c>
      <c r="U290" s="345">
        <v>158.37</v>
      </c>
      <c r="V290" s="345">
        <v>774</v>
      </c>
      <c r="W290" s="345">
        <v>219.88</v>
      </c>
      <c r="X290" s="345">
        <v>3</v>
      </c>
      <c r="Y290" s="345">
        <v>0</v>
      </c>
      <c r="Z290" s="345">
        <v>2</v>
      </c>
      <c r="AA290" s="345">
        <v>0</v>
      </c>
      <c r="AB290" s="345">
        <v>75</v>
      </c>
      <c r="AC290" s="345">
        <v>14</v>
      </c>
      <c r="AD290" s="349">
        <v>5796</v>
      </c>
      <c r="AE290" s="349">
        <v>14</v>
      </c>
      <c r="AF290" s="349">
        <v>36</v>
      </c>
      <c r="AG290" s="349">
        <v>50</v>
      </c>
    </row>
    <row r="291" spans="1:33" x14ac:dyDescent="0.2">
      <c r="A291" s="344" t="s">
        <v>636</v>
      </c>
      <c r="B291" s="350" t="s">
        <v>637</v>
      </c>
      <c r="C291" s="346">
        <v>32376</v>
      </c>
      <c r="D291" s="346">
        <v>0</v>
      </c>
      <c r="E291" s="346">
        <v>571</v>
      </c>
      <c r="F291" s="346">
        <v>2532</v>
      </c>
      <c r="G291" s="346">
        <v>519</v>
      </c>
      <c r="H291" s="346">
        <v>35998</v>
      </c>
      <c r="I291" s="345">
        <v>35479</v>
      </c>
      <c r="J291" s="345">
        <v>13</v>
      </c>
      <c r="K291" s="347">
        <v>84.66</v>
      </c>
      <c r="L291" s="347">
        <v>85.24</v>
      </c>
      <c r="M291" s="347">
        <v>5.97</v>
      </c>
      <c r="N291" s="347">
        <v>85.39</v>
      </c>
      <c r="O291" s="348">
        <v>30432</v>
      </c>
      <c r="P291" s="345">
        <v>81.17</v>
      </c>
      <c r="Q291" s="345">
        <v>80.75</v>
      </c>
      <c r="R291" s="345">
        <v>33.76</v>
      </c>
      <c r="S291" s="345">
        <v>112.31</v>
      </c>
      <c r="T291" s="345">
        <v>2946</v>
      </c>
      <c r="U291" s="345">
        <v>99.42</v>
      </c>
      <c r="V291" s="345">
        <v>1621</v>
      </c>
      <c r="W291" s="345">
        <v>95.6</v>
      </c>
      <c r="X291" s="345">
        <v>6</v>
      </c>
      <c r="Y291" s="345">
        <v>0</v>
      </c>
      <c r="Z291" s="345">
        <v>174</v>
      </c>
      <c r="AA291" s="345">
        <v>30</v>
      </c>
      <c r="AB291" s="345">
        <v>30</v>
      </c>
      <c r="AC291" s="345">
        <v>4</v>
      </c>
      <c r="AD291" s="349">
        <v>32336</v>
      </c>
      <c r="AE291" s="349">
        <v>75</v>
      </c>
      <c r="AF291" s="349">
        <v>129</v>
      </c>
      <c r="AG291" s="349">
        <v>204</v>
      </c>
    </row>
    <row r="292" spans="1:33" x14ac:dyDescent="0.2">
      <c r="A292" s="344" t="s">
        <v>638</v>
      </c>
      <c r="B292" s="350" t="s">
        <v>639</v>
      </c>
      <c r="C292" s="346">
        <v>26900</v>
      </c>
      <c r="D292" s="346">
        <v>10</v>
      </c>
      <c r="E292" s="346">
        <v>251</v>
      </c>
      <c r="F292" s="346">
        <v>786</v>
      </c>
      <c r="G292" s="346">
        <v>580</v>
      </c>
      <c r="H292" s="346">
        <v>28527</v>
      </c>
      <c r="I292" s="345">
        <v>27947</v>
      </c>
      <c r="J292" s="345">
        <v>16</v>
      </c>
      <c r="K292" s="347">
        <v>87.29</v>
      </c>
      <c r="L292" s="347">
        <v>87.44</v>
      </c>
      <c r="M292" s="347">
        <v>8.33</v>
      </c>
      <c r="N292" s="347">
        <v>91.38</v>
      </c>
      <c r="O292" s="348">
        <v>25198</v>
      </c>
      <c r="P292" s="345">
        <v>106.04</v>
      </c>
      <c r="Q292" s="345">
        <v>104.14</v>
      </c>
      <c r="R292" s="345">
        <v>41.57</v>
      </c>
      <c r="S292" s="345">
        <v>143.69</v>
      </c>
      <c r="T292" s="345">
        <v>922</v>
      </c>
      <c r="U292" s="345">
        <v>108.69</v>
      </c>
      <c r="V292" s="345">
        <v>1390</v>
      </c>
      <c r="W292" s="345">
        <v>128.32</v>
      </c>
      <c r="X292" s="345">
        <v>62</v>
      </c>
      <c r="Y292" s="345">
        <v>40</v>
      </c>
      <c r="Z292" s="345">
        <v>89</v>
      </c>
      <c r="AA292" s="345">
        <v>37</v>
      </c>
      <c r="AB292" s="345">
        <v>4</v>
      </c>
      <c r="AC292" s="345">
        <v>16</v>
      </c>
      <c r="AD292" s="349">
        <v>26838</v>
      </c>
      <c r="AE292" s="349">
        <v>178</v>
      </c>
      <c r="AF292" s="349">
        <v>51</v>
      </c>
      <c r="AG292" s="349">
        <v>229</v>
      </c>
    </row>
    <row r="293" spans="1:33" x14ac:dyDescent="0.2">
      <c r="A293" s="344" t="s">
        <v>640</v>
      </c>
      <c r="B293" s="350" t="s">
        <v>641</v>
      </c>
      <c r="C293" s="346">
        <v>10486</v>
      </c>
      <c r="D293" s="346">
        <v>0</v>
      </c>
      <c r="E293" s="346">
        <v>1041</v>
      </c>
      <c r="F293" s="346">
        <v>883</v>
      </c>
      <c r="G293" s="346">
        <v>1156</v>
      </c>
      <c r="H293" s="346">
        <v>13566</v>
      </c>
      <c r="I293" s="345">
        <v>12410</v>
      </c>
      <c r="J293" s="345">
        <v>2</v>
      </c>
      <c r="K293" s="347">
        <v>122.91</v>
      </c>
      <c r="L293" s="347">
        <v>118.89</v>
      </c>
      <c r="M293" s="347">
        <v>8.82</v>
      </c>
      <c r="N293" s="347">
        <v>127.3</v>
      </c>
      <c r="O293" s="348">
        <v>8831</v>
      </c>
      <c r="P293" s="345">
        <v>100.83</v>
      </c>
      <c r="Q293" s="345">
        <v>98.45</v>
      </c>
      <c r="R293" s="345">
        <v>31.22</v>
      </c>
      <c r="S293" s="345">
        <v>128.38</v>
      </c>
      <c r="T293" s="345">
        <v>1338</v>
      </c>
      <c r="U293" s="345">
        <v>174.29</v>
      </c>
      <c r="V293" s="345">
        <v>1122</v>
      </c>
      <c r="W293" s="345">
        <v>163.84</v>
      </c>
      <c r="X293" s="345">
        <v>53</v>
      </c>
      <c r="Y293" s="345">
        <v>17</v>
      </c>
      <c r="Z293" s="345">
        <v>19</v>
      </c>
      <c r="AA293" s="345">
        <v>40</v>
      </c>
      <c r="AB293" s="345">
        <v>99</v>
      </c>
      <c r="AC293" s="345">
        <v>29</v>
      </c>
      <c r="AD293" s="349">
        <v>10114</v>
      </c>
      <c r="AE293" s="349">
        <v>42</v>
      </c>
      <c r="AF293" s="349">
        <v>18</v>
      </c>
      <c r="AG293" s="349">
        <v>60</v>
      </c>
    </row>
    <row r="294" spans="1:33" x14ac:dyDescent="0.2">
      <c r="A294" s="344" t="s">
        <v>642</v>
      </c>
      <c r="B294" s="350" t="s">
        <v>643</v>
      </c>
      <c r="C294" s="346">
        <v>8449</v>
      </c>
      <c r="D294" s="346">
        <v>11</v>
      </c>
      <c r="E294" s="346">
        <v>1088</v>
      </c>
      <c r="F294" s="346">
        <v>1076</v>
      </c>
      <c r="G294" s="346">
        <v>1997</v>
      </c>
      <c r="H294" s="346">
        <v>12621</v>
      </c>
      <c r="I294" s="345">
        <v>10624</v>
      </c>
      <c r="J294" s="345">
        <v>40</v>
      </c>
      <c r="K294" s="347">
        <v>134.56</v>
      </c>
      <c r="L294" s="347">
        <v>140.34</v>
      </c>
      <c r="M294" s="347">
        <v>6.18</v>
      </c>
      <c r="N294" s="347">
        <v>138.16</v>
      </c>
      <c r="O294" s="348">
        <v>7589</v>
      </c>
      <c r="P294" s="345">
        <v>120.59</v>
      </c>
      <c r="Q294" s="345">
        <v>120.3</v>
      </c>
      <c r="R294" s="345">
        <v>32.54</v>
      </c>
      <c r="S294" s="345">
        <v>148.83000000000001</v>
      </c>
      <c r="T294" s="345">
        <v>2072</v>
      </c>
      <c r="U294" s="345">
        <v>200.64</v>
      </c>
      <c r="V294" s="345">
        <v>407</v>
      </c>
      <c r="W294" s="345">
        <v>188.48</v>
      </c>
      <c r="X294" s="345">
        <v>2</v>
      </c>
      <c r="Y294" s="345">
        <v>7</v>
      </c>
      <c r="Z294" s="345">
        <v>2</v>
      </c>
      <c r="AA294" s="345">
        <v>14</v>
      </c>
      <c r="AB294" s="345">
        <v>307</v>
      </c>
      <c r="AC294" s="345">
        <v>88</v>
      </c>
      <c r="AD294" s="349">
        <v>8157</v>
      </c>
      <c r="AE294" s="349">
        <v>15</v>
      </c>
      <c r="AF294" s="349">
        <v>20</v>
      </c>
      <c r="AG294" s="349">
        <v>35</v>
      </c>
    </row>
    <row r="295" spans="1:33" x14ac:dyDescent="0.2">
      <c r="A295" s="344" t="s">
        <v>644</v>
      </c>
      <c r="B295" s="350" t="s">
        <v>645</v>
      </c>
      <c r="C295" s="346">
        <v>11815</v>
      </c>
      <c r="D295" s="346">
        <v>0</v>
      </c>
      <c r="E295" s="346">
        <v>497</v>
      </c>
      <c r="F295" s="346">
        <v>2222</v>
      </c>
      <c r="G295" s="346">
        <v>632</v>
      </c>
      <c r="H295" s="346">
        <v>15166</v>
      </c>
      <c r="I295" s="345">
        <v>14534</v>
      </c>
      <c r="J295" s="345">
        <v>2</v>
      </c>
      <c r="K295" s="347">
        <v>85.71</v>
      </c>
      <c r="L295" s="347">
        <v>85.99</v>
      </c>
      <c r="M295" s="347">
        <v>4.7699999999999996</v>
      </c>
      <c r="N295" s="347">
        <v>87.17</v>
      </c>
      <c r="O295" s="348">
        <v>11213</v>
      </c>
      <c r="P295" s="345">
        <v>81.02</v>
      </c>
      <c r="Q295" s="345">
        <v>79.75</v>
      </c>
      <c r="R295" s="345">
        <v>32.130000000000003</v>
      </c>
      <c r="S295" s="345">
        <v>96.45</v>
      </c>
      <c r="T295" s="345">
        <v>2674</v>
      </c>
      <c r="U295" s="345">
        <v>105.29</v>
      </c>
      <c r="V295" s="345">
        <v>532</v>
      </c>
      <c r="W295" s="345">
        <v>104.45</v>
      </c>
      <c r="X295" s="345">
        <v>4</v>
      </c>
      <c r="Y295" s="345">
        <v>0</v>
      </c>
      <c r="Z295" s="345">
        <v>67</v>
      </c>
      <c r="AA295" s="345">
        <v>0</v>
      </c>
      <c r="AB295" s="345">
        <v>28</v>
      </c>
      <c r="AC295" s="345">
        <v>13</v>
      </c>
      <c r="AD295" s="349">
        <v>11815</v>
      </c>
      <c r="AE295" s="349">
        <v>46</v>
      </c>
      <c r="AF295" s="349">
        <v>63</v>
      </c>
      <c r="AG295" s="349">
        <v>109</v>
      </c>
    </row>
    <row r="296" spans="1:33" x14ac:dyDescent="0.2">
      <c r="A296" s="344" t="s">
        <v>646</v>
      </c>
      <c r="B296" s="350" t="s">
        <v>647</v>
      </c>
      <c r="C296" s="346">
        <v>2177</v>
      </c>
      <c r="D296" s="346">
        <v>4</v>
      </c>
      <c r="E296" s="346">
        <v>176</v>
      </c>
      <c r="F296" s="346">
        <v>594</v>
      </c>
      <c r="G296" s="346">
        <v>509</v>
      </c>
      <c r="H296" s="346">
        <v>3460</v>
      </c>
      <c r="I296" s="345">
        <v>2951</v>
      </c>
      <c r="J296" s="345">
        <v>15</v>
      </c>
      <c r="K296" s="347">
        <v>104.18</v>
      </c>
      <c r="L296" s="347">
        <v>102.41</v>
      </c>
      <c r="M296" s="347">
        <v>6.53</v>
      </c>
      <c r="N296" s="347">
        <v>109.65</v>
      </c>
      <c r="O296" s="348">
        <v>1806</v>
      </c>
      <c r="P296" s="345">
        <v>98</v>
      </c>
      <c r="Q296" s="345">
        <v>90.22</v>
      </c>
      <c r="R296" s="345">
        <v>38.06</v>
      </c>
      <c r="S296" s="345">
        <v>135.01</v>
      </c>
      <c r="T296" s="345">
        <v>653</v>
      </c>
      <c r="U296" s="345">
        <v>130.43</v>
      </c>
      <c r="V296" s="345">
        <v>266</v>
      </c>
      <c r="W296" s="345">
        <v>197.88</v>
      </c>
      <c r="X296" s="345">
        <v>21</v>
      </c>
      <c r="Y296" s="345">
        <v>0</v>
      </c>
      <c r="Z296" s="345">
        <v>0</v>
      </c>
      <c r="AA296" s="345">
        <v>4</v>
      </c>
      <c r="AB296" s="345">
        <v>60</v>
      </c>
      <c r="AC296" s="345">
        <v>20</v>
      </c>
      <c r="AD296" s="349">
        <v>2076</v>
      </c>
      <c r="AE296" s="349">
        <v>9</v>
      </c>
      <c r="AF296" s="349">
        <v>11</v>
      </c>
      <c r="AG296" s="349">
        <v>20</v>
      </c>
    </row>
    <row r="297" spans="1:33" x14ac:dyDescent="0.2">
      <c r="A297" s="344" t="s">
        <v>648</v>
      </c>
      <c r="B297" s="350" t="s">
        <v>649</v>
      </c>
      <c r="C297" s="346">
        <v>5458</v>
      </c>
      <c r="D297" s="346">
        <v>18</v>
      </c>
      <c r="E297" s="346">
        <v>341</v>
      </c>
      <c r="F297" s="346">
        <v>602</v>
      </c>
      <c r="G297" s="346">
        <v>348</v>
      </c>
      <c r="H297" s="346">
        <v>6767</v>
      </c>
      <c r="I297" s="345">
        <v>6419</v>
      </c>
      <c r="J297" s="345">
        <v>134</v>
      </c>
      <c r="K297" s="347">
        <v>118.04</v>
      </c>
      <c r="L297" s="347">
        <v>123.6</v>
      </c>
      <c r="M297" s="347">
        <v>6.69</v>
      </c>
      <c r="N297" s="347">
        <v>121.21</v>
      </c>
      <c r="O297" s="348">
        <v>5016</v>
      </c>
      <c r="P297" s="345">
        <v>91.49</v>
      </c>
      <c r="Q297" s="345">
        <v>93.16</v>
      </c>
      <c r="R297" s="345">
        <v>26.02</v>
      </c>
      <c r="S297" s="345">
        <v>117.44</v>
      </c>
      <c r="T297" s="345">
        <v>734</v>
      </c>
      <c r="U297" s="345">
        <v>172.51</v>
      </c>
      <c r="V297" s="345">
        <v>258</v>
      </c>
      <c r="W297" s="345">
        <v>0</v>
      </c>
      <c r="X297" s="345">
        <v>0</v>
      </c>
      <c r="Y297" s="345">
        <v>0</v>
      </c>
      <c r="Z297" s="345">
        <v>21</v>
      </c>
      <c r="AA297" s="345">
        <v>2</v>
      </c>
      <c r="AB297" s="345">
        <v>1</v>
      </c>
      <c r="AC297" s="345">
        <v>16</v>
      </c>
      <c r="AD297" s="349">
        <v>5458</v>
      </c>
      <c r="AE297" s="349">
        <v>26</v>
      </c>
      <c r="AF297" s="349">
        <v>13</v>
      </c>
      <c r="AG297" s="349">
        <v>39</v>
      </c>
    </row>
    <row r="298" spans="1:33" x14ac:dyDescent="0.2">
      <c r="A298" s="344" t="s">
        <v>650</v>
      </c>
      <c r="B298" s="350" t="s">
        <v>651</v>
      </c>
      <c r="C298" s="346">
        <v>1101</v>
      </c>
      <c r="D298" s="346">
        <v>0</v>
      </c>
      <c r="E298" s="346">
        <v>132</v>
      </c>
      <c r="F298" s="346">
        <v>163</v>
      </c>
      <c r="G298" s="346">
        <v>358</v>
      </c>
      <c r="H298" s="346">
        <v>1754</v>
      </c>
      <c r="I298" s="345">
        <v>1396</v>
      </c>
      <c r="J298" s="345">
        <v>0</v>
      </c>
      <c r="K298" s="347">
        <v>120.65</v>
      </c>
      <c r="L298" s="347">
        <v>120.95</v>
      </c>
      <c r="M298" s="347">
        <v>5.0199999999999996</v>
      </c>
      <c r="N298" s="347">
        <v>125.37</v>
      </c>
      <c r="O298" s="348">
        <v>887</v>
      </c>
      <c r="P298" s="345">
        <v>103.02</v>
      </c>
      <c r="Q298" s="345">
        <v>101.02</v>
      </c>
      <c r="R298" s="345">
        <v>35.79</v>
      </c>
      <c r="S298" s="345">
        <v>135.79</v>
      </c>
      <c r="T298" s="345">
        <v>142</v>
      </c>
      <c r="U298" s="345">
        <v>179.56</v>
      </c>
      <c r="V298" s="345">
        <v>138</v>
      </c>
      <c r="W298" s="345">
        <v>121.1</v>
      </c>
      <c r="X298" s="345">
        <v>3</v>
      </c>
      <c r="Y298" s="345">
        <v>1</v>
      </c>
      <c r="Z298" s="345">
        <v>1</v>
      </c>
      <c r="AA298" s="345">
        <v>2</v>
      </c>
      <c r="AB298" s="345">
        <v>22</v>
      </c>
      <c r="AC298" s="345">
        <v>12</v>
      </c>
      <c r="AD298" s="349">
        <v>1025</v>
      </c>
      <c r="AE298" s="349">
        <v>3</v>
      </c>
      <c r="AF298" s="349">
        <v>2</v>
      </c>
      <c r="AG298" s="349">
        <v>5</v>
      </c>
    </row>
    <row r="299" spans="1:33" x14ac:dyDescent="0.2">
      <c r="A299" s="344" t="s">
        <v>652</v>
      </c>
      <c r="B299" s="350" t="s">
        <v>653</v>
      </c>
      <c r="C299" s="346">
        <v>2046</v>
      </c>
      <c r="D299" s="346">
        <v>0</v>
      </c>
      <c r="E299" s="346">
        <v>86</v>
      </c>
      <c r="F299" s="346">
        <v>348</v>
      </c>
      <c r="G299" s="346">
        <v>476</v>
      </c>
      <c r="H299" s="346">
        <v>2956</v>
      </c>
      <c r="I299" s="345">
        <v>2480</v>
      </c>
      <c r="J299" s="345">
        <v>0</v>
      </c>
      <c r="K299" s="347">
        <v>105.84</v>
      </c>
      <c r="L299" s="347">
        <v>104.63</v>
      </c>
      <c r="M299" s="347">
        <v>4.93</v>
      </c>
      <c r="N299" s="347">
        <v>109.57</v>
      </c>
      <c r="O299" s="348">
        <v>1415</v>
      </c>
      <c r="P299" s="345">
        <v>81.81</v>
      </c>
      <c r="Q299" s="345">
        <v>77.569999999999993</v>
      </c>
      <c r="R299" s="345">
        <v>35.86</v>
      </c>
      <c r="S299" s="345">
        <v>115.2</v>
      </c>
      <c r="T299" s="345">
        <v>232</v>
      </c>
      <c r="U299" s="345">
        <v>146.78</v>
      </c>
      <c r="V299" s="345">
        <v>610</v>
      </c>
      <c r="W299" s="345">
        <v>173.07</v>
      </c>
      <c r="X299" s="345">
        <v>55</v>
      </c>
      <c r="Y299" s="345">
        <v>0</v>
      </c>
      <c r="Z299" s="345">
        <v>0</v>
      </c>
      <c r="AA299" s="345">
        <v>1</v>
      </c>
      <c r="AB299" s="345">
        <v>15</v>
      </c>
      <c r="AC299" s="345">
        <v>10</v>
      </c>
      <c r="AD299" s="349">
        <v>2046</v>
      </c>
      <c r="AE299" s="349">
        <v>6</v>
      </c>
      <c r="AF299" s="349">
        <v>10</v>
      </c>
      <c r="AG299" s="349">
        <v>16</v>
      </c>
    </row>
    <row r="300" spans="1:33" x14ac:dyDescent="0.2">
      <c r="A300" s="344" t="s">
        <v>654</v>
      </c>
      <c r="B300" s="350" t="s">
        <v>655</v>
      </c>
      <c r="C300" s="346">
        <v>2664</v>
      </c>
      <c r="D300" s="346">
        <v>0</v>
      </c>
      <c r="E300" s="346">
        <v>300</v>
      </c>
      <c r="F300" s="346">
        <v>334</v>
      </c>
      <c r="G300" s="346">
        <v>356</v>
      </c>
      <c r="H300" s="346">
        <v>3654</v>
      </c>
      <c r="I300" s="345">
        <v>3298</v>
      </c>
      <c r="J300" s="345">
        <v>127</v>
      </c>
      <c r="K300" s="347">
        <v>113.58</v>
      </c>
      <c r="L300" s="347">
        <v>112.92</v>
      </c>
      <c r="M300" s="347">
        <v>6.81</v>
      </c>
      <c r="N300" s="347">
        <v>119.03</v>
      </c>
      <c r="O300" s="348">
        <v>2217</v>
      </c>
      <c r="P300" s="345">
        <v>102.84</v>
      </c>
      <c r="Q300" s="345">
        <v>99.37</v>
      </c>
      <c r="R300" s="345">
        <v>40.14</v>
      </c>
      <c r="S300" s="345">
        <v>142.62</v>
      </c>
      <c r="T300" s="345">
        <v>219</v>
      </c>
      <c r="U300" s="345">
        <v>152.68</v>
      </c>
      <c r="V300" s="345">
        <v>316</v>
      </c>
      <c r="W300" s="345">
        <v>0</v>
      </c>
      <c r="X300" s="345">
        <v>0</v>
      </c>
      <c r="Y300" s="345">
        <v>0</v>
      </c>
      <c r="Z300" s="345">
        <v>2</v>
      </c>
      <c r="AA300" s="345">
        <v>2</v>
      </c>
      <c r="AB300" s="345">
        <v>31</v>
      </c>
      <c r="AC300" s="345">
        <v>15</v>
      </c>
      <c r="AD300" s="349">
        <v>2542</v>
      </c>
      <c r="AE300" s="349">
        <v>12</v>
      </c>
      <c r="AF300" s="349">
        <v>2</v>
      </c>
      <c r="AG300" s="349">
        <v>14</v>
      </c>
    </row>
    <row r="301" spans="1:33" x14ac:dyDescent="0.2">
      <c r="A301" s="344" t="s">
        <v>656</v>
      </c>
      <c r="B301" s="350" t="s">
        <v>657</v>
      </c>
      <c r="C301" s="346">
        <v>7530</v>
      </c>
      <c r="D301" s="346">
        <v>4</v>
      </c>
      <c r="E301" s="346">
        <v>307</v>
      </c>
      <c r="F301" s="346">
        <v>1138</v>
      </c>
      <c r="G301" s="346">
        <v>570</v>
      </c>
      <c r="H301" s="346">
        <v>9549</v>
      </c>
      <c r="I301" s="345">
        <v>8979</v>
      </c>
      <c r="J301" s="345">
        <v>4</v>
      </c>
      <c r="K301" s="347">
        <v>121.07</v>
      </c>
      <c r="L301" s="347">
        <v>124.85</v>
      </c>
      <c r="M301" s="347">
        <v>4.3099999999999996</v>
      </c>
      <c r="N301" s="347">
        <v>123.19</v>
      </c>
      <c r="O301" s="348">
        <v>7175</v>
      </c>
      <c r="P301" s="345">
        <v>105.39</v>
      </c>
      <c r="Q301" s="345">
        <v>106.16</v>
      </c>
      <c r="R301" s="345">
        <v>22.48</v>
      </c>
      <c r="S301" s="345">
        <v>127.51</v>
      </c>
      <c r="T301" s="345">
        <v>1283</v>
      </c>
      <c r="U301" s="345">
        <v>150.77000000000001</v>
      </c>
      <c r="V301" s="345">
        <v>333</v>
      </c>
      <c r="W301" s="345">
        <v>180.67</v>
      </c>
      <c r="X301" s="345">
        <v>81</v>
      </c>
      <c r="Y301" s="345">
        <v>0</v>
      </c>
      <c r="Z301" s="345">
        <v>5</v>
      </c>
      <c r="AA301" s="345">
        <v>1</v>
      </c>
      <c r="AB301" s="345">
        <v>51</v>
      </c>
      <c r="AC301" s="345">
        <v>15</v>
      </c>
      <c r="AD301" s="349">
        <v>7517</v>
      </c>
      <c r="AE301" s="349">
        <v>12</v>
      </c>
      <c r="AF301" s="349">
        <v>4</v>
      </c>
      <c r="AG301" s="349">
        <v>16</v>
      </c>
    </row>
    <row r="302" spans="1:33" x14ac:dyDescent="0.2">
      <c r="A302" s="344" t="s">
        <v>658</v>
      </c>
      <c r="B302" s="350" t="s">
        <v>659</v>
      </c>
      <c r="C302" s="346">
        <v>1969</v>
      </c>
      <c r="D302" s="346">
        <v>2</v>
      </c>
      <c r="E302" s="346">
        <v>29</v>
      </c>
      <c r="F302" s="346">
        <v>372</v>
      </c>
      <c r="G302" s="346">
        <v>107</v>
      </c>
      <c r="H302" s="346">
        <v>2479</v>
      </c>
      <c r="I302" s="345">
        <v>2372</v>
      </c>
      <c r="J302" s="345">
        <v>5</v>
      </c>
      <c r="K302" s="347">
        <v>88.58</v>
      </c>
      <c r="L302" s="347">
        <v>85.17</v>
      </c>
      <c r="M302" s="347">
        <v>5.15</v>
      </c>
      <c r="N302" s="347">
        <v>90.04</v>
      </c>
      <c r="O302" s="348">
        <v>1822</v>
      </c>
      <c r="P302" s="345">
        <v>80.88</v>
      </c>
      <c r="Q302" s="345">
        <v>75.69</v>
      </c>
      <c r="R302" s="345">
        <v>20.399999999999999</v>
      </c>
      <c r="S302" s="345">
        <v>101.1</v>
      </c>
      <c r="T302" s="345">
        <v>335</v>
      </c>
      <c r="U302" s="345">
        <v>117.3</v>
      </c>
      <c r="V302" s="345">
        <v>98</v>
      </c>
      <c r="W302" s="345">
        <v>87.34</v>
      </c>
      <c r="X302" s="345">
        <v>4</v>
      </c>
      <c r="Y302" s="345">
        <v>36</v>
      </c>
      <c r="Z302" s="345">
        <v>1</v>
      </c>
      <c r="AA302" s="345">
        <v>0</v>
      </c>
      <c r="AB302" s="345">
        <v>23</v>
      </c>
      <c r="AC302" s="345">
        <v>0</v>
      </c>
      <c r="AD302" s="349">
        <v>1902</v>
      </c>
      <c r="AE302" s="349">
        <v>6</v>
      </c>
      <c r="AF302" s="349">
        <v>4</v>
      </c>
      <c r="AG302" s="349">
        <v>10</v>
      </c>
    </row>
    <row r="303" spans="1:33" x14ac:dyDescent="0.2">
      <c r="A303" s="344" t="s">
        <v>660</v>
      </c>
      <c r="B303" s="350" t="s">
        <v>661</v>
      </c>
      <c r="C303" s="346">
        <v>720</v>
      </c>
      <c r="D303" s="346">
        <v>1</v>
      </c>
      <c r="E303" s="346">
        <v>157</v>
      </c>
      <c r="F303" s="346">
        <v>373</v>
      </c>
      <c r="G303" s="346">
        <v>269</v>
      </c>
      <c r="H303" s="346">
        <v>1520</v>
      </c>
      <c r="I303" s="345">
        <v>1251</v>
      </c>
      <c r="J303" s="345">
        <v>0</v>
      </c>
      <c r="K303" s="347">
        <v>95.58</v>
      </c>
      <c r="L303" s="347">
        <v>91.1</v>
      </c>
      <c r="M303" s="347">
        <v>5.47</v>
      </c>
      <c r="N303" s="347">
        <v>98.9</v>
      </c>
      <c r="O303" s="348">
        <v>501</v>
      </c>
      <c r="P303" s="345">
        <v>99.48</v>
      </c>
      <c r="Q303" s="345">
        <v>94.5</v>
      </c>
      <c r="R303" s="345">
        <v>36.270000000000003</v>
      </c>
      <c r="S303" s="345">
        <v>135.53</v>
      </c>
      <c r="T303" s="345">
        <v>499</v>
      </c>
      <c r="U303" s="345">
        <v>110.03</v>
      </c>
      <c r="V303" s="345">
        <v>184</v>
      </c>
      <c r="W303" s="345">
        <v>0</v>
      </c>
      <c r="X303" s="345">
        <v>0</v>
      </c>
      <c r="Y303" s="345">
        <v>0</v>
      </c>
      <c r="Z303" s="345">
        <v>0</v>
      </c>
      <c r="AA303" s="345">
        <v>0</v>
      </c>
      <c r="AB303" s="345">
        <v>7</v>
      </c>
      <c r="AC303" s="345">
        <v>1</v>
      </c>
      <c r="AD303" s="349">
        <v>709</v>
      </c>
      <c r="AE303" s="349">
        <v>9</v>
      </c>
      <c r="AF303" s="349">
        <v>12</v>
      </c>
      <c r="AG303" s="349">
        <v>21</v>
      </c>
    </row>
    <row r="304" spans="1:33" x14ac:dyDescent="0.2">
      <c r="A304" s="344" t="s">
        <v>662</v>
      </c>
      <c r="B304" s="350" t="s">
        <v>663</v>
      </c>
      <c r="C304" s="346">
        <v>4156</v>
      </c>
      <c r="D304" s="346">
        <v>0</v>
      </c>
      <c r="E304" s="346">
        <v>65</v>
      </c>
      <c r="F304" s="346">
        <v>435</v>
      </c>
      <c r="G304" s="346">
        <v>310</v>
      </c>
      <c r="H304" s="346">
        <v>4966</v>
      </c>
      <c r="I304" s="345">
        <v>4656</v>
      </c>
      <c r="J304" s="345">
        <v>0</v>
      </c>
      <c r="K304" s="347">
        <v>81.67</v>
      </c>
      <c r="L304" s="347">
        <v>81.63</v>
      </c>
      <c r="M304" s="347">
        <v>3.53</v>
      </c>
      <c r="N304" s="347">
        <v>82.69</v>
      </c>
      <c r="O304" s="348">
        <v>4047</v>
      </c>
      <c r="P304" s="345">
        <v>75.02</v>
      </c>
      <c r="Q304" s="345">
        <v>74.67</v>
      </c>
      <c r="R304" s="345">
        <v>25.6</v>
      </c>
      <c r="S304" s="345">
        <v>100.25</v>
      </c>
      <c r="T304" s="345">
        <v>487</v>
      </c>
      <c r="U304" s="345">
        <v>93.49</v>
      </c>
      <c r="V304" s="345">
        <v>66</v>
      </c>
      <c r="W304" s="345">
        <v>114.56</v>
      </c>
      <c r="X304" s="345">
        <v>8</v>
      </c>
      <c r="Y304" s="345">
        <v>0</v>
      </c>
      <c r="Z304" s="345">
        <v>13</v>
      </c>
      <c r="AA304" s="345">
        <v>7</v>
      </c>
      <c r="AB304" s="345">
        <v>4</v>
      </c>
      <c r="AC304" s="345">
        <v>9</v>
      </c>
      <c r="AD304" s="349">
        <v>4145</v>
      </c>
      <c r="AE304" s="349">
        <v>37</v>
      </c>
      <c r="AF304" s="349">
        <v>5</v>
      </c>
      <c r="AG304" s="349">
        <v>42</v>
      </c>
    </row>
    <row r="305" spans="1:33" x14ac:dyDescent="0.2">
      <c r="A305" s="344" t="s">
        <v>800</v>
      </c>
      <c r="B305" s="350" t="s">
        <v>798</v>
      </c>
      <c r="C305" s="346">
        <v>10394</v>
      </c>
      <c r="D305" s="346">
        <v>49</v>
      </c>
      <c r="E305" s="346">
        <v>388</v>
      </c>
      <c r="F305" s="346">
        <v>2395</v>
      </c>
      <c r="G305" s="346">
        <v>1877</v>
      </c>
      <c r="H305" s="346">
        <v>15103</v>
      </c>
      <c r="I305" s="345">
        <v>13226</v>
      </c>
      <c r="J305" s="345">
        <v>12</v>
      </c>
      <c r="K305" s="347">
        <v>98.91</v>
      </c>
      <c r="L305" s="347">
        <v>99.08</v>
      </c>
      <c r="M305" s="347">
        <v>5.52</v>
      </c>
      <c r="N305" s="347">
        <v>102.48</v>
      </c>
      <c r="O305" s="348">
        <v>9221</v>
      </c>
      <c r="P305" s="345">
        <v>93.37</v>
      </c>
      <c r="Q305" s="345">
        <v>94.66</v>
      </c>
      <c r="R305" s="345">
        <v>27.49</v>
      </c>
      <c r="S305" s="345">
        <v>112.42</v>
      </c>
      <c r="T305" s="345">
        <v>2721</v>
      </c>
      <c r="U305" s="345">
        <v>123.67</v>
      </c>
      <c r="V305" s="345">
        <v>785</v>
      </c>
      <c r="W305" s="345">
        <v>0</v>
      </c>
      <c r="X305" s="345">
        <v>0</v>
      </c>
      <c r="Y305" s="345">
        <v>83</v>
      </c>
      <c r="Z305" s="345">
        <v>43</v>
      </c>
      <c r="AA305" s="345">
        <v>48</v>
      </c>
      <c r="AB305" s="345">
        <v>103</v>
      </c>
      <c r="AC305" s="345">
        <v>38</v>
      </c>
      <c r="AD305" s="349">
        <v>10140</v>
      </c>
      <c r="AE305" s="349">
        <v>56</v>
      </c>
      <c r="AF305" s="349">
        <v>35</v>
      </c>
      <c r="AG305" s="349">
        <v>91</v>
      </c>
    </row>
    <row r="306" spans="1:33" x14ac:dyDescent="0.2">
      <c r="A306" s="344" t="s">
        <v>664</v>
      </c>
      <c r="B306" s="350" t="s">
        <v>665</v>
      </c>
      <c r="C306" s="346">
        <v>5221</v>
      </c>
      <c r="D306" s="346">
        <v>4</v>
      </c>
      <c r="E306" s="346">
        <v>117</v>
      </c>
      <c r="F306" s="346">
        <v>341</v>
      </c>
      <c r="G306" s="346">
        <v>520</v>
      </c>
      <c r="H306" s="346">
        <v>6203</v>
      </c>
      <c r="I306" s="345">
        <v>5683</v>
      </c>
      <c r="J306" s="345">
        <v>82</v>
      </c>
      <c r="K306" s="347">
        <v>111.92</v>
      </c>
      <c r="L306" s="347">
        <v>119.88</v>
      </c>
      <c r="M306" s="347">
        <v>4.5199999999999996</v>
      </c>
      <c r="N306" s="347">
        <v>113.4</v>
      </c>
      <c r="O306" s="348">
        <v>4765</v>
      </c>
      <c r="P306" s="345">
        <v>94.49</v>
      </c>
      <c r="Q306" s="345">
        <v>93.76</v>
      </c>
      <c r="R306" s="345">
        <v>37.159999999999997</v>
      </c>
      <c r="S306" s="345">
        <v>131.57</v>
      </c>
      <c r="T306" s="345">
        <v>451</v>
      </c>
      <c r="U306" s="345">
        <v>155.22</v>
      </c>
      <c r="V306" s="345">
        <v>306</v>
      </c>
      <c r="W306" s="345">
        <v>0</v>
      </c>
      <c r="X306" s="345">
        <v>0</v>
      </c>
      <c r="Y306" s="345">
        <v>0</v>
      </c>
      <c r="Z306" s="345">
        <v>5</v>
      </c>
      <c r="AA306" s="345">
        <v>1</v>
      </c>
      <c r="AB306" s="345">
        <v>15</v>
      </c>
      <c r="AC306" s="345">
        <v>14</v>
      </c>
      <c r="AD306" s="349">
        <v>5063</v>
      </c>
      <c r="AE306" s="349">
        <v>10</v>
      </c>
      <c r="AF306" s="349">
        <v>6</v>
      </c>
      <c r="AG306" s="349">
        <v>16</v>
      </c>
    </row>
    <row r="307" spans="1:33" x14ac:dyDescent="0.2">
      <c r="A307" s="344" t="s">
        <v>666</v>
      </c>
      <c r="B307" s="350" t="s">
        <v>667</v>
      </c>
      <c r="C307" s="346">
        <v>10427</v>
      </c>
      <c r="D307" s="346">
        <v>27</v>
      </c>
      <c r="E307" s="346">
        <v>422</v>
      </c>
      <c r="F307" s="346">
        <v>1272</v>
      </c>
      <c r="G307" s="346">
        <v>623</v>
      </c>
      <c r="H307" s="346">
        <v>12771</v>
      </c>
      <c r="I307" s="345">
        <v>12148</v>
      </c>
      <c r="J307" s="345">
        <v>5</v>
      </c>
      <c r="K307" s="347">
        <v>93.21</v>
      </c>
      <c r="L307" s="347">
        <v>92.63</v>
      </c>
      <c r="M307" s="347">
        <v>4.55</v>
      </c>
      <c r="N307" s="347">
        <v>94.24</v>
      </c>
      <c r="O307" s="348">
        <v>9236</v>
      </c>
      <c r="P307" s="345">
        <v>84.37</v>
      </c>
      <c r="Q307" s="345">
        <v>83.51</v>
      </c>
      <c r="R307" s="345">
        <v>38.26</v>
      </c>
      <c r="S307" s="345">
        <v>121.16</v>
      </c>
      <c r="T307" s="345">
        <v>1589</v>
      </c>
      <c r="U307" s="345">
        <v>128.25</v>
      </c>
      <c r="V307" s="345">
        <v>1013</v>
      </c>
      <c r="W307" s="345">
        <v>104.13</v>
      </c>
      <c r="X307" s="345">
        <v>15</v>
      </c>
      <c r="Y307" s="345">
        <v>0</v>
      </c>
      <c r="Z307" s="345">
        <v>32</v>
      </c>
      <c r="AA307" s="345">
        <v>17</v>
      </c>
      <c r="AB307" s="345">
        <v>9</v>
      </c>
      <c r="AC307" s="345">
        <v>23</v>
      </c>
      <c r="AD307" s="349">
        <v>10341</v>
      </c>
      <c r="AE307" s="349">
        <v>38</v>
      </c>
      <c r="AF307" s="349">
        <v>21</v>
      </c>
      <c r="AG307" s="349">
        <v>59</v>
      </c>
    </row>
    <row r="308" spans="1:33" x14ac:dyDescent="0.2">
      <c r="A308" s="344" t="s">
        <v>668</v>
      </c>
      <c r="B308" s="350" t="s">
        <v>669</v>
      </c>
      <c r="C308" s="346">
        <v>12405</v>
      </c>
      <c r="D308" s="346">
        <v>581</v>
      </c>
      <c r="E308" s="346">
        <v>1354</v>
      </c>
      <c r="F308" s="346">
        <v>972</v>
      </c>
      <c r="G308" s="346">
        <v>743</v>
      </c>
      <c r="H308" s="346">
        <v>16055</v>
      </c>
      <c r="I308" s="345">
        <v>15312</v>
      </c>
      <c r="J308" s="345">
        <v>324</v>
      </c>
      <c r="K308" s="347">
        <v>141.51</v>
      </c>
      <c r="L308" s="347">
        <v>155.58000000000001</v>
      </c>
      <c r="M308" s="347">
        <v>10.62</v>
      </c>
      <c r="N308" s="347">
        <v>149.66</v>
      </c>
      <c r="O308" s="348">
        <v>10192</v>
      </c>
      <c r="P308" s="345">
        <v>118.07</v>
      </c>
      <c r="Q308" s="345">
        <v>119.88</v>
      </c>
      <c r="R308" s="345">
        <v>56.31</v>
      </c>
      <c r="S308" s="345">
        <v>171.99</v>
      </c>
      <c r="T308" s="345">
        <v>1910</v>
      </c>
      <c r="U308" s="345">
        <v>211.66</v>
      </c>
      <c r="V308" s="345">
        <v>461</v>
      </c>
      <c r="W308" s="345">
        <v>152.97</v>
      </c>
      <c r="X308" s="345">
        <v>1</v>
      </c>
      <c r="Y308" s="345">
        <v>17</v>
      </c>
      <c r="Z308" s="345">
        <v>3</v>
      </c>
      <c r="AA308" s="345">
        <v>27</v>
      </c>
      <c r="AB308" s="345">
        <v>24</v>
      </c>
      <c r="AC308" s="345">
        <v>26</v>
      </c>
      <c r="AD308" s="349">
        <v>10902</v>
      </c>
      <c r="AE308" s="349">
        <v>19</v>
      </c>
      <c r="AF308" s="349">
        <v>114</v>
      </c>
      <c r="AG308" s="349">
        <v>133</v>
      </c>
    </row>
    <row r="309" spans="1:33" x14ac:dyDescent="0.2">
      <c r="A309" s="344" t="s">
        <v>670</v>
      </c>
      <c r="B309" s="350" t="s">
        <v>671</v>
      </c>
      <c r="C309" s="346">
        <v>1984</v>
      </c>
      <c r="D309" s="346">
        <v>4</v>
      </c>
      <c r="E309" s="346">
        <v>551</v>
      </c>
      <c r="F309" s="346">
        <v>992</v>
      </c>
      <c r="G309" s="346">
        <v>285</v>
      </c>
      <c r="H309" s="346">
        <v>3816</v>
      </c>
      <c r="I309" s="345">
        <v>3531</v>
      </c>
      <c r="J309" s="345">
        <v>70</v>
      </c>
      <c r="K309" s="347">
        <v>81.430000000000007</v>
      </c>
      <c r="L309" s="347">
        <v>79.56</v>
      </c>
      <c r="M309" s="347">
        <v>8.27</v>
      </c>
      <c r="N309" s="347">
        <v>85.64</v>
      </c>
      <c r="O309" s="348">
        <v>1736</v>
      </c>
      <c r="P309" s="345">
        <v>82.27</v>
      </c>
      <c r="Q309" s="345">
        <v>75.7</v>
      </c>
      <c r="R309" s="345">
        <v>46.89</v>
      </c>
      <c r="S309" s="345">
        <v>126.89</v>
      </c>
      <c r="T309" s="345">
        <v>1404</v>
      </c>
      <c r="U309" s="345">
        <v>98.93</v>
      </c>
      <c r="V309" s="345">
        <v>170</v>
      </c>
      <c r="W309" s="345">
        <v>162.78</v>
      </c>
      <c r="X309" s="345">
        <v>20</v>
      </c>
      <c r="Y309" s="345">
        <v>0</v>
      </c>
      <c r="Z309" s="345">
        <v>1</v>
      </c>
      <c r="AA309" s="345">
        <v>14</v>
      </c>
      <c r="AB309" s="345">
        <v>3</v>
      </c>
      <c r="AC309" s="345">
        <v>7</v>
      </c>
      <c r="AD309" s="349">
        <v>1903</v>
      </c>
      <c r="AE309" s="349">
        <v>26</v>
      </c>
      <c r="AF309" s="349">
        <v>15</v>
      </c>
      <c r="AG309" s="349">
        <v>41</v>
      </c>
    </row>
    <row r="310" spans="1:33" x14ac:dyDescent="0.2">
      <c r="A310" s="344" t="s">
        <v>672</v>
      </c>
      <c r="B310" s="350" t="s">
        <v>673</v>
      </c>
      <c r="C310" s="346">
        <v>21232</v>
      </c>
      <c r="D310" s="346">
        <v>25</v>
      </c>
      <c r="E310" s="346">
        <v>621</v>
      </c>
      <c r="F310" s="346">
        <v>3116</v>
      </c>
      <c r="G310" s="346">
        <v>1353</v>
      </c>
      <c r="H310" s="346">
        <v>26347</v>
      </c>
      <c r="I310" s="345">
        <v>24994</v>
      </c>
      <c r="J310" s="345">
        <v>24</v>
      </c>
      <c r="K310" s="347">
        <v>101.82</v>
      </c>
      <c r="L310" s="347">
        <v>102.18</v>
      </c>
      <c r="M310" s="347">
        <v>3.87</v>
      </c>
      <c r="N310" s="347">
        <v>103.73</v>
      </c>
      <c r="O310" s="348">
        <v>19035</v>
      </c>
      <c r="P310" s="345">
        <v>92.52</v>
      </c>
      <c r="Q310" s="345">
        <v>91.63</v>
      </c>
      <c r="R310" s="345">
        <v>23.75</v>
      </c>
      <c r="S310" s="345">
        <v>115.22</v>
      </c>
      <c r="T310" s="345">
        <v>3369</v>
      </c>
      <c r="U310" s="345">
        <v>125.46</v>
      </c>
      <c r="V310" s="345">
        <v>1613</v>
      </c>
      <c r="W310" s="345">
        <v>126.2</v>
      </c>
      <c r="X310" s="345">
        <v>34</v>
      </c>
      <c r="Y310" s="345">
        <v>0</v>
      </c>
      <c r="Z310" s="345">
        <v>22</v>
      </c>
      <c r="AA310" s="345">
        <v>58</v>
      </c>
      <c r="AB310" s="345">
        <v>88</v>
      </c>
      <c r="AC310" s="345">
        <v>35</v>
      </c>
      <c r="AD310" s="349">
        <v>20698</v>
      </c>
      <c r="AE310" s="349">
        <v>81</v>
      </c>
      <c r="AF310" s="349">
        <v>142</v>
      </c>
      <c r="AG310" s="349">
        <v>223</v>
      </c>
    </row>
    <row r="311" spans="1:33" x14ac:dyDescent="0.2">
      <c r="A311" s="344" t="s">
        <v>674</v>
      </c>
      <c r="B311" s="350" t="s">
        <v>675</v>
      </c>
      <c r="C311" s="346">
        <v>2081</v>
      </c>
      <c r="D311" s="346">
        <v>0</v>
      </c>
      <c r="E311" s="346">
        <v>249</v>
      </c>
      <c r="F311" s="346">
        <v>225</v>
      </c>
      <c r="G311" s="346">
        <v>335</v>
      </c>
      <c r="H311" s="346">
        <v>2890</v>
      </c>
      <c r="I311" s="345">
        <v>2555</v>
      </c>
      <c r="J311" s="345">
        <v>9</v>
      </c>
      <c r="K311" s="347">
        <v>116.06</v>
      </c>
      <c r="L311" s="347">
        <v>113.36</v>
      </c>
      <c r="M311" s="347">
        <v>6.41</v>
      </c>
      <c r="N311" s="347">
        <v>122.03</v>
      </c>
      <c r="O311" s="348">
        <v>1674</v>
      </c>
      <c r="P311" s="345">
        <v>96.03</v>
      </c>
      <c r="Q311" s="345">
        <v>92.42</v>
      </c>
      <c r="R311" s="345">
        <v>39.869999999999997</v>
      </c>
      <c r="S311" s="345">
        <v>132.09</v>
      </c>
      <c r="T311" s="345">
        <v>439</v>
      </c>
      <c r="U311" s="345">
        <v>163.69999999999999</v>
      </c>
      <c r="V311" s="345">
        <v>205</v>
      </c>
      <c r="W311" s="345">
        <v>0</v>
      </c>
      <c r="X311" s="345">
        <v>0</v>
      </c>
      <c r="Y311" s="345">
        <v>1</v>
      </c>
      <c r="Z311" s="345">
        <v>6</v>
      </c>
      <c r="AA311" s="345">
        <v>0</v>
      </c>
      <c r="AB311" s="345">
        <v>10</v>
      </c>
      <c r="AC311" s="345">
        <v>18</v>
      </c>
      <c r="AD311" s="349">
        <v>1914</v>
      </c>
      <c r="AE311" s="349">
        <v>12</v>
      </c>
      <c r="AF311" s="349">
        <v>8</v>
      </c>
      <c r="AG311" s="349">
        <v>20</v>
      </c>
    </row>
    <row r="312" spans="1:33" x14ac:dyDescent="0.2">
      <c r="A312" s="344" t="s">
        <v>676</v>
      </c>
      <c r="B312" s="350" t="s">
        <v>677</v>
      </c>
      <c r="C312" s="346">
        <v>6722</v>
      </c>
      <c r="D312" s="346">
        <v>16</v>
      </c>
      <c r="E312" s="346">
        <v>208</v>
      </c>
      <c r="F312" s="346">
        <v>902</v>
      </c>
      <c r="G312" s="346">
        <v>239</v>
      </c>
      <c r="H312" s="346">
        <v>8087</v>
      </c>
      <c r="I312" s="345">
        <v>7848</v>
      </c>
      <c r="J312" s="345">
        <v>8</v>
      </c>
      <c r="K312" s="347">
        <v>123.94</v>
      </c>
      <c r="L312" s="347">
        <v>126.71</v>
      </c>
      <c r="M312" s="347">
        <v>4.67</v>
      </c>
      <c r="N312" s="347">
        <v>126.69</v>
      </c>
      <c r="O312" s="348">
        <v>6409</v>
      </c>
      <c r="P312" s="345">
        <v>107.41</v>
      </c>
      <c r="Q312" s="345">
        <v>107.18</v>
      </c>
      <c r="R312" s="345">
        <v>20.83</v>
      </c>
      <c r="S312" s="345">
        <v>127.62</v>
      </c>
      <c r="T312" s="345">
        <v>1066</v>
      </c>
      <c r="U312" s="345">
        <v>175.56</v>
      </c>
      <c r="V312" s="345">
        <v>279</v>
      </c>
      <c r="W312" s="345">
        <v>145.43</v>
      </c>
      <c r="X312" s="345">
        <v>1</v>
      </c>
      <c r="Y312" s="345">
        <v>0</v>
      </c>
      <c r="Z312" s="345">
        <v>5</v>
      </c>
      <c r="AA312" s="345">
        <v>4</v>
      </c>
      <c r="AB312" s="345">
        <v>36</v>
      </c>
      <c r="AC312" s="345">
        <v>9</v>
      </c>
      <c r="AD312" s="349">
        <v>6720</v>
      </c>
      <c r="AE312" s="349">
        <v>14</v>
      </c>
      <c r="AF312" s="349">
        <v>5</v>
      </c>
      <c r="AG312" s="349">
        <v>19</v>
      </c>
    </row>
    <row r="313" spans="1:33" x14ac:dyDescent="0.2">
      <c r="A313" s="344" t="s">
        <v>678</v>
      </c>
      <c r="B313" s="350" t="s">
        <v>679</v>
      </c>
      <c r="C313" s="346">
        <v>17445</v>
      </c>
      <c r="D313" s="346">
        <v>566</v>
      </c>
      <c r="E313" s="346">
        <v>1093</v>
      </c>
      <c r="F313" s="346">
        <v>3716</v>
      </c>
      <c r="G313" s="346">
        <v>476</v>
      </c>
      <c r="H313" s="346">
        <v>23296</v>
      </c>
      <c r="I313" s="345">
        <v>22820</v>
      </c>
      <c r="J313" s="345">
        <v>31</v>
      </c>
      <c r="K313" s="347">
        <v>88.04</v>
      </c>
      <c r="L313" s="347">
        <v>85.72</v>
      </c>
      <c r="M313" s="347">
        <v>6</v>
      </c>
      <c r="N313" s="347">
        <v>90.05</v>
      </c>
      <c r="O313" s="348">
        <v>14572</v>
      </c>
      <c r="P313" s="345">
        <v>82.9</v>
      </c>
      <c r="Q313" s="345">
        <v>80.42</v>
      </c>
      <c r="R313" s="345">
        <v>24.59</v>
      </c>
      <c r="S313" s="345">
        <v>106.25</v>
      </c>
      <c r="T313" s="345">
        <v>3630</v>
      </c>
      <c r="U313" s="345">
        <v>110.84</v>
      </c>
      <c r="V313" s="345">
        <v>1593</v>
      </c>
      <c r="W313" s="345">
        <v>141.77000000000001</v>
      </c>
      <c r="X313" s="345">
        <v>118</v>
      </c>
      <c r="Y313" s="345">
        <v>7</v>
      </c>
      <c r="Z313" s="345">
        <v>41</v>
      </c>
      <c r="AA313" s="345">
        <v>18</v>
      </c>
      <c r="AB313" s="345">
        <v>0</v>
      </c>
      <c r="AC313" s="345">
        <v>2</v>
      </c>
      <c r="AD313" s="349">
        <v>16085</v>
      </c>
      <c r="AE313" s="349">
        <v>179</v>
      </c>
      <c r="AF313" s="349">
        <v>265</v>
      </c>
      <c r="AG313" s="349">
        <v>444</v>
      </c>
    </row>
    <row r="314" spans="1:33" x14ac:dyDescent="0.2">
      <c r="A314" s="344" t="s">
        <v>680</v>
      </c>
      <c r="B314" s="350" t="s">
        <v>681</v>
      </c>
      <c r="C314" s="346">
        <v>860</v>
      </c>
      <c r="D314" s="346">
        <v>4</v>
      </c>
      <c r="E314" s="346">
        <v>166</v>
      </c>
      <c r="F314" s="346">
        <v>315</v>
      </c>
      <c r="G314" s="346">
        <v>246</v>
      </c>
      <c r="H314" s="346">
        <v>1591</v>
      </c>
      <c r="I314" s="345">
        <v>1345</v>
      </c>
      <c r="J314" s="345">
        <v>1</v>
      </c>
      <c r="K314" s="347">
        <v>127.59</v>
      </c>
      <c r="L314" s="347">
        <v>126.57</v>
      </c>
      <c r="M314" s="347">
        <v>8.5500000000000007</v>
      </c>
      <c r="N314" s="347">
        <v>134.43</v>
      </c>
      <c r="O314" s="348">
        <v>699</v>
      </c>
      <c r="P314" s="345">
        <v>103.07</v>
      </c>
      <c r="Q314" s="345">
        <v>98.53</v>
      </c>
      <c r="R314" s="345">
        <v>36.15</v>
      </c>
      <c r="S314" s="345">
        <v>138.93</v>
      </c>
      <c r="T314" s="345">
        <v>251</v>
      </c>
      <c r="U314" s="345">
        <v>171.8</v>
      </c>
      <c r="V314" s="345">
        <v>19</v>
      </c>
      <c r="W314" s="345">
        <v>138.6</v>
      </c>
      <c r="X314" s="345">
        <v>15</v>
      </c>
      <c r="Y314" s="345">
        <v>0</v>
      </c>
      <c r="Z314" s="345">
        <v>3</v>
      </c>
      <c r="AA314" s="345">
        <v>0</v>
      </c>
      <c r="AB314" s="345">
        <v>15</v>
      </c>
      <c r="AC314" s="345">
        <v>7</v>
      </c>
      <c r="AD314" s="349">
        <v>742</v>
      </c>
      <c r="AE314" s="349">
        <v>7</v>
      </c>
      <c r="AF314" s="349">
        <v>0</v>
      </c>
      <c r="AG314" s="349">
        <v>7</v>
      </c>
    </row>
    <row r="315" spans="1:33" x14ac:dyDescent="0.2">
      <c r="A315" s="344" t="s">
        <v>682</v>
      </c>
      <c r="B315" s="350" t="s">
        <v>683</v>
      </c>
      <c r="C315" s="346">
        <v>1334</v>
      </c>
      <c r="D315" s="346">
        <v>3</v>
      </c>
      <c r="E315" s="346">
        <v>114</v>
      </c>
      <c r="F315" s="346">
        <v>202</v>
      </c>
      <c r="G315" s="346">
        <v>568</v>
      </c>
      <c r="H315" s="346">
        <v>2221</v>
      </c>
      <c r="I315" s="345">
        <v>1653</v>
      </c>
      <c r="J315" s="345">
        <v>1</v>
      </c>
      <c r="K315" s="347">
        <v>130.31</v>
      </c>
      <c r="L315" s="347">
        <v>128.96</v>
      </c>
      <c r="M315" s="347">
        <v>5.38</v>
      </c>
      <c r="N315" s="347">
        <v>134.72999999999999</v>
      </c>
      <c r="O315" s="348">
        <v>1190</v>
      </c>
      <c r="P315" s="345">
        <v>110.33</v>
      </c>
      <c r="Q315" s="345">
        <v>105.65</v>
      </c>
      <c r="R315" s="345">
        <v>32.130000000000003</v>
      </c>
      <c r="S315" s="345">
        <v>142.35</v>
      </c>
      <c r="T315" s="345">
        <v>304</v>
      </c>
      <c r="U315" s="345">
        <v>158.27000000000001</v>
      </c>
      <c r="V315" s="345">
        <v>68</v>
      </c>
      <c r="W315" s="345">
        <v>0</v>
      </c>
      <c r="X315" s="345">
        <v>0</v>
      </c>
      <c r="Y315" s="345">
        <v>0</v>
      </c>
      <c r="Z315" s="345">
        <v>0</v>
      </c>
      <c r="AA315" s="345">
        <v>0</v>
      </c>
      <c r="AB315" s="345">
        <v>20</v>
      </c>
      <c r="AC315" s="345">
        <v>23</v>
      </c>
      <c r="AD315" s="349">
        <v>1268</v>
      </c>
      <c r="AE315" s="349">
        <v>1</v>
      </c>
      <c r="AF315" s="349">
        <v>1</v>
      </c>
      <c r="AG315" s="349">
        <v>2</v>
      </c>
    </row>
    <row r="316" spans="1:33" x14ac:dyDescent="0.2">
      <c r="A316" s="344" t="s">
        <v>684</v>
      </c>
      <c r="B316" s="350" t="s">
        <v>685</v>
      </c>
      <c r="C316" s="346">
        <v>4142</v>
      </c>
      <c r="D316" s="346">
        <v>0</v>
      </c>
      <c r="E316" s="346">
        <v>546</v>
      </c>
      <c r="F316" s="346">
        <v>1494</v>
      </c>
      <c r="G316" s="346">
        <v>297</v>
      </c>
      <c r="H316" s="346">
        <v>6479</v>
      </c>
      <c r="I316" s="345">
        <v>6182</v>
      </c>
      <c r="J316" s="345">
        <v>51</v>
      </c>
      <c r="K316" s="347">
        <v>90.06</v>
      </c>
      <c r="L316" s="347">
        <v>89.27</v>
      </c>
      <c r="M316" s="347">
        <v>5.96</v>
      </c>
      <c r="N316" s="347">
        <v>94.78</v>
      </c>
      <c r="O316" s="348">
        <v>3827</v>
      </c>
      <c r="P316" s="345">
        <v>93.19</v>
      </c>
      <c r="Q316" s="345">
        <v>91.4</v>
      </c>
      <c r="R316" s="345">
        <v>47.97</v>
      </c>
      <c r="S316" s="345">
        <v>136.12</v>
      </c>
      <c r="T316" s="345">
        <v>1850</v>
      </c>
      <c r="U316" s="345">
        <v>106.02</v>
      </c>
      <c r="V316" s="345">
        <v>185</v>
      </c>
      <c r="W316" s="345">
        <v>164.2</v>
      </c>
      <c r="X316" s="345">
        <v>40</v>
      </c>
      <c r="Y316" s="345">
        <v>0</v>
      </c>
      <c r="Z316" s="345">
        <v>1</v>
      </c>
      <c r="AA316" s="345">
        <v>0</v>
      </c>
      <c r="AB316" s="345">
        <v>0</v>
      </c>
      <c r="AC316" s="345">
        <v>15</v>
      </c>
      <c r="AD316" s="349">
        <v>4136</v>
      </c>
      <c r="AE316" s="349">
        <v>25</v>
      </c>
      <c r="AF316" s="349">
        <v>24</v>
      </c>
      <c r="AG316" s="349">
        <v>49</v>
      </c>
    </row>
    <row r="317" spans="1:33" x14ac:dyDescent="0.2">
      <c r="A317" s="344" t="s">
        <v>686</v>
      </c>
      <c r="B317" s="350" t="s">
        <v>687</v>
      </c>
      <c r="C317" s="346">
        <v>5884</v>
      </c>
      <c r="D317" s="346">
        <v>57</v>
      </c>
      <c r="E317" s="346">
        <v>377</v>
      </c>
      <c r="F317" s="346">
        <v>1029</v>
      </c>
      <c r="G317" s="346">
        <v>500</v>
      </c>
      <c r="H317" s="346">
        <v>7847</v>
      </c>
      <c r="I317" s="345">
        <v>7347</v>
      </c>
      <c r="J317" s="345">
        <v>0</v>
      </c>
      <c r="K317" s="347">
        <v>88.83</v>
      </c>
      <c r="L317" s="347">
        <v>90.51</v>
      </c>
      <c r="M317" s="347">
        <v>5.46</v>
      </c>
      <c r="N317" s="347">
        <v>93.84</v>
      </c>
      <c r="O317" s="348">
        <v>5219</v>
      </c>
      <c r="P317" s="345">
        <v>78.650000000000006</v>
      </c>
      <c r="Q317" s="345">
        <v>79.62</v>
      </c>
      <c r="R317" s="345">
        <v>34.549999999999997</v>
      </c>
      <c r="S317" s="345">
        <v>112.35</v>
      </c>
      <c r="T317" s="345">
        <v>1154</v>
      </c>
      <c r="U317" s="345">
        <v>108.26</v>
      </c>
      <c r="V317" s="345">
        <v>593</v>
      </c>
      <c r="W317" s="345">
        <v>180.57</v>
      </c>
      <c r="X317" s="345">
        <v>132</v>
      </c>
      <c r="Y317" s="345">
        <v>0</v>
      </c>
      <c r="Z317" s="345">
        <v>22</v>
      </c>
      <c r="AA317" s="345">
        <v>3</v>
      </c>
      <c r="AB317" s="345">
        <v>38</v>
      </c>
      <c r="AC317" s="345">
        <v>10</v>
      </c>
      <c r="AD317" s="349">
        <v>5864</v>
      </c>
      <c r="AE317" s="349">
        <v>53</v>
      </c>
      <c r="AF317" s="349">
        <v>15</v>
      </c>
      <c r="AG317" s="349">
        <v>68</v>
      </c>
    </row>
    <row r="318" spans="1:33" x14ac:dyDescent="0.2">
      <c r="A318" s="344" t="s">
        <v>688</v>
      </c>
      <c r="B318" s="350" t="s">
        <v>689</v>
      </c>
      <c r="C318" s="346">
        <v>3924</v>
      </c>
      <c r="D318" s="346">
        <v>37</v>
      </c>
      <c r="E318" s="346">
        <v>267</v>
      </c>
      <c r="F318" s="346">
        <v>569</v>
      </c>
      <c r="G318" s="346">
        <v>146</v>
      </c>
      <c r="H318" s="346">
        <v>4943</v>
      </c>
      <c r="I318" s="345">
        <v>4797</v>
      </c>
      <c r="J318" s="345">
        <v>2</v>
      </c>
      <c r="K318" s="347">
        <v>103.59</v>
      </c>
      <c r="L318" s="347">
        <v>102.9</v>
      </c>
      <c r="M318" s="347">
        <v>6.09</v>
      </c>
      <c r="N318" s="347">
        <v>107.25</v>
      </c>
      <c r="O318" s="348">
        <v>3685</v>
      </c>
      <c r="P318" s="345">
        <v>89.52</v>
      </c>
      <c r="Q318" s="345">
        <v>85.7</v>
      </c>
      <c r="R318" s="345">
        <v>31.52</v>
      </c>
      <c r="S318" s="345">
        <v>118.77</v>
      </c>
      <c r="T318" s="345">
        <v>651</v>
      </c>
      <c r="U318" s="345">
        <v>140.66</v>
      </c>
      <c r="V318" s="345">
        <v>117</v>
      </c>
      <c r="W318" s="345">
        <v>148.83000000000001</v>
      </c>
      <c r="X318" s="345">
        <v>19</v>
      </c>
      <c r="Y318" s="345">
        <v>0</v>
      </c>
      <c r="Z318" s="345">
        <v>0</v>
      </c>
      <c r="AA318" s="345">
        <v>1</v>
      </c>
      <c r="AB318" s="345">
        <v>0</v>
      </c>
      <c r="AC318" s="345">
        <v>1</v>
      </c>
      <c r="AD318" s="349">
        <v>3900</v>
      </c>
      <c r="AE318" s="349">
        <v>3</v>
      </c>
      <c r="AF318" s="349">
        <v>5</v>
      </c>
      <c r="AG318" s="349">
        <v>8</v>
      </c>
    </row>
    <row r="319" spans="1:33" x14ac:dyDescent="0.2">
      <c r="A319" s="344" t="s">
        <v>690</v>
      </c>
      <c r="B319" s="350" t="s">
        <v>691</v>
      </c>
      <c r="C319" s="346">
        <v>7036</v>
      </c>
      <c r="D319" s="346">
        <v>7</v>
      </c>
      <c r="E319" s="346">
        <v>43</v>
      </c>
      <c r="F319" s="346">
        <v>916</v>
      </c>
      <c r="G319" s="346">
        <v>348</v>
      </c>
      <c r="H319" s="346">
        <v>8350</v>
      </c>
      <c r="I319" s="345">
        <v>8002</v>
      </c>
      <c r="J319" s="345">
        <v>0</v>
      </c>
      <c r="K319" s="347">
        <v>96.19</v>
      </c>
      <c r="L319" s="347">
        <v>96.8</v>
      </c>
      <c r="M319" s="347">
        <v>3.99</v>
      </c>
      <c r="N319" s="347">
        <v>98.31</v>
      </c>
      <c r="O319" s="348">
        <v>6262</v>
      </c>
      <c r="P319" s="345">
        <v>84.98</v>
      </c>
      <c r="Q319" s="345">
        <v>85.09</v>
      </c>
      <c r="R319" s="345">
        <v>30.43</v>
      </c>
      <c r="S319" s="345">
        <v>115.1</v>
      </c>
      <c r="T319" s="345">
        <v>888</v>
      </c>
      <c r="U319" s="345">
        <v>115.77</v>
      </c>
      <c r="V319" s="345">
        <v>762</v>
      </c>
      <c r="W319" s="345">
        <v>197.63</v>
      </c>
      <c r="X319" s="345">
        <v>29</v>
      </c>
      <c r="Y319" s="345">
        <v>0</v>
      </c>
      <c r="Z319" s="345">
        <v>12</v>
      </c>
      <c r="AA319" s="345">
        <v>1</v>
      </c>
      <c r="AB319" s="345">
        <v>73</v>
      </c>
      <c r="AC319" s="345">
        <v>11</v>
      </c>
      <c r="AD319" s="349">
        <v>7036</v>
      </c>
      <c r="AE319" s="349">
        <v>34</v>
      </c>
      <c r="AF319" s="349">
        <v>28</v>
      </c>
      <c r="AG319" s="349">
        <v>62</v>
      </c>
    </row>
    <row r="320" spans="1:33" x14ac:dyDescent="0.2">
      <c r="A320" s="344" t="s">
        <v>692</v>
      </c>
      <c r="B320" s="350" t="s">
        <v>693</v>
      </c>
      <c r="C320" s="346">
        <v>3149</v>
      </c>
      <c r="D320" s="346">
        <v>0</v>
      </c>
      <c r="E320" s="346">
        <v>268</v>
      </c>
      <c r="F320" s="346">
        <v>441</v>
      </c>
      <c r="G320" s="346">
        <v>185</v>
      </c>
      <c r="H320" s="346">
        <v>4043</v>
      </c>
      <c r="I320" s="345">
        <v>3858</v>
      </c>
      <c r="J320" s="345">
        <v>0</v>
      </c>
      <c r="K320" s="347">
        <v>87.19</v>
      </c>
      <c r="L320" s="347">
        <v>87.49</v>
      </c>
      <c r="M320" s="347">
        <v>5.24</v>
      </c>
      <c r="N320" s="347">
        <v>89.61</v>
      </c>
      <c r="O320" s="348">
        <v>2934</v>
      </c>
      <c r="P320" s="345">
        <v>91.33</v>
      </c>
      <c r="Q320" s="345">
        <v>81.61</v>
      </c>
      <c r="R320" s="345">
        <v>25.78</v>
      </c>
      <c r="S320" s="345">
        <v>115.19</v>
      </c>
      <c r="T320" s="345">
        <v>642</v>
      </c>
      <c r="U320" s="345">
        <v>105.22</v>
      </c>
      <c r="V320" s="345">
        <v>170</v>
      </c>
      <c r="W320" s="345">
        <v>0</v>
      </c>
      <c r="X320" s="345">
        <v>0</v>
      </c>
      <c r="Y320" s="345">
        <v>0</v>
      </c>
      <c r="Z320" s="345">
        <v>9</v>
      </c>
      <c r="AA320" s="345">
        <v>0</v>
      </c>
      <c r="AB320" s="345">
        <v>7</v>
      </c>
      <c r="AC320" s="345">
        <v>13</v>
      </c>
      <c r="AD320" s="349">
        <v>3115</v>
      </c>
      <c r="AE320" s="349">
        <v>18</v>
      </c>
      <c r="AF320" s="349">
        <v>9</v>
      </c>
      <c r="AG320" s="349">
        <v>27</v>
      </c>
    </row>
    <row r="321" spans="1:33" x14ac:dyDescent="0.2">
      <c r="A321" s="344" t="s">
        <v>694</v>
      </c>
      <c r="B321" s="350" t="s">
        <v>695</v>
      </c>
      <c r="C321" s="346">
        <v>4354</v>
      </c>
      <c r="D321" s="346">
        <v>0</v>
      </c>
      <c r="E321" s="346">
        <v>81</v>
      </c>
      <c r="F321" s="346">
        <v>2192</v>
      </c>
      <c r="G321" s="346">
        <v>375</v>
      </c>
      <c r="H321" s="346">
        <v>7002</v>
      </c>
      <c r="I321" s="345">
        <v>6627</v>
      </c>
      <c r="J321" s="345">
        <v>0</v>
      </c>
      <c r="K321" s="347">
        <v>90.8</v>
      </c>
      <c r="L321" s="347">
        <v>88.04</v>
      </c>
      <c r="M321" s="347">
        <v>4.6500000000000004</v>
      </c>
      <c r="N321" s="347">
        <v>95.23</v>
      </c>
      <c r="O321" s="348">
        <v>4051</v>
      </c>
      <c r="P321" s="345">
        <v>83.85</v>
      </c>
      <c r="Q321" s="345">
        <v>78.55</v>
      </c>
      <c r="R321" s="345">
        <v>13.97</v>
      </c>
      <c r="S321" s="345">
        <v>97.8</v>
      </c>
      <c r="T321" s="345">
        <v>2229</v>
      </c>
      <c r="U321" s="345">
        <v>99.4</v>
      </c>
      <c r="V321" s="345">
        <v>273</v>
      </c>
      <c r="W321" s="345">
        <v>127.16</v>
      </c>
      <c r="X321" s="345">
        <v>15</v>
      </c>
      <c r="Y321" s="345">
        <v>0</v>
      </c>
      <c r="Z321" s="345">
        <v>6</v>
      </c>
      <c r="AA321" s="345">
        <v>3</v>
      </c>
      <c r="AB321" s="345">
        <v>41</v>
      </c>
      <c r="AC321" s="345">
        <v>17</v>
      </c>
      <c r="AD321" s="349">
        <v>4354</v>
      </c>
      <c r="AE321" s="349">
        <v>20</v>
      </c>
      <c r="AF321" s="349">
        <v>24</v>
      </c>
      <c r="AG321" s="349">
        <v>44</v>
      </c>
    </row>
    <row r="322" spans="1:33" x14ac:dyDescent="0.2">
      <c r="A322" s="344" t="s">
        <v>696</v>
      </c>
      <c r="B322" s="350" t="s">
        <v>697</v>
      </c>
      <c r="C322" s="346">
        <v>3528</v>
      </c>
      <c r="D322" s="346">
        <v>12</v>
      </c>
      <c r="E322" s="346">
        <v>355</v>
      </c>
      <c r="F322" s="346">
        <v>1017</v>
      </c>
      <c r="G322" s="346">
        <v>471</v>
      </c>
      <c r="H322" s="346">
        <v>5383</v>
      </c>
      <c r="I322" s="345">
        <v>4912</v>
      </c>
      <c r="J322" s="345">
        <v>16</v>
      </c>
      <c r="K322" s="347">
        <v>95.31</v>
      </c>
      <c r="L322" s="347">
        <v>94.97</v>
      </c>
      <c r="M322" s="347">
        <v>6.27</v>
      </c>
      <c r="N322" s="347">
        <v>98.23</v>
      </c>
      <c r="O322" s="348">
        <v>2813</v>
      </c>
      <c r="P322" s="345">
        <v>83.22</v>
      </c>
      <c r="Q322" s="345">
        <v>77.75</v>
      </c>
      <c r="R322" s="345">
        <v>21.23</v>
      </c>
      <c r="S322" s="345">
        <v>101.58</v>
      </c>
      <c r="T322" s="345">
        <v>871</v>
      </c>
      <c r="U322" s="345">
        <v>111.08</v>
      </c>
      <c r="V322" s="345">
        <v>299</v>
      </c>
      <c r="W322" s="345">
        <v>99.03</v>
      </c>
      <c r="X322" s="345">
        <v>78</v>
      </c>
      <c r="Y322" s="345">
        <v>16</v>
      </c>
      <c r="Z322" s="345">
        <v>0</v>
      </c>
      <c r="AA322" s="345">
        <v>7</v>
      </c>
      <c r="AB322" s="345">
        <v>22</v>
      </c>
      <c r="AC322" s="345">
        <v>3</v>
      </c>
      <c r="AD322" s="349">
        <v>3200</v>
      </c>
      <c r="AE322" s="349">
        <v>18</v>
      </c>
      <c r="AF322" s="349">
        <v>7</v>
      </c>
      <c r="AG322" s="349">
        <v>25</v>
      </c>
    </row>
  </sheetData>
  <pageMargins left="0.7" right="0.7" top="0.75" bottom="0.75" header="0.3" footer="0.3"/>
  <pageSetup paperSize="9" orientation="portrait" r:id="rId1"/>
  <headerFooter>
    <oddFooter>&amp;C&amp;1#&amp;"Calibri"&amp;12&amp;K0078D7OFFICIAL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4C5FD-ECBD-4F4F-AAA4-E055B06D43EE}">
  <sheetPr codeName="Sheet4">
    <tabColor rgb="FFFFFF00"/>
  </sheetPr>
  <dimension ref="A1:AG322"/>
  <sheetViews>
    <sheetView zoomScale="80" zoomScaleNormal="80" workbookViewId="0">
      <selection sqref="A1:XFD1048576"/>
    </sheetView>
  </sheetViews>
  <sheetFormatPr defaultColWidth="9.140625" defaultRowHeight="12.75" x14ac:dyDescent="0.2"/>
  <cols>
    <col min="1" max="8" width="9.140625" style="145"/>
    <col min="9" max="10" width="10.42578125" style="145" customWidth="1"/>
    <col min="11" max="11" width="10.42578125" style="145" bestFit="1" customWidth="1"/>
    <col min="12" max="16384" width="9.140625" style="145"/>
  </cols>
  <sheetData>
    <row r="1" spans="1:33" s="144" customFormat="1" x14ac:dyDescent="0.2">
      <c r="A1" s="134"/>
      <c r="B1" s="134"/>
      <c r="C1" s="135" t="s">
        <v>38</v>
      </c>
      <c r="D1" s="135" t="s">
        <v>38</v>
      </c>
      <c r="E1" s="135" t="s">
        <v>38</v>
      </c>
      <c r="F1" s="135" t="s">
        <v>38</v>
      </c>
      <c r="G1" s="135" t="s">
        <v>38</v>
      </c>
      <c r="H1" s="135" t="s">
        <v>38</v>
      </c>
      <c r="I1" s="136" t="s">
        <v>39</v>
      </c>
      <c r="J1" s="136" t="s">
        <v>39</v>
      </c>
      <c r="K1" s="137" t="s">
        <v>40</v>
      </c>
      <c r="L1" s="137" t="s">
        <v>40</v>
      </c>
      <c r="M1" s="137" t="s">
        <v>40</v>
      </c>
      <c r="N1" s="138" t="s">
        <v>40</v>
      </c>
      <c r="O1" s="137" t="s">
        <v>40</v>
      </c>
      <c r="P1" s="139" t="s">
        <v>41</v>
      </c>
      <c r="Q1" s="139" t="s">
        <v>41</v>
      </c>
      <c r="R1" s="139" t="s">
        <v>41</v>
      </c>
      <c r="S1" s="139" t="s">
        <v>41</v>
      </c>
      <c r="T1" s="139" t="s">
        <v>41</v>
      </c>
      <c r="U1" s="140" t="s">
        <v>42</v>
      </c>
      <c r="V1" s="140" t="s">
        <v>42</v>
      </c>
      <c r="W1" s="141" t="s">
        <v>43</v>
      </c>
      <c r="X1" s="141" t="s">
        <v>43</v>
      </c>
      <c r="Y1" s="142" t="s">
        <v>44</v>
      </c>
      <c r="Z1" s="142" t="s">
        <v>44</v>
      </c>
      <c r="AA1" s="142" t="s">
        <v>44</v>
      </c>
      <c r="AB1" s="142" t="s">
        <v>44</v>
      </c>
      <c r="AC1" s="142" t="s">
        <v>44</v>
      </c>
      <c r="AD1" s="143" t="s">
        <v>45</v>
      </c>
      <c r="AE1" s="143" t="s">
        <v>45</v>
      </c>
      <c r="AF1" s="143" t="s">
        <v>45</v>
      </c>
      <c r="AG1" s="143" t="s">
        <v>45</v>
      </c>
    </row>
    <row r="2" spans="1:33" x14ac:dyDescent="0.2">
      <c r="B2" s="146">
        <v>1</v>
      </c>
      <c r="C2" s="146">
        <v>2</v>
      </c>
      <c r="D2" s="146">
        <v>3</v>
      </c>
      <c r="E2" s="146">
        <v>4</v>
      </c>
      <c r="F2" s="146">
        <v>5</v>
      </c>
      <c r="G2" s="146">
        <v>6</v>
      </c>
      <c r="H2" s="146">
        <v>7</v>
      </c>
      <c r="I2" s="146">
        <v>8</v>
      </c>
      <c r="J2" s="146">
        <v>9</v>
      </c>
      <c r="K2" s="146">
        <v>10</v>
      </c>
      <c r="L2" s="146">
        <v>11</v>
      </c>
      <c r="M2" s="146">
        <v>12</v>
      </c>
      <c r="N2" s="146">
        <v>13</v>
      </c>
      <c r="O2" s="146">
        <v>14</v>
      </c>
      <c r="P2" s="146">
        <v>15</v>
      </c>
      <c r="Q2" s="146">
        <v>16</v>
      </c>
      <c r="R2" s="146">
        <v>17</v>
      </c>
      <c r="S2" s="146">
        <v>18</v>
      </c>
      <c r="T2" s="146">
        <v>19</v>
      </c>
      <c r="U2" s="146">
        <v>20</v>
      </c>
      <c r="V2" s="146">
        <v>21</v>
      </c>
      <c r="W2" s="146">
        <v>22</v>
      </c>
      <c r="X2" s="146">
        <v>23</v>
      </c>
      <c r="Y2" s="146">
        <v>24</v>
      </c>
      <c r="Z2" s="146">
        <v>25</v>
      </c>
      <c r="AA2" s="146">
        <v>26</v>
      </c>
      <c r="AB2" s="146">
        <v>27</v>
      </c>
      <c r="AC2" s="146">
        <v>28</v>
      </c>
      <c r="AD2" s="146">
        <v>29</v>
      </c>
      <c r="AE2" s="146">
        <v>30</v>
      </c>
      <c r="AF2" s="146">
        <v>31</v>
      </c>
      <c r="AG2" s="146">
        <v>32</v>
      </c>
    </row>
    <row r="3" spans="1:33" ht="89.25" x14ac:dyDescent="0.2">
      <c r="A3" s="145" t="s">
        <v>46</v>
      </c>
      <c r="B3" s="145" t="s">
        <v>47</v>
      </c>
      <c r="C3" s="147" t="s">
        <v>48</v>
      </c>
      <c r="D3" s="147" t="s">
        <v>49</v>
      </c>
      <c r="E3" s="147" t="s">
        <v>50</v>
      </c>
      <c r="F3" s="147" t="s">
        <v>51</v>
      </c>
      <c r="G3" s="147" t="s">
        <v>52</v>
      </c>
      <c r="H3" s="147" t="s">
        <v>53</v>
      </c>
      <c r="I3" s="148" t="s">
        <v>54</v>
      </c>
      <c r="J3" s="148" t="s">
        <v>55</v>
      </c>
      <c r="K3" s="149" t="s">
        <v>56</v>
      </c>
      <c r="L3" s="149" t="s">
        <v>57</v>
      </c>
      <c r="M3" s="149" t="s">
        <v>58</v>
      </c>
      <c r="N3" s="150" t="s">
        <v>59</v>
      </c>
      <c r="O3" s="149" t="s">
        <v>60</v>
      </c>
      <c r="P3" s="151" t="s">
        <v>61</v>
      </c>
      <c r="Q3" s="151" t="s">
        <v>62</v>
      </c>
      <c r="R3" s="151" t="s">
        <v>58</v>
      </c>
      <c r="S3" s="151" t="s">
        <v>63</v>
      </c>
      <c r="T3" s="151" t="s">
        <v>64</v>
      </c>
      <c r="U3" s="152" t="s">
        <v>65</v>
      </c>
      <c r="V3" s="152" t="s">
        <v>66</v>
      </c>
      <c r="W3" s="153" t="s">
        <v>67</v>
      </c>
      <c r="X3" s="153" t="s">
        <v>68</v>
      </c>
      <c r="Y3" s="154" t="s">
        <v>69</v>
      </c>
      <c r="Z3" s="154" t="s">
        <v>70</v>
      </c>
      <c r="AA3" s="154" t="s">
        <v>71</v>
      </c>
      <c r="AB3" s="154" t="s">
        <v>72</v>
      </c>
      <c r="AC3" s="154" t="s">
        <v>73</v>
      </c>
      <c r="AD3" s="155" t="s">
        <v>74</v>
      </c>
      <c r="AE3" s="155" t="s">
        <v>75</v>
      </c>
      <c r="AF3" s="155" t="s">
        <v>76</v>
      </c>
      <c r="AG3" s="155" t="s">
        <v>77</v>
      </c>
    </row>
    <row r="4" spans="1:33" x14ac:dyDescent="0.2">
      <c r="A4" s="344" t="s">
        <v>13</v>
      </c>
      <c r="B4" s="344" t="s">
        <v>13</v>
      </c>
      <c r="C4" s="345">
        <v>2105206</v>
      </c>
      <c r="D4" s="345">
        <v>9508</v>
      </c>
      <c r="E4" s="345">
        <v>127879</v>
      </c>
      <c r="F4" s="345">
        <v>268665</v>
      </c>
      <c r="G4" s="345">
        <v>160768</v>
      </c>
      <c r="H4" s="346">
        <v>2672026</v>
      </c>
      <c r="I4" s="345">
        <v>2511258</v>
      </c>
      <c r="J4" s="345">
        <v>11479</v>
      </c>
      <c r="K4" s="347">
        <v>96.61</v>
      </c>
      <c r="L4" s="347">
        <v>95.96</v>
      </c>
      <c r="M4" s="347">
        <v>6.46</v>
      </c>
      <c r="N4" s="347">
        <v>100.38</v>
      </c>
      <c r="O4" s="348">
        <v>1844420</v>
      </c>
      <c r="P4" s="345">
        <v>91.25</v>
      </c>
      <c r="Q4" s="345">
        <v>87.12</v>
      </c>
      <c r="R4" s="345">
        <v>35.47</v>
      </c>
      <c r="S4" s="345">
        <v>124.36</v>
      </c>
      <c r="T4" s="345">
        <v>334858</v>
      </c>
      <c r="U4" s="345">
        <v>127.95</v>
      </c>
      <c r="V4" s="345">
        <v>182115</v>
      </c>
      <c r="W4" s="345">
        <v>163.69999999999999</v>
      </c>
      <c r="X4" s="345">
        <v>10633</v>
      </c>
      <c r="Y4" s="345">
        <v>4184</v>
      </c>
      <c r="Z4" s="345">
        <v>5643</v>
      </c>
      <c r="AA4" s="345">
        <v>1982</v>
      </c>
      <c r="AB4" s="345">
        <v>10143</v>
      </c>
      <c r="AC4" s="345">
        <v>5119</v>
      </c>
      <c r="AD4" s="349">
        <v>2049681</v>
      </c>
      <c r="AE4" s="345">
        <v>11473</v>
      </c>
      <c r="AF4" s="345">
        <v>11057</v>
      </c>
      <c r="AG4" s="345">
        <v>22530</v>
      </c>
    </row>
    <row r="5" spans="1:33" x14ac:dyDescent="0.2">
      <c r="A5" s="350" t="s">
        <v>78</v>
      </c>
      <c r="B5" s="350" t="s">
        <v>78</v>
      </c>
      <c r="C5" s="346">
        <v>107657</v>
      </c>
      <c r="D5" s="346">
        <v>171</v>
      </c>
      <c r="E5" s="346">
        <v>7660</v>
      </c>
      <c r="F5" s="346">
        <v>24320</v>
      </c>
      <c r="G5" s="346">
        <v>11246</v>
      </c>
      <c r="H5" s="346">
        <v>151054</v>
      </c>
      <c r="I5" s="345">
        <v>139808</v>
      </c>
      <c r="J5" s="345">
        <v>397</v>
      </c>
      <c r="K5" s="347">
        <v>88.89</v>
      </c>
      <c r="L5" s="347">
        <v>87.96</v>
      </c>
      <c r="M5" s="347">
        <v>4.72</v>
      </c>
      <c r="N5" s="347">
        <v>91.84</v>
      </c>
      <c r="O5" s="348">
        <v>94120</v>
      </c>
      <c r="P5" s="345">
        <v>86.63</v>
      </c>
      <c r="Q5" s="345">
        <v>81.400000000000006</v>
      </c>
      <c r="R5" s="345">
        <v>27.37</v>
      </c>
      <c r="S5" s="345">
        <v>112.14</v>
      </c>
      <c r="T5" s="345">
        <v>28261</v>
      </c>
      <c r="U5" s="345">
        <v>104.31</v>
      </c>
      <c r="V5" s="345">
        <v>8737</v>
      </c>
      <c r="W5" s="345">
        <v>158.93</v>
      </c>
      <c r="X5" s="345">
        <v>478</v>
      </c>
      <c r="Y5" s="345">
        <v>426</v>
      </c>
      <c r="Z5" s="345">
        <v>292</v>
      </c>
      <c r="AA5" s="345">
        <v>71</v>
      </c>
      <c r="AB5" s="345">
        <v>757</v>
      </c>
      <c r="AC5" s="345">
        <v>341</v>
      </c>
      <c r="AD5" s="349">
        <v>104932</v>
      </c>
      <c r="AE5" s="345">
        <v>607</v>
      </c>
      <c r="AF5" s="345">
        <v>427</v>
      </c>
      <c r="AG5" s="345">
        <v>1034</v>
      </c>
    </row>
    <row r="6" spans="1:33" x14ac:dyDescent="0.2">
      <c r="A6" s="350" t="s">
        <v>79</v>
      </c>
      <c r="B6" s="350" t="s">
        <v>79</v>
      </c>
      <c r="C6" s="346">
        <v>208251</v>
      </c>
      <c r="D6" s="346">
        <v>1461</v>
      </c>
      <c r="E6" s="346">
        <v>12504</v>
      </c>
      <c r="F6" s="346">
        <v>29892</v>
      </c>
      <c r="G6" s="346">
        <v>16476</v>
      </c>
      <c r="H6" s="346">
        <v>268584</v>
      </c>
      <c r="I6" s="345">
        <v>252108</v>
      </c>
      <c r="J6" s="345">
        <v>1399</v>
      </c>
      <c r="K6" s="347">
        <v>100.75</v>
      </c>
      <c r="L6" s="347">
        <v>97.65</v>
      </c>
      <c r="M6" s="347">
        <v>5.62</v>
      </c>
      <c r="N6" s="347">
        <v>103.45</v>
      </c>
      <c r="O6" s="348">
        <v>182354</v>
      </c>
      <c r="P6" s="345">
        <v>92.3</v>
      </c>
      <c r="Q6" s="345">
        <v>88.59</v>
      </c>
      <c r="R6" s="345">
        <v>34.369999999999997</v>
      </c>
      <c r="S6" s="345">
        <v>124.04</v>
      </c>
      <c r="T6" s="345">
        <v>36437</v>
      </c>
      <c r="U6" s="345">
        <v>130.97</v>
      </c>
      <c r="V6" s="345">
        <v>20288</v>
      </c>
      <c r="W6" s="345">
        <v>159.5</v>
      </c>
      <c r="X6" s="345">
        <v>468</v>
      </c>
      <c r="Y6" s="345">
        <v>156</v>
      </c>
      <c r="Z6" s="345">
        <v>468</v>
      </c>
      <c r="AA6" s="345">
        <v>54</v>
      </c>
      <c r="AB6" s="345">
        <v>1064</v>
      </c>
      <c r="AC6" s="345">
        <v>515</v>
      </c>
      <c r="AD6" s="349">
        <v>206239</v>
      </c>
      <c r="AE6" s="345">
        <v>899</v>
      </c>
      <c r="AF6" s="345">
        <v>723</v>
      </c>
      <c r="AG6" s="345">
        <v>1622</v>
      </c>
    </row>
    <row r="7" spans="1:33" x14ac:dyDescent="0.2">
      <c r="A7" s="350" t="s">
        <v>80</v>
      </c>
      <c r="B7" s="350" t="s">
        <v>80</v>
      </c>
      <c r="C7" s="346">
        <v>347009</v>
      </c>
      <c r="D7" s="346">
        <v>5248</v>
      </c>
      <c r="E7" s="346">
        <v>26813</v>
      </c>
      <c r="F7" s="346">
        <v>28174</v>
      </c>
      <c r="G7" s="346">
        <v>44240</v>
      </c>
      <c r="H7" s="346">
        <v>451484</v>
      </c>
      <c r="I7" s="345">
        <v>407244</v>
      </c>
      <c r="J7" s="345">
        <v>1918</v>
      </c>
      <c r="K7" s="347">
        <v>124.07</v>
      </c>
      <c r="L7" s="347">
        <v>125.36</v>
      </c>
      <c r="M7" s="347">
        <v>10.8</v>
      </c>
      <c r="N7" s="347">
        <v>131.88</v>
      </c>
      <c r="O7" s="348">
        <v>293616</v>
      </c>
      <c r="P7" s="345">
        <v>111.92</v>
      </c>
      <c r="Q7" s="345">
        <v>108.89</v>
      </c>
      <c r="R7" s="345">
        <v>47.79</v>
      </c>
      <c r="S7" s="345">
        <v>155.19999999999999</v>
      </c>
      <c r="T7" s="345">
        <v>43150</v>
      </c>
      <c r="U7" s="345">
        <v>186.55</v>
      </c>
      <c r="V7" s="345">
        <v>26596</v>
      </c>
      <c r="W7" s="345">
        <v>206.95</v>
      </c>
      <c r="X7" s="345">
        <v>933</v>
      </c>
      <c r="Y7" s="345">
        <v>470</v>
      </c>
      <c r="Z7" s="345">
        <v>307</v>
      </c>
      <c r="AA7" s="345">
        <v>395</v>
      </c>
      <c r="AB7" s="345">
        <v>2810</v>
      </c>
      <c r="AC7" s="345">
        <v>1786</v>
      </c>
      <c r="AD7" s="349">
        <v>328147</v>
      </c>
      <c r="AE7" s="345">
        <v>1514</v>
      </c>
      <c r="AF7" s="345">
        <v>2067</v>
      </c>
      <c r="AG7" s="345">
        <v>3581</v>
      </c>
    </row>
    <row r="8" spans="1:33" x14ac:dyDescent="0.2">
      <c r="A8" s="350" t="s">
        <v>81</v>
      </c>
      <c r="B8" s="350" t="s">
        <v>81</v>
      </c>
      <c r="C8" s="346">
        <v>156715</v>
      </c>
      <c r="D8" s="346">
        <v>598</v>
      </c>
      <c r="E8" s="346">
        <v>5484</v>
      </c>
      <c r="F8" s="346">
        <v>16517</v>
      </c>
      <c r="G8" s="346">
        <v>2938</v>
      </c>
      <c r="H8" s="346">
        <v>182252</v>
      </c>
      <c r="I8" s="345">
        <v>179314</v>
      </c>
      <c r="J8" s="345">
        <v>3428</v>
      </c>
      <c r="K8" s="347">
        <v>79.25</v>
      </c>
      <c r="L8" s="347">
        <v>79.239999999999995</v>
      </c>
      <c r="M8" s="347">
        <v>7.06</v>
      </c>
      <c r="N8" s="347">
        <v>81.52</v>
      </c>
      <c r="O8" s="348">
        <v>142931</v>
      </c>
      <c r="P8" s="345">
        <v>84.05</v>
      </c>
      <c r="Q8" s="345">
        <v>76.52</v>
      </c>
      <c r="R8" s="345">
        <v>40.72</v>
      </c>
      <c r="S8" s="345">
        <v>120.77</v>
      </c>
      <c r="T8" s="345">
        <v>19199</v>
      </c>
      <c r="U8" s="345">
        <v>95.6</v>
      </c>
      <c r="V8" s="345">
        <v>11473</v>
      </c>
      <c r="W8" s="345">
        <v>155.34</v>
      </c>
      <c r="X8" s="345">
        <v>1626</v>
      </c>
      <c r="Y8" s="345">
        <v>78</v>
      </c>
      <c r="Z8" s="345">
        <v>492</v>
      </c>
      <c r="AA8" s="345">
        <v>157</v>
      </c>
      <c r="AB8" s="345">
        <v>187</v>
      </c>
      <c r="AC8" s="345">
        <v>116</v>
      </c>
      <c r="AD8" s="349">
        <v>154136</v>
      </c>
      <c r="AE8" s="345">
        <v>1444</v>
      </c>
      <c r="AF8" s="345">
        <v>914</v>
      </c>
      <c r="AG8" s="345">
        <v>2358</v>
      </c>
    </row>
    <row r="9" spans="1:33" x14ac:dyDescent="0.2">
      <c r="A9" s="350" t="s">
        <v>82</v>
      </c>
      <c r="B9" s="350" t="s">
        <v>82</v>
      </c>
      <c r="C9" s="346">
        <v>426418</v>
      </c>
      <c r="D9" s="346">
        <v>353</v>
      </c>
      <c r="E9" s="346">
        <v>19587</v>
      </c>
      <c r="F9" s="346">
        <v>54147</v>
      </c>
      <c r="G9" s="346">
        <v>12521</v>
      </c>
      <c r="H9" s="346">
        <v>513026</v>
      </c>
      <c r="I9" s="345">
        <v>500505</v>
      </c>
      <c r="J9" s="345">
        <v>1713</v>
      </c>
      <c r="K9" s="347">
        <v>83.66</v>
      </c>
      <c r="L9" s="347">
        <v>83.37</v>
      </c>
      <c r="M9" s="347">
        <v>4.83</v>
      </c>
      <c r="N9" s="347">
        <v>86.18</v>
      </c>
      <c r="O9" s="348">
        <v>378879</v>
      </c>
      <c r="P9" s="345">
        <v>84.03</v>
      </c>
      <c r="Q9" s="345">
        <v>79.510000000000005</v>
      </c>
      <c r="R9" s="345">
        <v>30.76</v>
      </c>
      <c r="S9" s="345">
        <v>112.33</v>
      </c>
      <c r="T9" s="345">
        <v>66935</v>
      </c>
      <c r="U9" s="345">
        <v>104.18</v>
      </c>
      <c r="V9" s="345">
        <v>37258</v>
      </c>
      <c r="W9" s="345">
        <v>141.56</v>
      </c>
      <c r="X9" s="345">
        <v>1429</v>
      </c>
      <c r="Y9" s="345">
        <v>701</v>
      </c>
      <c r="Z9" s="345">
        <v>2118</v>
      </c>
      <c r="AA9" s="345">
        <v>582</v>
      </c>
      <c r="AB9" s="345">
        <v>750</v>
      </c>
      <c r="AC9" s="345">
        <v>305</v>
      </c>
      <c r="AD9" s="349">
        <v>416705</v>
      </c>
      <c r="AE9" s="345">
        <v>2565</v>
      </c>
      <c r="AF9" s="345">
        <v>2567</v>
      </c>
      <c r="AG9" s="345">
        <v>5132</v>
      </c>
    </row>
    <row r="10" spans="1:33" x14ac:dyDescent="0.2">
      <c r="A10" s="350" t="s">
        <v>83</v>
      </c>
      <c r="B10" s="350" t="s">
        <v>83</v>
      </c>
      <c r="C10" s="346">
        <v>287560</v>
      </c>
      <c r="D10" s="346">
        <v>637</v>
      </c>
      <c r="E10" s="346">
        <v>14704</v>
      </c>
      <c r="F10" s="346">
        <v>37795</v>
      </c>
      <c r="G10" s="346">
        <v>36610</v>
      </c>
      <c r="H10" s="346">
        <v>377306</v>
      </c>
      <c r="I10" s="345">
        <v>340696</v>
      </c>
      <c r="J10" s="345">
        <v>1142</v>
      </c>
      <c r="K10" s="347">
        <v>109.39</v>
      </c>
      <c r="L10" s="347">
        <v>108.45</v>
      </c>
      <c r="M10" s="347">
        <v>5.87</v>
      </c>
      <c r="N10" s="347">
        <v>113.14</v>
      </c>
      <c r="O10" s="348">
        <v>246299</v>
      </c>
      <c r="P10" s="345">
        <v>97.58</v>
      </c>
      <c r="Q10" s="345">
        <v>93.03</v>
      </c>
      <c r="R10" s="345">
        <v>32.11</v>
      </c>
      <c r="S10" s="345">
        <v>128.03</v>
      </c>
      <c r="T10" s="345">
        <v>42467</v>
      </c>
      <c r="U10" s="345">
        <v>149.08000000000001</v>
      </c>
      <c r="V10" s="345">
        <v>30519</v>
      </c>
      <c r="W10" s="345">
        <v>168.04</v>
      </c>
      <c r="X10" s="345">
        <v>1752</v>
      </c>
      <c r="Y10" s="345">
        <v>1672</v>
      </c>
      <c r="Z10" s="345">
        <v>433</v>
      </c>
      <c r="AA10" s="345">
        <v>198</v>
      </c>
      <c r="AB10" s="345">
        <v>2361</v>
      </c>
      <c r="AC10" s="345">
        <v>1074</v>
      </c>
      <c r="AD10" s="349">
        <v>280623</v>
      </c>
      <c r="AE10" s="345">
        <v>1084</v>
      </c>
      <c r="AF10" s="345">
        <v>1058</v>
      </c>
      <c r="AG10" s="345">
        <v>2142</v>
      </c>
    </row>
    <row r="11" spans="1:33" x14ac:dyDescent="0.2">
      <c r="A11" s="350" t="s">
        <v>84</v>
      </c>
      <c r="B11" s="350" t="s">
        <v>84</v>
      </c>
      <c r="C11" s="346">
        <v>191354</v>
      </c>
      <c r="D11" s="346">
        <v>309</v>
      </c>
      <c r="E11" s="346">
        <v>12907</v>
      </c>
      <c r="F11" s="346">
        <v>30562</v>
      </c>
      <c r="G11" s="346">
        <v>16674</v>
      </c>
      <c r="H11" s="346">
        <v>251806</v>
      </c>
      <c r="I11" s="345">
        <v>235132</v>
      </c>
      <c r="J11" s="345">
        <v>272</v>
      </c>
      <c r="K11" s="347">
        <v>93.64</v>
      </c>
      <c r="L11" s="347">
        <v>92.19</v>
      </c>
      <c r="M11" s="347">
        <v>4.87</v>
      </c>
      <c r="N11" s="347">
        <v>96.74</v>
      </c>
      <c r="O11" s="348">
        <v>165413</v>
      </c>
      <c r="P11" s="345">
        <v>87.25</v>
      </c>
      <c r="Q11" s="345">
        <v>83.17</v>
      </c>
      <c r="R11" s="345">
        <v>28.92</v>
      </c>
      <c r="S11" s="345">
        <v>114.86</v>
      </c>
      <c r="T11" s="345">
        <v>36595</v>
      </c>
      <c r="U11" s="345">
        <v>122.01</v>
      </c>
      <c r="V11" s="345">
        <v>18045</v>
      </c>
      <c r="W11" s="345">
        <v>148.12</v>
      </c>
      <c r="X11" s="345">
        <v>1076</v>
      </c>
      <c r="Y11" s="345">
        <v>441</v>
      </c>
      <c r="Z11" s="345">
        <v>469</v>
      </c>
      <c r="AA11" s="345">
        <v>146</v>
      </c>
      <c r="AB11" s="345">
        <v>1253</v>
      </c>
      <c r="AC11" s="345">
        <v>385</v>
      </c>
      <c r="AD11" s="349">
        <v>184815</v>
      </c>
      <c r="AE11" s="345">
        <v>594</v>
      </c>
      <c r="AF11" s="345">
        <v>853</v>
      </c>
      <c r="AG11" s="345">
        <v>1447</v>
      </c>
    </row>
    <row r="12" spans="1:33" x14ac:dyDescent="0.2">
      <c r="A12" s="350" t="s">
        <v>85</v>
      </c>
      <c r="B12" s="350" t="s">
        <v>85</v>
      </c>
      <c r="C12" s="346">
        <v>215356</v>
      </c>
      <c r="D12" s="346">
        <v>248</v>
      </c>
      <c r="E12" s="346">
        <v>16735</v>
      </c>
      <c r="F12" s="346">
        <v>28579</v>
      </c>
      <c r="G12" s="346">
        <v>14450</v>
      </c>
      <c r="H12" s="346">
        <v>275368</v>
      </c>
      <c r="I12" s="345">
        <v>260918</v>
      </c>
      <c r="J12" s="345">
        <v>593</v>
      </c>
      <c r="K12" s="347">
        <v>89.92</v>
      </c>
      <c r="L12" s="347">
        <v>89.26</v>
      </c>
      <c r="M12" s="347">
        <v>5.63</v>
      </c>
      <c r="N12" s="347">
        <v>93.65</v>
      </c>
      <c r="O12" s="348">
        <v>192649</v>
      </c>
      <c r="P12" s="345">
        <v>86.56</v>
      </c>
      <c r="Q12" s="345">
        <v>84.94</v>
      </c>
      <c r="R12" s="345">
        <v>43.32</v>
      </c>
      <c r="S12" s="345">
        <v>128.21</v>
      </c>
      <c r="T12" s="345">
        <v>36213</v>
      </c>
      <c r="U12" s="345">
        <v>108.1</v>
      </c>
      <c r="V12" s="345">
        <v>16035</v>
      </c>
      <c r="W12" s="345">
        <v>176.22</v>
      </c>
      <c r="X12" s="345">
        <v>2262</v>
      </c>
      <c r="Y12" s="345">
        <v>4</v>
      </c>
      <c r="Z12" s="345">
        <v>600</v>
      </c>
      <c r="AA12" s="345">
        <v>328</v>
      </c>
      <c r="AB12" s="345">
        <v>639</v>
      </c>
      <c r="AC12" s="345">
        <v>415</v>
      </c>
      <c r="AD12" s="349">
        <v>210788</v>
      </c>
      <c r="AE12" s="345">
        <v>918</v>
      </c>
      <c r="AF12" s="345">
        <v>956</v>
      </c>
      <c r="AG12" s="345">
        <v>1874</v>
      </c>
    </row>
    <row r="13" spans="1:33" x14ac:dyDescent="0.2">
      <c r="A13" s="350" t="s">
        <v>788</v>
      </c>
      <c r="B13" s="350" t="s">
        <v>788</v>
      </c>
      <c r="C13" s="346">
        <v>164886</v>
      </c>
      <c r="D13" s="346">
        <v>483</v>
      </c>
      <c r="E13" s="346">
        <v>11485</v>
      </c>
      <c r="F13" s="346">
        <v>18679</v>
      </c>
      <c r="G13" s="346">
        <v>5613</v>
      </c>
      <c r="H13" s="346">
        <v>201146</v>
      </c>
      <c r="I13" s="345">
        <v>195533</v>
      </c>
      <c r="J13" s="345">
        <v>617</v>
      </c>
      <c r="K13" s="347">
        <v>82.62</v>
      </c>
      <c r="L13" s="347">
        <v>81.83</v>
      </c>
      <c r="M13" s="347">
        <v>5.46</v>
      </c>
      <c r="N13" s="347">
        <v>85.77</v>
      </c>
      <c r="O13" s="348">
        <v>148159</v>
      </c>
      <c r="P13" s="345">
        <v>86.16</v>
      </c>
      <c r="Q13" s="345">
        <v>77.55</v>
      </c>
      <c r="R13" s="345">
        <v>37.9</v>
      </c>
      <c r="S13" s="345">
        <v>122.47</v>
      </c>
      <c r="T13" s="345">
        <v>25601</v>
      </c>
      <c r="U13" s="345">
        <v>99.49</v>
      </c>
      <c r="V13" s="345">
        <v>13164</v>
      </c>
      <c r="W13" s="345">
        <v>147.18</v>
      </c>
      <c r="X13" s="345">
        <v>609</v>
      </c>
      <c r="Y13" s="345">
        <v>236</v>
      </c>
      <c r="Z13" s="345">
        <v>464</v>
      </c>
      <c r="AA13" s="345">
        <v>51</v>
      </c>
      <c r="AB13" s="345">
        <v>322</v>
      </c>
      <c r="AC13" s="345">
        <v>182</v>
      </c>
      <c r="AD13" s="349">
        <v>163296</v>
      </c>
      <c r="AE13" s="345">
        <v>1848</v>
      </c>
      <c r="AF13" s="345">
        <v>1492</v>
      </c>
      <c r="AG13" s="345">
        <v>3340</v>
      </c>
    </row>
    <row r="14" spans="1:33" x14ac:dyDescent="0.2">
      <c r="A14" s="344" t="s">
        <v>86</v>
      </c>
      <c r="B14" s="350" t="s">
        <v>87</v>
      </c>
      <c r="C14" s="346">
        <v>898</v>
      </c>
      <c r="D14" s="346">
        <v>0</v>
      </c>
      <c r="E14" s="346">
        <v>59</v>
      </c>
      <c r="F14" s="346">
        <v>51</v>
      </c>
      <c r="G14" s="346">
        <v>114</v>
      </c>
      <c r="H14" s="346">
        <v>1122</v>
      </c>
      <c r="I14" s="345">
        <v>1008</v>
      </c>
      <c r="J14" s="345">
        <v>0</v>
      </c>
      <c r="K14" s="347">
        <v>110.35</v>
      </c>
      <c r="L14" s="347">
        <v>108.32</v>
      </c>
      <c r="M14" s="347">
        <v>7.13</v>
      </c>
      <c r="N14" s="347">
        <v>115.8</v>
      </c>
      <c r="O14" s="348">
        <v>796</v>
      </c>
      <c r="P14" s="345">
        <v>97.79</v>
      </c>
      <c r="Q14" s="345">
        <v>95.33</v>
      </c>
      <c r="R14" s="345">
        <v>41.95</v>
      </c>
      <c r="S14" s="345">
        <v>139.72999999999999</v>
      </c>
      <c r="T14" s="345">
        <v>88</v>
      </c>
      <c r="U14" s="345">
        <v>148.01</v>
      </c>
      <c r="V14" s="345">
        <v>74</v>
      </c>
      <c r="W14" s="345">
        <v>142.56</v>
      </c>
      <c r="X14" s="345">
        <v>14</v>
      </c>
      <c r="Y14" s="345">
        <v>0</v>
      </c>
      <c r="Z14" s="345">
        <v>0</v>
      </c>
      <c r="AA14" s="345">
        <v>0</v>
      </c>
      <c r="AB14" s="345">
        <v>14</v>
      </c>
      <c r="AC14" s="345">
        <v>4</v>
      </c>
      <c r="AD14" s="349">
        <v>877</v>
      </c>
      <c r="AE14" s="349">
        <v>3</v>
      </c>
      <c r="AF14" s="349">
        <v>2</v>
      </c>
      <c r="AG14" s="349">
        <v>5</v>
      </c>
    </row>
    <row r="15" spans="1:33" x14ac:dyDescent="0.2">
      <c r="A15" s="344" t="s">
        <v>88</v>
      </c>
      <c r="B15" s="350" t="s">
        <v>89</v>
      </c>
      <c r="C15" s="346">
        <v>8212</v>
      </c>
      <c r="D15" s="346">
        <v>55</v>
      </c>
      <c r="E15" s="346">
        <v>96</v>
      </c>
      <c r="F15" s="346">
        <v>388</v>
      </c>
      <c r="G15" s="346">
        <v>104</v>
      </c>
      <c r="H15" s="346">
        <v>8855</v>
      </c>
      <c r="I15" s="345">
        <v>8751</v>
      </c>
      <c r="J15" s="345">
        <v>12</v>
      </c>
      <c r="K15" s="347">
        <v>85.88</v>
      </c>
      <c r="L15" s="347">
        <v>86.89</v>
      </c>
      <c r="M15" s="347">
        <v>2.1</v>
      </c>
      <c r="N15" s="347">
        <v>87.6</v>
      </c>
      <c r="O15" s="348">
        <v>7339</v>
      </c>
      <c r="P15" s="345">
        <v>77.680000000000007</v>
      </c>
      <c r="Q15" s="345">
        <v>76.989999999999995</v>
      </c>
      <c r="R15" s="345">
        <v>33.549999999999997</v>
      </c>
      <c r="S15" s="345">
        <v>111</v>
      </c>
      <c r="T15" s="345">
        <v>442</v>
      </c>
      <c r="U15" s="345">
        <v>108.43</v>
      </c>
      <c r="V15" s="345">
        <v>395</v>
      </c>
      <c r="W15" s="345">
        <v>141.72</v>
      </c>
      <c r="X15" s="345">
        <v>34</v>
      </c>
      <c r="Y15" s="345">
        <v>0</v>
      </c>
      <c r="Z15" s="345">
        <v>10</v>
      </c>
      <c r="AA15" s="345">
        <v>0</v>
      </c>
      <c r="AB15" s="345">
        <v>10</v>
      </c>
      <c r="AC15" s="345">
        <v>1</v>
      </c>
      <c r="AD15" s="349">
        <v>7554</v>
      </c>
      <c r="AE15" s="349">
        <v>59</v>
      </c>
      <c r="AF15" s="349">
        <v>26</v>
      </c>
      <c r="AG15" s="349">
        <v>85</v>
      </c>
    </row>
    <row r="16" spans="1:33" x14ac:dyDescent="0.2">
      <c r="A16" s="344" t="s">
        <v>90</v>
      </c>
      <c r="B16" s="350" t="s">
        <v>91</v>
      </c>
      <c r="C16" s="346">
        <v>4476</v>
      </c>
      <c r="D16" s="346">
        <v>0</v>
      </c>
      <c r="E16" s="346">
        <v>138</v>
      </c>
      <c r="F16" s="346">
        <v>2437</v>
      </c>
      <c r="G16" s="346">
        <v>120</v>
      </c>
      <c r="H16" s="346">
        <v>7171</v>
      </c>
      <c r="I16" s="345">
        <v>7051</v>
      </c>
      <c r="J16" s="345">
        <v>8</v>
      </c>
      <c r="K16" s="347">
        <v>89.71</v>
      </c>
      <c r="L16" s="347">
        <v>89.38</v>
      </c>
      <c r="M16" s="347">
        <v>2.33</v>
      </c>
      <c r="N16" s="347">
        <v>91.85</v>
      </c>
      <c r="O16" s="348">
        <v>4344</v>
      </c>
      <c r="P16" s="345">
        <v>83.67</v>
      </c>
      <c r="Q16" s="345">
        <v>79.42</v>
      </c>
      <c r="R16" s="345">
        <v>8.11</v>
      </c>
      <c r="S16" s="345">
        <v>91.66</v>
      </c>
      <c r="T16" s="345">
        <v>2542</v>
      </c>
      <c r="U16" s="345">
        <v>98.74</v>
      </c>
      <c r="V16" s="345">
        <v>128</v>
      </c>
      <c r="W16" s="345">
        <v>0</v>
      </c>
      <c r="X16" s="345">
        <v>0</v>
      </c>
      <c r="Y16" s="345">
        <v>0</v>
      </c>
      <c r="Z16" s="345">
        <v>23</v>
      </c>
      <c r="AA16" s="345">
        <v>0</v>
      </c>
      <c r="AB16" s="345">
        <v>10</v>
      </c>
      <c r="AC16" s="345">
        <v>3</v>
      </c>
      <c r="AD16" s="349">
        <v>4476</v>
      </c>
      <c r="AE16" s="349">
        <v>22</v>
      </c>
      <c r="AF16" s="349">
        <v>24</v>
      </c>
      <c r="AG16" s="349">
        <v>46</v>
      </c>
    </row>
    <row r="17" spans="1:33" x14ac:dyDescent="0.2">
      <c r="A17" s="344" t="s">
        <v>92</v>
      </c>
      <c r="B17" s="350" t="s">
        <v>93</v>
      </c>
      <c r="C17" s="346">
        <v>2781</v>
      </c>
      <c r="D17" s="346">
        <v>14</v>
      </c>
      <c r="E17" s="346">
        <v>216</v>
      </c>
      <c r="F17" s="346">
        <v>338</v>
      </c>
      <c r="G17" s="346">
        <v>499</v>
      </c>
      <c r="H17" s="346">
        <v>3848</v>
      </c>
      <c r="I17" s="345">
        <v>3349</v>
      </c>
      <c r="J17" s="345">
        <v>0</v>
      </c>
      <c r="K17" s="347">
        <v>109.7</v>
      </c>
      <c r="L17" s="347">
        <v>109.15</v>
      </c>
      <c r="M17" s="347">
        <v>5.31</v>
      </c>
      <c r="N17" s="347">
        <v>114.05</v>
      </c>
      <c r="O17" s="348">
        <v>2213</v>
      </c>
      <c r="P17" s="345">
        <v>93.43</v>
      </c>
      <c r="Q17" s="345">
        <v>89.42</v>
      </c>
      <c r="R17" s="345">
        <v>34.01</v>
      </c>
      <c r="S17" s="345">
        <v>125.74</v>
      </c>
      <c r="T17" s="345">
        <v>380</v>
      </c>
      <c r="U17" s="345">
        <v>154.88999999999999</v>
      </c>
      <c r="V17" s="345">
        <v>576</v>
      </c>
      <c r="W17" s="345">
        <v>0</v>
      </c>
      <c r="X17" s="345">
        <v>0</v>
      </c>
      <c r="Y17" s="345">
        <v>0</v>
      </c>
      <c r="Z17" s="345">
        <v>0</v>
      </c>
      <c r="AA17" s="345">
        <v>0</v>
      </c>
      <c r="AB17" s="345">
        <v>55</v>
      </c>
      <c r="AC17" s="345">
        <v>10</v>
      </c>
      <c r="AD17" s="349">
        <v>2779</v>
      </c>
      <c r="AE17" s="349">
        <v>4</v>
      </c>
      <c r="AF17" s="349">
        <v>2</v>
      </c>
      <c r="AG17" s="349">
        <v>6</v>
      </c>
    </row>
    <row r="18" spans="1:33" x14ac:dyDescent="0.2">
      <c r="A18" s="344" t="s">
        <v>94</v>
      </c>
      <c r="B18" s="350" t="s">
        <v>95</v>
      </c>
      <c r="C18" s="346">
        <v>1567</v>
      </c>
      <c r="D18" s="346">
        <v>0</v>
      </c>
      <c r="E18" s="346">
        <v>170</v>
      </c>
      <c r="F18" s="346">
        <v>445</v>
      </c>
      <c r="G18" s="346">
        <v>155</v>
      </c>
      <c r="H18" s="346">
        <v>2337</v>
      </c>
      <c r="I18" s="345">
        <v>2182</v>
      </c>
      <c r="J18" s="345">
        <v>0</v>
      </c>
      <c r="K18" s="347">
        <v>87.04</v>
      </c>
      <c r="L18" s="347">
        <v>86.67</v>
      </c>
      <c r="M18" s="347">
        <v>5.23</v>
      </c>
      <c r="N18" s="347">
        <v>89.57</v>
      </c>
      <c r="O18" s="348">
        <v>1352</v>
      </c>
      <c r="P18" s="345">
        <v>96.48</v>
      </c>
      <c r="Q18" s="345">
        <v>88.2</v>
      </c>
      <c r="R18" s="345">
        <v>32.75</v>
      </c>
      <c r="S18" s="345">
        <v>127.57</v>
      </c>
      <c r="T18" s="345">
        <v>394</v>
      </c>
      <c r="U18" s="345">
        <v>99.81</v>
      </c>
      <c r="V18" s="345">
        <v>138</v>
      </c>
      <c r="W18" s="345">
        <v>0</v>
      </c>
      <c r="X18" s="345">
        <v>0</v>
      </c>
      <c r="Y18" s="345">
        <v>0</v>
      </c>
      <c r="Z18" s="345">
        <v>3</v>
      </c>
      <c r="AA18" s="345">
        <v>0</v>
      </c>
      <c r="AB18" s="345">
        <v>3</v>
      </c>
      <c r="AC18" s="345">
        <v>7</v>
      </c>
      <c r="AD18" s="349">
        <v>1567</v>
      </c>
      <c r="AE18" s="349">
        <v>6</v>
      </c>
      <c r="AF18" s="349">
        <v>3</v>
      </c>
      <c r="AG18" s="349">
        <v>9</v>
      </c>
    </row>
    <row r="19" spans="1:33" x14ac:dyDescent="0.2">
      <c r="A19" s="344" t="s">
        <v>96</v>
      </c>
      <c r="B19" s="350" t="s">
        <v>97</v>
      </c>
      <c r="C19" s="346">
        <v>2232</v>
      </c>
      <c r="D19" s="346">
        <v>0</v>
      </c>
      <c r="E19" s="346">
        <v>117</v>
      </c>
      <c r="F19" s="346">
        <v>151</v>
      </c>
      <c r="G19" s="346">
        <v>598</v>
      </c>
      <c r="H19" s="346">
        <v>3098</v>
      </c>
      <c r="I19" s="345">
        <v>2500</v>
      </c>
      <c r="J19" s="345">
        <v>1</v>
      </c>
      <c r="K19" s="347">
        <v>101.37</v>
      </c>
      <c r="L19" s="347">
        <v>99.75</v>
      </c>
      <c r="M19" s="347">
        <v>6.25</v>
      </c>
      <c r="N19" s="347">
        <v>106.6</v>
      </c>
      <c r="O19" s="348">
        <v>1810</v>
      </c>
      <c r="P19" s="345">
        <v>113.54</v>
      </c>
      <c r="Q19" s="345">
        <v>84.89</v>
      </c>
      <c r="R19" s="345">
        <v>52.81</v>
      </c>
      <c r="S19" s="345">
        <v>166.35</v>
      </c>
      <c r="T19" s="345">
        <v>209</v>
      </c>
      <c r="U19" s="345">
        <v>132.86000000000001</v>
      </c>
      <c r="V19" s="345">
        <v>337</v>
      </c>
      <c r="W19" s="345">
        <v>185.98</v>
      </c>
      <c r="X19" s="345">
        <v>59</v>
      </c>
      <c r="Y19" s="345">
        <v>11</v>
      </c>
      <c r="Z19" s="345">
        <v>0</v>
      </c>
      <c r="AA19" s="345">
        <v>0</v>
      </c>
      <c r="AB19" s="345">
        <v>38</v>
      </c>
      <c r="AC19" s="345">
        <v>20</v>
      </c>
      <c r="AD19" s="349">
        <v>2185</v>
      </c>
      <c r="AE19" s="349">
        <v>8</v>
      </c>
      <c r="AF19" s="349">
        <v>3</v>
      </c>
      <c r="AG19" s="349">
        <v>11</v>
      </c>
    </row>
    <row r="20" spans="1:33" x14ac:dyDescent="0.2">
      <c r="A20" s="344" t="s">
        <v>98</v>
      </c>
      <c r="B20" s="350" t="s">
        <v>99</v>
      </c>
      <c r="C20" s="346">
        <v>1722</v>
      </c>
      <c r="D20" s="346">
        <v>0</v>
      </c>
      <c r="E20" s="346">
        <v>121</v>
      </c>
      <c r="F20" s="346">
        <v>92</v>
      </c>
      <c r="G20" s="346">
        <v>174</v>
      </c>
      <c r="H20" s="346">
        <v>2109</v>
      </c>
      <c r="I20" s="345">
        <v>1935</v>
      </c>
      <c r="J20" s="345">
        <v>16</v>
      </c>
      <c r="K20" s="347">
        <v>94.47</v>
      </c>
      <c r="L20" s="347">
        <v>93.78</v>
      </c>
      <c r="M20" s="347">
        <v>3.83</v>
      </c>
      <c r="N20" s="347">
        <v>96.52</v>
      </c>
      <c r="O20" s="348">
        <v>1256</v>
      </c>
      <c r="P20" s="345">
        <v>107.4</v>
      </c>
      <c r="Q20" s="345">
        <v>91.96</v>
      </c>
      <c r="R20" s="345">
        <v>46.27</v>
      </c>
      <c r="S20" s="345">
        <v>150.05000000000001</v>
      </c>
      <c r="T20" s="345">
        <v>192</v>
      </c>
      <c r="U20" s="345">
        <v>115.97</v>
      </c>
      <c r="V20" s="345">
        <v>379</v>
      </c>
      <c r="W20" s="345">
        <v>103.39</v>
      </c>
      <c r="X20" s="345">
        <v>2</v>
      </c>
      <c r="Y20" s="345">
        <v>0</v>
      </c>
      <c r="Z20" s="345">
        <v>0</v>
      </c>
      <c r="AA20" s="345">
        <v>7</v>
      </c>
      <c r="AB20" s="345">
        <v>19</v>
      </c>
      <c r="AC20" s="345">
        <v>2</v>
      </c>
      <c r="AD20" s="349">
        <v>1684</v>
      </c>
      <c r="AE20" s="349">
        <v>6</v>
      </c>
      <c r="AF20" s="349">
        <v>3</v>
      </c>
      <c r="AG20" s="349">
        <v>9</v>
      </c>
    </row>
    <row r="21" spans="1:33" x14ac:dyDescent="0.2">
      <c r="A21" s="344" t="s">
        <v>100</v>
      </c>
      <c r="B21" s="350" t="s">
        <v>101</v>
      </c>
      <c r="C21" s="346">
        <v>4123</v>
      </c>
      <c r="D21" s="346">
        <v>69</v>
      </c>
      <c r="E21" s="346">
        <v>396</v>
      </c>
      <c r="F21" s="346">
        <v>466</v>
      </c>
      <c r="G21" s="346">
        <v>758</v>
      </c>
      <c r="H21" s="346">
        <v>5812</v>
      </c>
      <c r="I21" s="345">
        <v>5054</v>
      </c>
      <c r="J21" s="345">
        <v>3</v>
      </c>
      <c r="K21" s="347">
        <v>128.74</v>
      </c>
      <c r="L21" s="347">
        <v>118.52</v>
      </c>
      <c r="M21" s="347">
        <v>7.15</v>
      </c>
      <c r="N21" s="347">
        <v>132.52000000000001</v>
      </c>
      <c r="O21" s="348">
        <v>2957</v>
      </c>
      <c r="P21" s="345">
        <v>104.96</v>
      </c>
      <c r="Q21" s="345">
        <v>104.13</v>
      </c>
      <c r="R21" s="345">
        <v>55.6</v>
      </c>
      <c r="S21" s="345">
        <v>157.75</v>
      </c>
      <c r="T21" s="345">
        <v>692</v>
      </c>
      <c r="U21" s="345">
        <v>169.81</v>
      </c>
      <c r="V21" s="345">
        <v>728</v>
      </c>
      <c r="W21" s="345">
        <v>0</v>
      </c>
      <c r="X21" s="345">
        <v>0</v>
      </c>
      <c r="Y21" s="345">
        <v>0</v>
      </c>
      <c r="Z21" s="345">
        <v>5</v>
      </c>
      <c r="AA21" s="345">
        <v>1</v>
      </c>
      <c r="AB21" s="345">
        <v>23</v>
      </c>
      <c r="AC21" s="345">
        <v>47</v>
      </c>
      <c r="AD21" s="349">
        <v>4123</v>
      </c>
      <c r="AE21" s="349">
        <v>20</v>
      </c>
      <c r="AF21" s="349">
        <v>4</v>
      </c>
      <c r="AG21" s="349">
        <v>24</v>
      </c>
    </row>
    <row r="22" spans="1:33" x14ac:dyDescent="0.2">
      <c r="A22" s="344" t="s">
        <v>102</v>
      </c>
      <c r="B22" s="350" t="s">
        <v>103</v>
      </c>
      <c r="C22" s="346">
        <v>6776</v>
      </c>
      <c r="D22" s="346">
        <v>17</v>
      </c>
      <c r="E22" s="346">
        <v>562</v>
      </c>
      <c r="F22" s="346">
        <v>1149</v>
      </c>
      <c r="G22" s="346">
        <v>1285</v>
      </c>
      <c r="H22" s="346">
        <v>9789</v>
      </c>
      <c r="I22" s="345">
        <v>8504</v>
      </c>
      <c r="J22" s="345">
        <v>19</v>
      </c>
      <c r="K22" s="347">
        <v>130.38999999999999</v>
      </c>
      <c r="L22" s="347">
        <v>130.54</v>
      </c>
      <c r="M22" s="347">
        <v>12.34</v>
      </c>
      <c r="N22" s="347">
        <v>140.69999999999999</v>
      </c>
      <c r="O22" s="348">
        <v>5618</v>
      </c>
      <c r="P22" s="345">
        <v>115.8</v>
      </c>
      <c r="Q22" s="345">
        <v>112.48</v>
      </c>
      <c r="R22" s="345">
        <v>48.5</v>
      </c>
      <c r="S22" s="345">
        <v>160.21</v>
      </c>
      <c r="T22" s="345">
        <v>794</v>
      </c>
      <c r="U22" s="345">
        <v>203.98</v>
      </c>
      <c r="V22" s="345">
        <v>791</v>
      </c>
      <c r="W22" s="345">
        <v>251</v>
      </c>
      <c r="X22" s="345">
        <v>9</v>
      </c>
      <c r="Y22" s="345">
        <v>0</v>
      </c>
      <c r="Z22" s="345">
        <v>2</v>
      </c>
      <c r="AA22" s="345">
        <v>1</v>
      </c>
      <c r="AB22" s="345">
        <v>168</v>
      </c>
      <c r="AC22" s="345">
        <v>68</v>
      </c>
      <c r="AD22" s="349">
        <v>6554</v>
      </c>
      <c r="AE22" s="349">
        <v>23</v>
      </c>
      <c r="AF22" s="349">
        <v>66</v>
      </c>
      <c r="AG22" s="349">
        <v>89</v>
      </c>
    </row>
    <row r="23" spans="1:33" x14ac:dyDescent="0.2">
      <c r="A23" s="344" t="s">
        <v>104</v>
      </c>
      <c r="B23" s="350" t="s">
        <v>105</v>
      </c>
      <c r="C23" s="346">
        <v>2780</v>
      </c>
      <c r="D23" s="346">
        <v>0</v>
      </c>
      <c r="E23" s="346">
        <v>354</v>
      </c>
      <c r="F23" s="346">
        <v>672</v>
      </c>
      <c r="G23" s="346">
        <v>233</v>
      </c>
      <c r="H23" s="346">
        <v>4039</v>
      </c>
      <c r="I23" s="345">
        <v>3806</v>
      </c>
      <c r="J23" s="345">
        <v>0</v>
      </c>
      <c r="K23" s="347">
        <v>86.92</v>
      </c>
      <c r="L23" s="347">
        <v>85.3</v>
      </c>
      <c r="M23" s="347">
        <v>5.45</v>
      </c>
      <c r="N23" s="347">
        <v>89.4</v>
      </c>
      <c r="O23" s="348">
        <v>1967</v>
      </c>
      <c r="P23" s="345">
        <v>89.01</v>
      </c>
      <c r="Q23" s="345">
        <v>82.53</v>
      </c>
      <c r="R23" s="345">
        <v>37.700000000000003</v>
      </c>
      <c r="S23" s="345">
        <v>125.48</v>
      </c>
      <c r="T23" s="345">
        <v>951</v>
      </c>
      <c r="U23" s="345">
        <v>94.27</v>
      </c>
      <c r="V23" s="345">
        <v>711</v>
      </c>
      <c r="W23" s="345">
        <v>0</v>
      </c>
      <c r="X23" s="345">
        <v>0</v>
      </c>
      <c r="Y23" s="345">
        <v>0</v>
      </c>
      <c r="Z23" s="345">
        <v>1</v>
      </c>
      <c r="AA23" s="345">
        <v>0</v>
      </c>
      <c r="AB23" s="345">
        <v>7</v>
      </c>
      <c r="AC23" s="345">
        <v>5</v>
      </c>
      <c r="AD23" s="349">
        <v>2778</v>
      </c>
      <c r="AE23" s="349">
        <v>16</v>
      </c>
      <c r="AF23" s="349">
        <v>4</v>
      </c>
      <c r="AG23" s="349">
        <v>20</v>
      </c>
    </row>
    <row r="24" spans="1:33" x14ac:dyDescent="0.2">
      <c r="A24" s="344" t="s">
        <v>106</v>
      </c>
      <c r="B24" s="350" t="s">
        <v>107</v>
      </c>
      <c r="C24" s="346">
        <v>507</v>
      </c>
      <c r="D24" s="346">
        <v>0</v>
      </c>
      <c r="E24" s="346">
        <v>96</v>
      </c>
      <c r="F24" s="346">
        <v>209</v>
      </c>
      <c r="G24" s="346">
        <v>11</v>
      </c>
      <c r="H24" s="346">
        <v>823</v>
      </c>
      <c r="I24" s="345">
        <v>812</v>
      </c>
      <c r="J24" s="345">
        <v>6</v>
      </c>
      <c r="K24" s="347">
        <v>81.25</v>
      </c>
      <c r="L24" s="347">
        <v>77.89</v>
      </c>
      <c r="M24" s="347">
        <v>4.53</v>
      </c>
      <c r="N24" s="347">
        <v>83.95</v>
      </c>
      <c r="O24" s="348">
        <v>466</v>
      </c>
      <c r="P24" s="345">
        <v>82.55</v>
      </c>
      <c r="Q24" s="345">
        <v>83.33</v>
      </c>
      <c r="R24" s="345">
        <v>46.57</v>
      </c>
      <c r="S24" s="345">
        <v>127.75</v>
      </c>
      <c r="T24" s="345">
        <v>272</v>
      </c>
      <c r="U24" s="345">
        <v>109.74</v>
      </c>
      <c r="V24" s="345">
        <v>27</v>
      </c>
      <c r="W24" s="345">
        <v>0</v>
      </c>
      <c r="X24" s="345">
        <v>0</v>
      </c>
      <c r="Y24" s="345">
        <v>0</v>
      </c>
      <c r="Z24" s="345">
        <v>0</v>
      </c>
      <c r="AA24" s="345">
        <v>0</v>
      </c>
      <c r="AB24" s="345">
        <v>0</v>
      </c>
      <c r="AC24" s="345">
        <v>0</v>
      </c>
      <c r="AD24" s="349">
        <v>507</v>
      </c>
      <c r="AE24" s="349">
        <v>1</v>
      </c>
      <c r="AF24" s="349">
        <v>0</v>
      </c>
      <c r="AG24" s="349">
        <v>1</v>
      </c>
    </row>
    <row r="25" spans="1:33" x14ac:dyDescent="0.2">
      <c r="A25" s="344" t="s">
        <v>108</v>
      </c>
      <c r="B25" s="350" t="s">
        <v>109</v>
      </c>
      <c r="C25" s="346">
        <v>5282</v>
      </c>
      <c r="D25" s="346">
        <v>0</v>
      </c>
      <c r="E25" s="346">
        <v>212</v>
      </c>
      <c r="F25" s="346">
        <v>361</v>
      </c>
      <c r="G25" s="346">
        <v>643</v>
      </c>
      <c r="H25" s="346">
        <v>6498</v>
      </c>
      <c r="I25" s="345">
        <v>5855</v>
      </c>
      <c r="J25" s="345">
        <v>0</v>
      </c>
      <c r="K25" s="347">
        <v>111.9</v>
      </c>
      <c r="L25" s="347">
        <v>111.95</v>
      </c>
      <c r="M25" s="347">
        <v>5.64</v>
      </c>
      <c r="N25" s="347">
        <v>114.63</v>
      </c>
      <c r="O25" s="348">
        <v>5043</v>
      </c>
      <c r="P25" s="345">
        <v>95.17</v>
      </c>
      <c r="Q25" s="345">
        <v>92.66</v>
      </c>
      <c r="R25" s="345">
        <v>42.13</v>
      </c>
      <c r="S25" s="345">
        <v>135.27000000000001</v>
      </c>
      <c r="T25" s="345">
        <v>455</v>
      </c>
      <c r="U25" s="345">
        <v>129.49</v>
      </c>
      <c r="V25" s="345">
        <v>168</v>
      </c>
      <c r="W25" s="345">
        <v>0</v>
      </c>
      <c r="X25" s="345">
        <v>0</v>
      </c>
      <c r="Y25" s="345">
        <v>0</v>
      </c>
      <c r="Z25" s="345">
        <v>6</v>
      </c>
      <c r="AA25" s="345">
        <v>0</v>
      </c>
      <c r="AB25" s="345">
        <v>24</v>
      </c>
      <c r="AC25" s="345">
        <v>14</v>
      </c>
      <c r="AD25" s="349">
        <v>5282</v>
      </c>
      <c r="AE25" s="349">
        <v>16</v>
      </c>
      <c r="AF25" s="349">
        <v>35</v>
      </c>
      <c r="AG25" s="349">
        <v>51</v>
      </c>
    </row>
    <row r="26" spans="1:33" x14ac:dyDescent="0.2">
      <c r="A26" s="344" t="s">
        <v>110</v>
      </c>
      <c r="B26" s="350" t="s">
        <v>111</v>
      </c>
      <c r="C26" s="346">
        <v>12060</v>
      </c>
      <c r="D26" s="346">
        <v>0</v>
      </c>
      <c r="E26" s="346">
        <v>376</v>
      </c>
      <c r="F26" s="346">
        <v>897</v>
      </c>
      <c r="G26" s="346">
        <v>926</v>
      </c>
      <c r="H26" s="346">
        <v>14259</v>
      </c>
      <c r="I26" s="345">
        <v>13333</v>
      </c>
      <c r="J26" s="345">
        <v>0</v>
      </c>
      <c r="K26" s="347">
        <v>115.32</v>
      </c>
      <c r="L26" s="347">
        <v>113.39</v>
      </c>
      <c r="M26" s="347">
        <v>4.83</v>
      </c>
      <c r="N26" s="347">
        <v>117.18</v>
      </c>
      <c r="O26" s="348">
        <v>11118</v>
      </c>
      <c r="P26" s="345">
        <v>96.41</v>
      </c>
      <c r="Q26" s="345">
        <v>90.21</v>
      </c>
      <c r="R26" s="345">
        <v>29.62</v>
      </c>
      <c r="S26" s="345">
        <v>125.21</v>
      </c>
      <c r="T26" s="345">
        <v>1131</v>
      </c>
      <c r="U26" s="345">
        <v>143.94999999999999</v>
      </c>
      <c r="V26" s="345">
        <v>623</v>
      </c>
      <c r="W26" s="345">
        <v>161.97999999999999</v>
      </c>
      <c r="X26" s="345">
        <v>1</v>
      </c>
      <c r="Y26" s="345">
        <v>29</v>
      </c>
      <c r="Z26" s="345">
        <v>24</v>
      </c>
      <c r="AA26" s="345">
        <v>1</v>
      </c>
      <c r="AB26" s="345">
        <v>47</v>
      </c>
      <c r="AC26" s="345">
        <v>28</v>
      </c>
      <c r="AD26" s="349">
        <v>12058</v>
      </c>
      <c r="AE26" s="349">
        <v>31</v>
      </c>
      <c r="AF26" s="349">
        <v>6</v>
      </c>
      <c r="AG26" s="349">
        <v>37</v>
      </c>
    </row>
    <row r="27" spans="1:33" x14ac:dyDescent="0.2">
      <c r="A27" s="344" t="s">
        <v>112</v>
      </c>
      <c r="B27" s="350" t="s">
        <v>113</v>
      </c>
      <c r="C27" s="346">
        <v>890</v>
      </c>
      <c r="D27" s="346">
        <v>0</v>
      </c>
      <c r="E27" s="346">
        <v>262</v>
      </c>
      <c r="F27" s="346">
        <v>154</v>
      </c>
      <c r="G27" s="346">
        <v>84</v>
      </c>
      <c r="H27" s="346">
        <v>1390</v>
      </c>
      <c r="I27" s="345">
        <v>1306</v>
      </c>
      <c r="J27" s="345">
        <v>3</v>
      </c>
      <c r="K27" s="347">
        <v>88.24</v>
      </c>
      <c r="L27" s="347">
        <v>86.16</v>
      </c>
      <c r="M27" s="347">
        <v>3.15</v>
      </c>
      <c r="N27" s="347">
        <v>90.14</v>
      </c>
      <c r="O27" s="348">
        <v>827</v>
      </c>
      <c r="P27" s="345">
        <v>125.53</v>
      </c>
      <c r="Q27" s="345">
        <v>77.94</v>
      </c>
      <c r="R27" s="345">
        <v>40.85</v>
      </c>
      <c r="S27" s="345">
        <v>165.57</v>
      </c>
      <c r="T27" s="345">
        <v>303</v>
      </c>
      <c r="U27" s="345">
        <v>94.25</v>
      </c>
      <c r="V27" s="345">
        <v>33</v>
      </c>
      <c r="W27" s="345">
        <v>174.74</v>
      </c>
      <c r="X27" s="345">
        <v>4</v>
      </c>
      <c r="Y27" s="345">
        <v>0</v>
      </c>
      <c r="Z27" s="345">
        <v>0</v>
      </c>
      <c r="AA27" s="345">
        <v>1</v>
      </c>
      <c r="AB27" s="345">
        <v>6</v>
      </c>
      <c r="AC27" s="345">
        <v>2</v>
      </c>
      <c r="AD27" s="349">
        <v>887</v>
      </c>
      <c r="AE27" s="349">
        <v>6</v>
      </c>
      <c r="AF27" s="349">
        <v>9</v>
      </c>
      <c r="AG27" s="349">
        <v>15</v>
      </c>
    </row>
    <row r="28" spans="1:33" x14ac:dyDescent="0.2">
      <c r="A28" s="344" t="s">
        <v>114</v>
      </c>
      <c r="B28" s="350" t="s">
        <v>115</v>
      </c>
      <c r="C28" s="346">
        <v>8878</v>
      </c>
      <c r="D28" s="346">
        <v>0</v>
      </c>
      <c r="E28" s="346">
        <v>341</v>
      </c>
      <c r="F28" s="346">
        <v>2128</v>
      </c>
      <c r="G28" s="346">
        <v>452</v>
      </c>
      <c r="H28" s="346">
        <v>11799</v>
      </c>
      <c r="I28" s="345">
        <v>11347</v>
      </c>
      <c r="J28" s="345">
        <v>14</v>
      </c>
      <c r="K28" s="347">
        <v>101.07</v>
      </c>
      <c r="L28" s="347">
        <v>101.35</v>
      </c>
      <c r="M28" s="347">
        <v>4.5999999999999996</v>
      </c>
      <c r="N28" s="347">
        <v>103.82</v>
      </c>
      <c r="O28" s="348">
        <v>8148</v>
      </c>
      <c r="P28" s="345">
        <v>93.56</v>
      </c>
      <c r="Q28" s="345">
        <v>94.77</v>
      </c>
      <c r="R28" s="345">
        <v>14.86</v>
      </c>
      <c r="S28" s="345">
        <v>106.95</v>
      </c>
      <c r="T28" s="345">
        <v>2194</v>
      </c>
      <c r="U28" s="345">
        <v>132.06</v>
      </c>
      <c r="V28" s="345">
        <v>627</v>
      </c>
      <c r="W28" s="345">
        <v>120.55</v>
      </c>
      <c r="X28" s="345">
        <v>77</v>
      </c>
      <c r="Y28" s="345">
        <v>0</v>
      </c>
      <c r="Z28" s="345">
        <v>30</v>
      </c>
      <c r="AA28" s="345">
        <v>60</v>
      </c>
      <c r="AB28" s="345">
        <v>36</v>
      </c>
      <c r="AC28" s="345">
        <v>19</v>
      </c>
      <c r="AD28" s="349">
        <v>8805</v>
      </c>
      <c r="AE28" s="349">
        <v>8</v>
      </c>
      <c r="AF28" s="349">
        <v>52</v>
      </c>
      <c r="AG28" s="349">
        <v>60</v>
      </c>
    </row>
    <row r="29" spans="1:33" x14ac:dyDescent="0.2">
      <c r="A29" s="344" t="s">
        <v>116</v>
      </c>
      <c r="B29" s="350" t="s">
        <v>117</v>
      </c>
      <c r="C29" s="346">
        <v>10451</v>
      </c>
      <c r="D29" s="346">
        <v>0</v>
      </c>
      <c r="E29" s="346">
        <v>350</v>
      </c>
      <c r="F29" s="346">
        <v>1096</v>
      </c>
      <c r="G29" s="346">
        <v>942</v>
      </c>
      <c r="H29" s="346">
        <v>12839</v>
      </c>
      <c r="I29" s="345">
        <v>11897</v>
      </c>
      <c r="J29" s="345">
        <v>6</v>
      </c>
      <c r="K29" s="347">
        <v>99.69</v>
      </c>
      <c r="L29" s="347">
        <v>99.21</v>
      </c>
      <c r="M29" s="347">
        <v>7.95</v>
      </c>
      <c r="N29" s="347">
        <v>105.4</v>
      </c>
      <c r="O29" s="348">
        <v>9231</v>
      </c>
      <c r="P29" s="345">
        <v>96.42</v>
      </c>
      <c r="Q29" s="345">
        <v>90.2</v>
      </c>
      <c r="R29" s="345">
        <v>40.06</v>
      </c>
      <c r="S29" s="345">
        <v>135.88999999999999</v>
      </c>
      <c r="T29" s="345">
        <v>1226</v>
      </c>
      <c r="U29" s="345">
        <v>126.76</v>
      </c>
      <c r="V29" s="345">
        <v>868</v>
      </c>
      <c r="W29" s="345">
        <v>103.57</v>
      </c>
      <c r="X29" s="345">
        <v>5</v>
      </c>
      <c r="Y29" s="345">
        <v>89</v>
      </c>
      <c r="Z29" s="345">
        <v>8</v>
      </c>
      <c r="AA29" s="345">
        <v>0</v>
      </c>
      <c r="AB29" s="345">
        <v>105</v>
      </c>
      <c r="AC29" s="345">
        <v>15</v>
      </c>
      <c r="AD29" s="349">
        <v>10368</v>
      </c>
      <c r="AE29" s="349">
        <v>26</v>
      </c>
      <c r="AF29" s="349">
        <v>26</v>
      </c>
      <c r="AG29" s="349">
        <v>52</v>
      </c>
    </row>
    <row r="30" spans="1:33" x14ac:dyDescent="0.2">
      <c r="A30" s="344" t="s">
        <v>118</v>
      </c>
      <c r="B30" s="350" t="s">
        <v>119</v>
      </c>
      <c r="C30" s="346">
        <v>12055</v>
      </c>
      <c r="D30" s="346">
        <v>54</v>
      </c>
      <c r="E30" s="346">
        <v>104</v>
      </c>
      <c r="F30" s="346">
        <v>1337</v>
      </c>
      <c r="G30" s="346">
        <v>1009</v>
      </c>
      <c r="H30" s="346">
        <v>14559</v>
      </c>
      <c r="I30" s="345">
        <v>13550</v>
      </c>
      <c r="J30" s="345">
        <v>43</v>
      </c>
      <c r="K30" s="347">
        <v>112.67</v>
      </c>
      <c r="L30" s="347">
        <v>109.3</v>
      </c>
      <c r="M30" s="347">
        <v>9.7799999999999994</v>
      </c>
      <c r="N30" s="347">
        <v>121.8</v>
      </c>
      <c r="O30" s="348">
        <v>10078</v>
      </c>
      <c r="P30" s="345">
        <v>96.81</v>
      </c>
      <c r="Q30" s="345">
        <v>96.6</v>
      </c>
      <c r="R30" s="345">
        <v>27.76</v>
      </c>
      <c r="S30" s="345">
        <v>124.15</v>
      </c>
      <c r="T30" s="345">
        <v>1289</v>
      </c>
      <c r="U30" s="345">
        <v>158.36000000000001</v>
      </c>
      <c r="V30" s="345">
        <v>1256</v>
      </c>
      <c r="W30" s="345">
        <v>0</v>
      </c>
      <c r="X30" s="345">
        <v>0</v>
      </c>
      <c r="Y30" s="345">
        <v>10</v>
      </c>
      <c r="Z30" s="345">
        <v>11</v>
      </c>
      <c r="AA30" s="345">
        <v>0</v>
      </c>
      <c r="AB30" s="345">
        <v>59</v>
      </c>
      <c r="AC30" s="345">
        <v>23</v>
      </c>
      <c r="AD30" s="349">
        <v>11405</v>
      </c>
      <c r="AE30" s="349">
        <v>47</v>
      </c>
      <c r="AF30" s="349">
        <v>141</v>
      </c>
      <c r="AG30" s="349">
        <v>188</v>
      </c>
    </row>
    <row r="31" spans="1:33" x14ac:dyDescent="0.2">
      <c r="A31" s="344" t="s">
        <v>120</v>
      </c>
      <c r="B31" s="350" t="s">
        <v>121</v>
      </c>
      <c r="C31" s="346">
        <v>33666</v>
      </c>
      <c r="D31" s="346">
        <v>27</v>
      </c>
      <c r="E31" s="346">
        <v>7456</v>
      </c>
      <c r="F31" s="346">
        <v>4643</v>
      </c>
      <c r="G31" s="346">
        <v>3313</v>
      </c>
      <c r="H31" s="346">
        <v>49105</v>
      </c>
      <c r="I31" s="345">
        <v>45792</v>
      </c>
      <c r="J31" s="345">
        <v>153</v>
      </c>
      <c r="K31" s="347">
        <v>94.34</v>
      </c>
      <c r="L31" s="347">
        <v>93.43</v>
      </c>
      <c r="M31" s="347">
        <v>7.5</v>
      </c>
      <c r="N31" s="347">
        <v>100.09</v>
      </c>
      <c r="O31" s="348">
        <v>30088</v>
      </c>
      <c r="P31" s="345">
        <v>83.26</v>
      </c>
      <c r="Q31" s="345">
        <v>80.98</v>
      </c>
      <c r="R31" s="345">
        <v>73.099999999999994</v>
      </c>
      <c r="S31" s="345">
        <v>154.38</v>
      </c>
      <c r="T31" s="345">
        <v>7691</v>
      </c>
      <c r="U31" s="345">
        <v>115.4</v>
      </c>
      <c r="V31" s="345">
        <v>1322</v>
      </c>
      <c r="W31" s="345">
        <v>174.03</v>
      </c>
      <c r="X31" s="345">
        <v>114</v>
      </c>
      <c r="Y31" s="345">
        <v>0</v>
      </c>
      <c r="Z31" s="345">
        <v>26</v>
      </c>
      <c r="AA31" s="345">
        <v>72</v>
      </c>
      <c r="AB31" s="345">
        <v>25</v>
      </c>
      <c r="AC31" s="345">
        <v>138</v>
      </c>
      <c r="AD31" s="349">
        <v>31751</v>
      </c>
      <c r="AE31" s="349">
        <v>140</v>
      </c>
      <c r="AF31" s="349">
        <v>68</v>
      </c>
      <c r="AG31" s="349">
        <v>208</v>
      </c>
    </row>
    <row r="32" spans="1:33" x14ac:dyDescent="0.2">
      <c r="A32" s="344" t="s">
        <v>122</v>
      </c>
      <c r="B32" s="350" t="s">
        <v>123</v>
      </c>
      <c r="C32" s="346">
        <v>1962</v>
      </c>
      <c r="D32" s="346">
        <v>0</v>
      </c>
      <c r="E32" s="346">
        <v>115</v>
      </c>
      <c r="F32" s="346">
        <v>1380</v>
      </c>
      <c r="G32" s="346">
        <v>324</v>
      </c>
      <c r="H32" s="346">
        <v>3781</v>
      </c>
      <c r="I32" s="345">
        <v>3457</v>
      </c>
      <c r="J32" s="345">
        <v>19</v>
      </c>
      <c r="K32" s="347">
        <v>88.38</v>
      </c>
      <c r="L32" s="347">
        <v>87.78</v>
      </c>
      <c r="M32" s="347">
        <v>4.08</v>
      </c>
      <c r="N32" s="347">
        <v>90.55</v>
      </c>
      <c r="O32" s="348">
        <v>1633</v>
      </c>
      <c r="P32" s="345">
        <v>78.2</v>
      </c>
      <c r="Q32" s="345">
        <v>77.52</v>
      </c>
      <c r="R32" s="345">
        <v>18.829999999999998</v>
      </c>
      <c r="S32" s="345">
        <v>96.55</v>
      </c>
      <c r="T32" s="345">
        <v>1489</v>
      </c>
      <c r="U32" s="345">
        <v>108.74</v>
      </c>
      <c r="V32" s="345">
        <v>234</v>
      </c>
      <c r="W32" s="345">
        <v>0</v>
      </c>
      <c r="X32" s="345">
        <v>0</v>
      </c>
      <c r="Y32" s="345">
        <v>0</v>
      </c>
      <c r="Z32" s="345">
        <v>14</v>
      </c>
      <c r="AA32" s="345">
        <v>23</v>
      </c>
      <c r="AB32" s="345">
        <v>39</v>
      </c>
      <c r="AC32" s="345">
        <v>3</v>
      </c>
      <c r="AD32" s="349">
        <v>1962</v>
      </c>
      <c r="AE32" s="349">
        <v>16</v>
      </c>
      <c r="AF32" s="349">
        <v>2</v>
      </c>
      <c r="AG32" s="349">
        <v>18</v>
      </c>
    </row>
    <row r="33" spans="1:33" x14ac:dyDescent="0.2">
      <c r="A33" s="344" t="s">
        <v>124</v>
      </c>
      <c r="B33" s="350" t="s">
        <v>125</v>
      </c>
      <c r="C33" s="346">
        <v>9705</v>
      </c>
      <c r="D33" s="346">
        <v>8</v>
      </c>
      <c r="E33" s="346">
        <v>429</v>
      </c>
      <c r="F33" s="346">
        <v>1307</v>
      </c>
      <c r="G33" s="346">
        <v>227</v>
      </c>
      <c r="H33" s="346">
        <v>11676</v>
      </c>
      <c r="I33" s="345">
        <v>11449</v>
      </c>
      <c r="J33" s="345">
        <v>0</v>
      </c>
      <c r="K33" s="347">
        <v>79.849999999999994</v>
      </c>
      <c r="L33" s="347">
        <v>79.290000000000006</v>
      </c>
      <c r="M33" s="347">
        <v>2.31</v>
      </c>
      <c r="N33" s="347">
        <v>81.91</v>
      </c>
      <c r="O33" s="348">
        <v>8671</v>
      </c>
      <c r="P33" s="345">
        <v>81.81</v>
      </c>
      <c r="Q33" s="345">
        <v>72.55</v>
      </c>
      <c r="R33" s="345">
        <v>35.880000000000003</v>
      </c>
      <c r="S33" s="345">
        <v>116.96</v>
      </c>
      <c r="T33" s="345">
        <v>1616</v>
      </c>
      <c r="U33" s="345">
        <v>95.96</v>
      </c>
      <c r="V33" s="345">
        <v>990</v>
      </c>
      <c r="W33" s="345">
        <v>143.97</v>
      </c>
      <c r="X33" s="345">
        <v>61</v>
      </c>
      <c r="Y33" s="345">
        <v>73</v>
      </c>
      <c r="Z33" s="345">
        <v>45</v>
      </c>
      <c r="AA33" s="345">
        <v>4</v>
      </c>
      <c r="AB33" s="345">
        <v>9</v>
      </c>
      <c r="AC33" s="345">
        <v>10</v>
      </c>
      <c r="AD33" s="349">
        <v>9705</v>
      </c>
      <c r="AE33" s="349">
        <v>36</v>
      </c>
      <c r="AF33" s="349">
        <v>29</v>
      </c>
      <c r="AG33" s="349">
        <v>65</v>
      </c>
    </row>
    <row r="34" spans="1:33" x14ac:dyDescent="0.2">
      <c r="A34" s="344" t="s">
        <v>126</v>
      </c>
      <c r="B34" s="350" t="s">
        <v>127</v>
      </c>
      <c r="C34" s="346">
        <v>1680</v>
      </c>
      <c r="D34" s="346">
        <v>7</v>
      </c>
      <c r="E34" s="346">
        <v>365</v>
      </c>
      <c r="F34" s="346">
        <v>202</v>
      </c>
      <c r="G34" s="346">
        <v>92</v>
      </c>
      <c r="H34" s="346">
        <v>2346</v>
      </c>
      <c r="I34" s="345">
        <v>2254</v>
      </c>
      <c r="J34" s="345">
        <v>0</v>
      </c>
      <c r="K34" s="347">
        <v>86.37</v>
      </c>
      <c r="L34" s="347">
        <v>84.29</v>
      </c>
      <c r="M34" s="347">
        <v>4.66</v>
      </c>
      <c r="N34" s="347">
        <v>89.95</v>
      </c>
      <c r="O34" s="348">
        <v>1236</v>
      </c>
      <c r="P34" s="345">
        <v>102.97</v>
      </c>
      <c r="Q34" s="345">
        <v>84.34</v>
      </c>
      <c r="R34" s="345">
        <v>49.97</v>
      </c>
      <c r="S34" s="345">
        <v>149.4</v>
      </c>
      <c r="T34" s="345">
        <v>523</v>
      </c>
      <c r="U34" s="345">
        <v>105.86</v>
      </c>
      <c r="V34" s="345">
        <v>309</v>
      </c>
      <c r="W34" s="345">
        <v>94.11</v>
      </c>
      <c r="X34" s="345">
        <v>1</v>
      </c>
      <c r="Y34" s="345">
        <v>17</v>
      </c>
      <c r="Z34" s="345">
        <v>0</v>
      </c>
      <c r="AA34" s="345">
        <v>6</v>
      </c>
      <c r="AB34" s="345">
        <v>0</v>
      </c>
      <c r="AC34" s="345">
        <v>4</v>
      </c>
      <c r="AD34" s="349">
        <v>1629</v>
      </c>
      <c r="AE34" s="349">
        <v>14</v>
      </c>
      <c r="AF34" s="349">
        <v>10</v>
      </c>
      <c r="AG34" s="349">
        <v>24</v>
      </c>
    </row>
    <row r="35" spans="1:33" x14ac:dyDescent="0.2">
      <c r="A35" s="344" t="s">
        <v>128</v>
      </c>
      <c r="B35" s="350" t="s">
        <v>129</v>
      </c>
      <c r="C35" s="346">
        <v>749</v>
      </c>
      <c r="D35" s="346">
        <v>0</v>
      </c>
      <c r="E35" s="346">
        <v>54</v>
      </c>
      <c r="F35" s="346">
        <v>261</v>
      </c>
      <c r="G35" s="346">
        <v>22</v>
      </c>
      <c r="H35" s="346">
        <v>1086</v>
      </c>
      <c r="I35" s="345">
        <v>1064</v>
      </c>
      <c r="J35" s="345">
        <v>0</v>
      </c>
      <c r="K35" s="347">
        <v>90.62</v>
      </c>
      <c r="L35" s="347">
        <v>88.4</v>
      </c>
      <c r="M35" s="347">
        <v>3.79</v>
      </c>
      <c r="N35" s="347">
        <v>92.85</v>
      </c>
      <c r="O35" s="348">
        <v>663</v>
      </c>
      <c r="P35" s="345">
        <v>92.73</v>
      </c>
      <c r="Q35" s="345">
        <v>86.94</v>
      </c>
      <c r="R35" s="345">
        <v>16.96</v>
      </c>
      <c r="S35" s="345">
        <v>108.43</v>
      </c>
      <c r="T35" s="345">
        <v>297</v>
      </c>
      <c r="U35" s="345">
        <v>90.53</v>
      </c>
      <c r="V35" s="345">
        <v>50</v>
      </c>
      <c r="W35" s="345">
        <v>0</v>
      </c>
      <c r="X35" s="345">
        <v>0</v>
      </c>
      <c r="Y35" s="345">
        <v>0</v>
      </c>
      <c r="Z35" s="345">
        <v>1</v>
      </c>
      <c r="AA35" s="345">
        <v>1</v>
      </c>
      <c r="AB35" s="345">
        <v>1</v>
      </c>
      <c r="AC35" s="345">
        <v>2</v>
      </c>
      <c r="AD35" s="349">
        <v>748</v>
      </c>
      <c r="AE35" s="349">
        <v>2</v>
      </c>
      <c r="AF35" s="349">
        <v>4</v>
      </c>
      <c r="AG35" s="349">
        <v>6</v>
      </c>
    </row>
    <row r="36" spans="1:33" x14ac:dyDescent="0.2">
      <c r="A36" s="344" t="s">
        <v>130</v>
      </c>
      <c r="B36" s="350" t="s">
        <v>131</v>
      </c>
      <c r="C36" s="346">
        <v>21110</v>
      </c>
      <c r="D36" s="346">
        <v>7</v>
      </c>
      <c r="E36" s="346">
        <v>692</v>
      </c>
      <c r="F36" s="346">
        <v>3797</v>
      </c>
      <c r="G36" s="346">
        <v>358</v>
      </c>
      <c r="H36" s="346">
        <v>25964</v>
      </c>
      <c r="I36" s="345">
        <v>25606</v>
      </c>
      <c r="J36" s="345">
        <v>0</v>
      </c>
      <c r="K36" s="347">
        <v>78.36</v>
      </c>
      <c r="L36" s="347">
        <v>80.569999999999993</v>
      </c>
      <c r="M36" s="347">
        <v>8.36</v>
      </c>
      <c r="N36" s="347">
        <v>80.87</v>
      </c>
      <c r="O36" s="348">
        <v>18076</v>
      </c>
      <c r="P36" s="345">
        <v>75.11</v>
      </c>
      <c r="Q36" s="345">
        <v>75.78</v>
      </c>
      <c r="R36" s="345">
        <v>28.71</v>
      </c>
      <c r="S36" s="345">
        <v>103.1</v>
      </c>
      <c r="T36" s="345">
        <v>4483</v>
      </c>
      <c r="U36" s="345">
        <v>97.31</v>
      </c>
      <c r="V36" s="345">
        <v>2929</v>
      </c>
      <c r="W36" s="345">
        <v>252.8</v>
      </c>
      <c r="X36" s="345">
        <v>2</v>
      </c>
      <c r="Y36" s="345">
        <v>51</v>
      </c>
      <c r="Z36" s="345">
        <v>133</v>
      </c>
      <c r="AA36" s="345">
        <v>5</v>
      </c>
      <c r="AB36" s="345">
        <v>3</v>
      </c>
      <c r="AC36" s="345">
        <v>11</v>
      </c>
      <c r="AD36" s="349">
        <v>21082</v>
      </c>
      <c r="AE36" s="349">
        <v>124</v>
      </c>
      <c r="AF36" s="349">
        <v>118</v>
      </c>
      <c r="AG36" s="349">
        <v>242</v>
      </c>
    </row>
    <row r="37" spans="1:33" x14ac:dyDescent="0.2">
      <c r="A37" s="344" t="s">
        <v>132</v>
      </c>
      <c r="B37" s="350" t="s">
        <v>133</v>
      </c>
      <c r="C37" s="346">
        <v>4337</v>
      </c>
      <c r="D37" s="346">
        <v>0</v>
      </c>
      <c r="E37" s="346">
        <v>135</v>
      </c>
      <c r="F37" s="346">
        <v>969</v>
      </c>
      <c r="G37" s="346">
        <v>220</v>
      </c>
      <c r="H37" s="346">
        <v>5661</v>
      </c>
      <c r="I37" s="345">
        <v>5441</v>
      </c>
      <c r="J37" s="345">
        <v>0</v>
      </c>
      <c r="K37" s="347">
        <v>81.3</v>
      </c>
      <c r="L37" s="347">
        <v>78.489999999999995</v>
      </c>
      <c r="M37" s="347">
        <v>1.78</v>
      </c>
      <c r="N37" s="347">
        <v>83.04</v>
      </c>
      <c r="O37" s="348">
        <v>4036</v>
      </c>
      <c r="P37" s="345">
        <v>75.89</v>
      </c>
      <c r="Q37" s="345">
        <v>72.77</v>
      </c>
      <c r="R37" s="345">
        <v>15.04</v>
      </c>
      <c r="S37" s="345">
        <v>90.91</v>
      </c>
      <c r="T37" s="345">
        <v>1043</v>
      </c>
      <c r="U37" s="345">
        <v>102.36</v>
      </c>
      <c r="V37" s="345">
        <v>245</v>
      </c>
      <c r="W37" s="345">
        <v>268.73</v>
      </c>
      <c r="X37" s="345">
        <v>6</v>
      </c>
      <c r="Y37" s="345">
        <v>0</v>
      </c>
      <c r="Z37" s="345">
        <v>17</v>
      </c>
      <c r="AA37" s="345">
        <v>0</v>
      </c>
      <c r="AB37" s="345">
        <v>32</v>
      </c>
      <c r="AC37" s="345">
        <v>8</v>
      </c>
      <c r="AD37" s="349">
        <v>4301</v>
      </c>
      <c r="AE37" s="349">
        <v>5</v>
      </c>
      <c r="AF37" s="349">
        <v>3</v>
      </c>
      <c r="AG37" s="349">
        <v>8</v>
      </c>
    </row>
    <row r="38" spans="1:33" x14ac:dyDescent="0.2">
      <c r="A38" s="344" t="s">
        <v>134</v>
      </c>
      <c r="B38" s="350" t="s">
        <v>135</v>
      </c>
      <c r="C38" s="346">
        <v>6296</v>
      </c>
      <c r="D38" s="346">
        <v>30</v>
      </c>
      <c r="E38" s="346">
        <v>1218</v>
      </c>
      <c r="F38" s="346">
        <v>1442</v>
      </c>
      <c r="G38" s="346">
        <v>870</v>
      </c>
      <c r="H38" s="346">
        <v>9856</v>
      </c>
      <c r="I38" s="345">
        <v>8986</v>
      </c>
      <c r="J38" s="345">
        <v>0</v>
      </c>
      <c r="K38" s="347">
        <v>105.68</v>
      </c>
      <c r="L38" s="347">
        <v>105.01</v>
      </c>
      <c r="M38" s="347">
        <v>4.96</v>
      </c>
      <c r="N38" s="347">
        <v>109.19</v>
      </c>
      <c r="O38" s="348">
        <v>5362</v>
      </c>
      <c r="P38" s="345">
        <v>93.07</v>
      </c>
      <c r="Q38" s="345">
        <v>86.08</v>
      </c>
      <c r="R38" s="345">
        <v>29.66</v>
      </c>
      <c r="S38" s="345">
        <v>120.55</v>
      </c>
      <c r="T38" s="345">
        <v>1656</v>
      </c>
      <c r="U38" s="345">
        <v>143.54</v>
      </c>
      <c r="V38" s="345">
        <v>426</v>
      </c>
      <c r="W38" s="345">
        <v>0</v>
      </c>
      <c r="X38" s="345">
        <v>0</v>
      </c>
      <c r="Y38" s="345">
        <v>31</v>
      </c>
      <c r="Z38" s="345">
        <v>2</v>
      </c>
      <c r="AA38" s="345">
        <v>1</v>
      </c>
      <c r="AB38" s="345">
        <v>6</v>
      </c>
      <c r="AC38" s="345">
        <v>14</v>
      </c>
      <c r="AD38" s="349">
        <v>5788</v>
      </c>
      <c r="AE38" s="349">
        <v>12</v>
      </c>
      <c r="AF38" s="349">
        <v>13</v>
      </c>
      <c r="AG38" s="349">
        <v>25</v>
      </c>
    </row>
    <row r="39" spans="1:33" x14ac:dyDescent="0.2">
      <c r="A39" s="344" t="s">
        <v>136</v>
      </c>
      <c r="B39" s="350" t="s">
        <v>137</v>
      </c>
      <c r="C39" s="346">
        <v>7264</v>
      </c>
      <c r="D39" s="346">
        <v>5</v>
      </c>
      <c r="E39" s="346">
        <v>231</v>
      </c>
      <c r="F39" s="346">
        <v>503</v>
      </c>
      <c r="G39" s="346">
        <v>583</v>
      </c>
      <c r="H39" s="346">
        <v>8586</v>
      </c>
      <c r="I39" s="345">
        <v>8003</v>
      </c>
      <c r="J39" s="345">
        <v>0</v>
      </c>
      <c r="K39" s="347">
        <v>110.73</v>
      </c>
      <c r="L39" s="347">
        <v>110.83</v>
      </c>
      <c r="M39" s="347">
        <v>7.87</v>
      </c>
      <c r="N39" s="347">
        <v>113.08</v>
      </c>
      <c r="O39" s="348">
        <v>6759</v>
      </c>
      <c r="P39" s="345">
        <v>95.67</v>
      </c>
      <c r="Q39" s="345">
        <v>96.95</v>
      </c>
      <c r="R39" s="345">
        <v>36.58</v>
      </c>
      <c r="S39" s="345">
        <v>130.18</v>
      </c>
      <c r="T39" s="345">
        <v>723</v>
      </c>
      <c r="U39" s="345">
        <v>156.15</v>
      </c>
      <c r="V39" s="345">
        <v>431</v>
      </c>
      <c r="W39" s="345">
        <v>0</v>
      </c>
      <c r="X39" s="345">
        <v>0</v>
      </c>
      <c r="Y39" s="345">
        <v>0</v>
      </c>
      <c r="Z39" s="345">
        <v>15</v>
      </c>
      <c r="AA39" s="345">
        <v>0</v>
      </c>
      <c r="AB39" s="345">
        <v>46</v>
      </c>
      <c r="AC39" s="345">
        <v>20</v>
      </c>
      <c r="AD39" s="349">
        <v>7242</v>
      </c>
      <c r="AE39" s="349">
        <v>36</v>
      </c>
      <c r="AF39" s="349">
        <v>42</v>
      </c>
      <c r="AG39" s="349">
        <v>78</v>
      </c>
    </row>
    <row r="40" spans="1:33" x14ac:dyDescent="0.2">
      <c r="A40" s="344" t="s">
        <v>138</v>
      </c>
      <c r="B40" s="350" t="s">
        <v>139</v>
      </c>
      <c r="C40" s="346">
        <v>27478</v>
      </c>
      <c r="D40" s="346">
        <v>180</v>
      </c>
      <c r="E40" s="346">
        <v>1237</v>
      </c>
      <c r="F40" s="346">
        <v>2972</v>
      </c>
      <c r="G40" s="346">
        <v>382</v>
      </c>
      <c r="H40" s="346">
        <v>32249</v>
      </c>
      <c r="I40" s="345">
        <v>31867</v>
      </c>
      <c r="J40" s="345">
        <v>149</v>
      </c>
      <c r="K40" s="347">
        <v>79.47</v>
      </c>
      <c r="L40" s="347">
        <v>75.2</v>
      </c>
      <c r="M40" s="347">
        <v>5.61</v>
      </c>
      <c r="N40" s="347">
        <v>84.82</v>
      </c>
      <c r="O40" s="348">
        <v>25426</v>
      </c>
      <c r="P40" s="345">
        <v>81.22</v>
      </c>
      <c r="Q40" s="345">
        <v>76.98</v>
      </c>
      <c r="R40" s="345">
        <v>32.909999999999997</v>
      </c>
      <c r="S40" s="345">
        <v>113.68</v>
      </c>
      <c r="T40" s="345">
        <v>3488</v>
      </c>
      <c r="U40" s="345">
        <v>100.58</v>
      </c>
      <c r="V40" s="345">
        <v>2082</v>
      </c>
      <c r="W40" s="345">
        <v>152.69999999999999</v>
      </c>
      <c r="X40" s="345">
        <v>80</v>
      </c>
      <c r="Y40" s="345">
        <v>45</v>
      </c>
      <c r="Z40" s="345">
        <v>64</v>
      </c>
      <c r="AA40" s="345">
        <v>5</v>
      </c>
      <c r="AB40" s="345">
        <v>6</v>
      </c>
      <c r="AC40" s="345">
        <v>31</v>
      </c>
      <c r="AD40" s="349">
        <v>27470</v>
      </c>
      <c r="AE40" s="349">
        <v>662</v>
      </c>
      <c r="AF40" s="349">
        <v>164</v>
      </c>
      <c r="AG40" s="349">
        <v>826</v>
      </c>
    </row>
    <row r="41" spans="1:33" x14ac:dyDescent="0.2">
      <c r="A41" s="344" t="s">
        <v>140</v>
      </c>
      <c r="B41" s="350" t="s">
        <v>141</v>
      </c>
      <c r="C41" s="346">
        <v>9418</v>
      </c>
      <c r="D41" s="346">
        <v>37</v>
      </c>
      <c r="E41" s="346">
        <v>295</v>
      </c>
      <c r="F41" s="346">
        <v>700</v>
      </c>
      <c r="G41" s="346">
        <v>251</v>
      </c>
      <c r="H41" s="346">
        <v>10701</v>
      </c>
      <c r="I41" s="345">
        <v>10450</v>
      </c>
      <c r="J41" s="345">
        <v>0</v>
      </c>
      <c r="K41" s="347">
        <v>97.71</v>
      </c>
      <c r="L41" s="347">
        <v>98.28</v>
      </c>
      <c r="M41" s="347">
        <v>4.01</v>
      </c>
      <c r="N41" s="347">
        <v>98.83</v>
      </c>
      <c r="O41" s="348">
        <v>8854</v>
      </c>
      <c r="P41" s="345">
        <v>87.98</v>
      </c>
      <c r="Q41" s="345">
        <v>86.3</v>
      </c>
      <c r="R41" s="345">
        <v>35.51</v>
      </c>
      <c r="S41" s="345">
        <v>122.71</v>
      </c>
      <c r="T41" s="345">
        <v>827</v>
      </c>
      <c r="U41" s="345">
        <v>131.36000000000001</v>
      </c>
      <c r="V41" s="345">
        <v>505</v>
      </c>
      <c r="W41" s="345">
        <v>145.33000000000001</v>
      </c>
      <c r="X41" s="345">
        <v>25</v>
      </c>
      <c r="Y41" s="345">
        <v>4</v>
      </c>
      <c r="Z41" s="345">
        <v>37</v>
      </c>
      <c r="AA41" s="345">
        <v>0</v>
      </c>
      <c r="AB41" s="345">
        <v>6</v>
      </c>
      <c r="AC41" s="345">
        <v>4</v>
      </c>
      <c r="AD41" s="349">
        <v>9406</v>
      </c>
      <c r="AE41" s="349">
        <v>17</v>
      </c>
      <c r="AF41" s="349">
        <v>41</v>
      </c>
      <c r="AG41" s="349">
        <v>58</v>
      </c>
    </row>
    <row r="42" spans="1:33" x14ac:dyDescent="0.2">
      <c r="A42" s="344" t="s">
        <v>142</v>
      </c>
      <c r="B42" s="350" t="s">
        <v>143</v>
      </c>
      <c r="C42" s="346">
        <v>7189</v>
      </c>
      <c r="D42" s="346">
        <v>0</v>
      </c>
      <c r="E42" s="346">
        <v>212</v>
      </c>
      <c r="F42" s="346">
        <v>1029</v>
      </c>
      <c r="G42" s="346">
        <v>188</v>
      </c>
      <c r="H42" s="346">
        <v>8618</v>
      </c>
      <c r="I42" s="345">
        <v>8430</v>
      </c>
      <c r="J42" s="345">
        <v>5</v>
      </c>
      <c r="K42" s="347">
        <v>89.28</v>
      </c>
      <c r="L42" s="347">
        <v>89.32</v>
      </c>
      <c r="M42" s="347">
        <v>2.97</v>
      </c>
      <c r="N42" s="347">
        <v>89.94</v>
      </c>
      <c r="O42" s="348">
        <v>6719</v>
      </c>
      <c r="P42" s="345">
        <v>80.88</v>
      </c>
      <c r="Q42" s="345">
        <v>78.099999999999994</v>
      </c>
      <c r="R42" s="345">
        <v>22.8</v>
      </c>
      <c r="S42" s="345">
        <v>102.92</v>
      </c>
      <c r="T42" s="345">
        <v>1199</v>
      </c>
      <c r="U42" s="345">
        <v>112.69</v>
      </c>
      <c r="V42" s="345">
        <v>396</v>
      </c>
      <c r="W42" s="345">
        <v>0</v>
      </c>
      <c r="X42" s="345">
        <v>0</v>
      </c>
      <c r="Y42" s="345">
        <v>0</v>
      </c>
      <c r="Z42" s="345">
        <v>7</v>
      </c>
      <c r="AA42" s="345">
        <v>0</v>
      </c>
      <c r="AB42" s="345">
        <v>22</v>
      </c>
      <c r="AC42" s="345">
        <v>6</v>
      </c>
      <c r="AD42" s="349">
        <v>7185</v>
      </c>
      <c r="AE42" s="349">
        <v>47</v>
      </c>
      <c r="AF42" s="349">
        <v>11</v>
      </c>
      <c r="AG42" s="349">
        <v>58</v>
      </c>
    </row>
    <row r="43" spans="1:33" x14ac:dyDescent="0.2">
      <c r="A43" s="344" t="s">
        <v>144</v>
      </c>
      <c r="B43" s="350" t="s">
        <v>145</v>
      </c>
      <c r="C43" s="346">
        <v>15104</v>
      </c>
      <c r="D43" s="346">
        <v>688</v>
      </c>
      <c r="E43" s="346">
        <v>1032</v>
      </c>
      <c r="F43" s="346">
        <v>969</v>
      </c>
      <c r="G43" s="346">
        <v>2053</v>
      </c>
      <c r="H43" s="346">
        <v>19846</v>
      </c>
      <c r="I43" s="345">
        <v>17793</v>
      </c>
      <c r="J43" s="345">
        <v>106</v>
      </c>
      <c r="K43" s="347">
        <v>133.96</v>
      </c>
      <c r="L43" s="347">
        <v>134.93</v>
      </c>
      <c r="M43" s="347">
        <v>9.39</v>
      </c>
      <c r="N43" s="347">
        <v>140.41</v>
      </c>
      <c r="O43" s="348">
        <v>11984</v>
      </c>
      <c r="P43" s="345">
        <v>108.15</v>
      </c>
      <c r="Q43" s="345">
        <v>99.06</v>
      </c>
      <c r="R43" s="345">
        <v>58.33</v>
      </c>
      <c r="S43" s="345">
        <v>153.87</v>
      </c>
      <c r="T43" s="345">
        <v>958</v>
      </c>
      <c r="U43" s="345">
        <v>206.18</v>
      </c>
      <c r="V43" s="345">
        <v>1233</v>
      </c>
      <c r="W43" s="345">
        <v>196.47</v>
      </c>
      <c r="X43" s="345">
        <v>40</v>
      </c>
      <c r="Y43" s="345">
        <v>0</v>
      </c>
      <c r="Z43" s="345">
        <v>7</v>
      </c>
      <c r="AA43" s="345">
        <v>43</v>
      </c>
      <c r="AB43" s="345">
        <v>78</v>
      </c>
      <c r="AC43" s="345">
        <v>122</v>
      </c>
      <c r="AD43" s="349">
        <v>13672</v>
      </c>
      <c r="AE43" s="349">
        <v>126</v>
      </c>
      <c r="AF43" s="349">
        <v>106</v>
      </c>
      <c r="AG43" s="349">
        <v>232</v>
      </c>
    </row>
    <row r="44" spans="1:33" x14ac:dyDescent="0.2">
      <c r="A44" s="344" t="s">
        <v>146</v>
      </c>
      <c r="B44" s="350" t="s">
        <v>147</v>
      </c>
      <c r="C44" s="346">
        <v>746</v>
      </c>
      <c r="D44" s="346">
        <v>7</v>
      </c>
      <c r="E44" s="346">
        <v>114</v>
      </c>
      <c r="F44" s="346">
        <v>163</v>
      </c>
      <c r="G44" s="346">
        <v>162</v>
      </c>
      <c r="H44" s="346">
        <v>1192</v>
      </c>
      <c r="I44" s="345">
        <v>1030</v>
      </c>
      <c r="J44" s="345">
        <v>12</v>
      </c>
      <c r="K44" s="347">
        <v>119.03</v>
      </c>
      <c r="L44" s="347">
        <v>117.48</v>
      </c>
      <c r="M44" s="347">
        <v>7.54</v>
      </c>
      <c r="N44" s="347">
        <v>126.05</v>
      </c>
      <c r="O44" s="348">
        <v>516</v>
      </c>
      <c r="P44" s="345">
        <v>96.12</v>
      </c>
      <c r="Q44" s="345">
        <v>97.59</v>
      </c>
      <c r="R44" s="345">
        <v>43.45</v>
      </c>
      <c r="S44" s="345">
        <v>139.57</v>
      </c>
      <c r="T44" s="345">
        <v>277</v>
      </c>
      <c r="U44" s="345">
        <v>140.04</v>
      </c>
      <c r="V44" s="345">
        <v>81</v>
      </c>
      <c r="W44" s="345">
        <v>0</v>
      </c>
      <c r="X44" s="345">
        <v>0</v>
      </c>
      <c r="Y44" s="345">
        <v>0</v>
      </c>
      <c r="Z44" s="345">
        <v>1</v>
      </c>
      <c r="AA44" s="345">
        <v>0</v>
      </c>
      <c r="AB44" s="345">
        <v>1</v>
      </c>
      <c r="AC44" s="345">
        <v>5</v>
      </c>
      <c r="AD44" s="349">
        <v>600</v>
      </c>
      <c r="AE44" s="349">
        <v>4</v>
      </c>
      <c r="AF44" s="349">
        <v>0</v>
      </c>
      <c r="AG44" s="349">
        <v>4</v>
      </c>
    </row>
    <row r="45" spans="1:33" x14ac:dyDescent="0.2">
      <c r="A45" s="344" t="s">
        <v>148</v>
      </c>
      <c r="B45" s="350" t="s">
        <v>149</v>
      </c>
      <c r="C45" s="346">
        <v>4877</v>
      </c>
      <c r="D45" s="346">
        <v>67</v>
      </c>
      <c r="E45" s="346">
        <v>1034</v>
      </c>
      <c r="F45" s="346">
        <v>764</v>
      </c>
      <c r="G45" s="346">
        <v>854</v>
      </c>
      <c r="H45" s="346">
        <v>7596</v>
      </c>
      <c r="I45" s="345">
        <v>6742</v>
      </c>
      <c r="J45" s="345">
        <v>12</v>
      </c>
      <c r="K45" s="347">
        <v>97.1</v>
      </c>
      <c r="L45" s="347">
        <v>95.28</v>
      </c>
      <c r="M45" s="347">
        <v>10.43</v>
      </c>
      <c r="N45" s="347">
        <v>105.57</v>
      </c>
      <c r="O45" s="348">
        <v>4031</v>
      </c>
      <c r="P45" s="345">
        <v>89.89</v>
      </c>
      <c r="Q45" s="345">
        <v>85.71</v>
      </c>
      <c r="R45" s="345">
        <v>53.24</v>
      </c>
      <c r="S45" s="345">
        <v>141.58000000000001</v>
      </c>
      <c r="T45" s="345">
        <v>1067</v>
      </c>
      <c r="U45" s="345">
        <v>161.05000000000001</v>
      </c>
      <c r="V45" s="345">
        <v>414</v>
      </c>
      <c r="W45" s="345">
        <v>0</v>
      </c>
      <c r="X45" s="345">
        <v>0</v>
      </c>
      <c r="Y45" s="345">
        <v>0</v>
      </c>
      <c r="Z45" s="345">
        <v>0</v>
      </c>
      <c r="AA45" s="345">
        <v>19</v>
      </c>
      <c r="AB45" s="345">
        <v>41</v>
      </c>
      <c r="AC45" s="345">
        <v>40</v>
      </c>
      <c r="AD45" s="349">
        <v>4490</v>
      </c>
      <c r="AE45" s="349">
        <v>26</v>
      </c>
      <c r="AF45" s="349">
        <v>12</v>
      </c>
      <c r="AG45" s="349">
        <v>38</v>
      </c>
    </row>
    <row r="46" spans="1:33" x14ac:dyDescent="0.2">
      <c r="A46" s="344" t="s">
        <v>150</v>
      </c>
      <c r="B46" s="350" t="s">
        <v>151</v>
      </c>
      <c r="C46" s="346">
        <v>8439</v>
      </c>
      <c r="D46" s="346">
        <v>6</v>
      </c>
      <c r="E46" s="346">
        <v>1542</v>
      </c>
      <c r="F46" s="346">
        <v>2000</v>
      </c>
      <c r="G46" s="346">
        <v>965</v>
      </c>
      <c r="H46" s="346">
        <v>12952</v>
      </c>
      <c r="I46" s="345">
        <v>11987</v>
      </c>
      <c r="J46" s="345">
        <v>0</v>
      </c>
      <c r="K46" s="347">
        <v>97.41</v>
      </c>
      <c r="L46" s="347">
        <v>95.9</v>
      </c>
      <c r="M46" s="347">
        <v>8.11</v>
      </c>
      <c r="N46" s="347">
        <v>103.26</v>
      </c>
      <c r="O46" s="348">
        <v>6350</v>
      </c>
      <c r="P46" s="345">
        <v>90.04</v>
      </c>
      <c r="Q46" s="345">
        <v>88.11</v>
      </c>
      <c r="R46" s="345">
        <v>34.450000000000003</v>
      </c>
      <c r="S46" s="345">
        <v>123.87</v>
      </c>
      <c r="T46" s="345">
        <v>2960</v>
      </c>
      <c r="U46" s="345">
        <v>129.91999999999999</v>
      </c>
      <c r="V46" s="345">
        <v>884</v>
      </c>
      <c r="W46" s="345">
        <v>119.87</v>
      </c>
      <c r="X46" s="345">
        <v>11</v>
      </c>
      <c r="Y46" s="345">
        <v>4</v>
      </c>
      <c r="Z46" s="345">
        <v>5</v>
      </c>
      <c r="AA46" s="345">
        <v>11</v>
      </c>
      <c r="AB46" s="345">
        <v>95</v>
      </c>
      <c r="AC46" s="345">
        <v>41</v>
      </c>
      <c r="AD46" s="349">
        <v>7415</v>
      </c>
      <c r="AE46" s="349">
        <v>29</v>
      </c>
      <c r="AF46" s="349">
        <v>34</v>
      </c>
      <c r="AG46" s="349">
        <v>63</v>
      </c>
    </row>
    <row r="47" spans="1:33" x14ac:dyDescent="0.2">
      <c r="A47" s="344" t="s">
        <v>152</v>
      </c>
      <c r="B47" s="350" t="s">
        <v>153</v>
      </c>
      <c r="C47" s="346">
        <v>4530</v>
      </c>
      <c r="D47" s="346">
        <v>0</v>
      </c>
      <c r="E47" s="346">
        <v>166</v>
      </c>
      <c r="F47" s="346">
        <v>562</v>
      </c>
      <c r="G47" s="346">
        <v>307</v>
      </c>
      <c r="H47" s="346">
        <v>5565</v>
      </c>
      <c r="I47" s="345">
        <v>5258</v>
      </c>
      <c r="J47" s="345">
        <v>25</v>
      </c>
      <c r="K47" s="347">
        <v>93.8</v>
      </c>
      <c r="L47" s="347">
        <v>93.64</v>
      </c>
      <c r="M47" s="347">
        <v>2.0699999999999998</v>
      </c>
      <c r="N47" s="347">
        <v>94.63</v>
      </c>
      <c r="O47" s="348">
        <v>3669</v>
      </c>
      <c r="P47" s="345">
        <v>91.03</v>
      </c>
      <c r="Q47" s="345">
        <v>86.55</v>
      </c>
      <c r="R47" s="345">
        <v>23.47</v>
      </c>
      <c r="S47" s="345">
        <v>114.21</v>
      </c>
      <c r="T47" s="345">
        <v>726</v>
      </c>
      <c r="U47" s="345">
        <v>107.15</v>
      </c>
      <c r="V47" s="345">
        <v>804</v>
      </c>
      <c r="W47" s="345">
        <v>0</v>
      </c>
      <c r="X47" s="345">
        <v>0</v>
      </c>
      <c r="Y47" s="345">
        <v>0</v>
      </c>
      <c r="Z47" s="345">
        <v>10</v>
      </c>
      <c r="AA47" s="345">
        <v>0</v>
      </c>
      <c r="AB47" s="345">
        <v>40</v>
      </c>
      <c r="AC47" s="345">
        <v>6</v>
      </c>
      <c r="AD47" s="349">
        <v>4530</v>
      </c>
      <c r="AE47" s="349">
        <v>25</v>
      </c>
      <c r="AF47" s="349">
        <v>10</v>
      </c>
      <c r="AG47" s="349">
        <v>35</v>
      </c>
    </row>
    <row r="48" spans="1:33" x14ac:dyDescent="0.2">
      <c r="A48" s="344" t="s">
        <v>154</v>
      </c>
      <c r="B48" s="350" t="s">
        <v>155</v>
      </c>
      <c r="C48" s="346">
        <v>16006</v>
      </c>
      <c r="D48" s="346">
        <v>92</v>
      </c>
      <c r="E48" s="346">
        <v>637</v>
      </c>
      <c r="F48" s="346">
        <v>2196</v>
      </c>
      <c r="G48" s="346">
        <v>987</v>
      </c>
      <c r="H48" s="346">
        <v>19918</v>
      </c>
      <c r="I48" s="345">
        <v>18931</v>
      </c>
      <c r="J48" s="345">
        <v>43</v>
      </c>
      <c r="K48" s="347">
        <v>116.92</v>
      </c>
      <c r="L48" s="347">
        <v>116.66</v>
      </c>
      <c r="M48" s="347">
        <v>12.54</v>
      </c>
      <c r="N48" s="347">
        <v>124.17</v>
      </c>
      <c r="O48" s="348">
        <v>13427</v>
      </c>
      <c r="P48" s="345">
        <v>108.81</v>
      </c>
      <c r="Q48" s="345">
        <v>105.67</v>
      </c>
      <c r="R48" s="345">
        <v>38.92</v>
      </c>
      <c r="S48" s="345">
        <v>146.18</v>
      </c>
      <c r="T48" s="345">
        <v>2337</v>
      </c>
      <c r="U48" s="345">
        <v>173.83</v>
      </c>
      <c r="V48" s="345">
        <v>1596</v>
      </c>
      <c r="W48" s="345">
        <v>0</v>
      </c>
      <c r="X48" s="345">
        <v>0</v>
      </c>
      <c r="Y48" s="345">
        <v>217</v>
      </c>
      <c r="Z48" s="345">
        <v>11</v>
      </c>
      <c r="AA48" s="345">
        <v>4</v>
      </c>
      <c r="AB48" s="345">
        <v>81</v>
      </c>
      <c r="AC48" s="345">
        <v>24</v>
      </c>
      <c r="AD48" s="349">
        <v>15222</v>
      </c>
      <c r="AE48" s="349">
        <v>126</v>
      </c>
      <c r="AF48" s="349">
        <v>39</v>
      </c>
      <c r="AG48" s="349">
        <v>165</v>
      </c>
    </row>
    <row r="49" spans="1:33" x14ac:dyDescent="0.2">
      <c r="A49" s="344" t="s">
        <v>156</v>
      </c>
      <c r="B49" s="350" t="s">
        <v>157</v>
      </c>
      <c r="C49" s="346">
        <v>3238</v>
      </c>
      <c r="D49" s="346">
        <v>0</v>
      </c>
      <c r="E49" s="346">
        <v>92</v>
      </c>
      <c r="F49" s="346">
        <v>995</v>
      </c>
      <c r="G49" s="346">
        <v>382</v>
      </c>
      <c r="H49" s="346">
        <v>4707</v>
      </c>
      <c r="I49" s="345">
        <v>4325</v>
      </c>
      <c r="J49" s="345">
        <v>0</v>
      </c>
      <c r="K49" s="347">
        <v>92.31</v>
      </c>
      <c r="L49" s="347">
        <v>92.29</v>
      </c>
      <c r="M49" s="347">
        <v>4.24</v>
      </c>
      <c r="N49" s="347">
        <v>94.62</v>
      </c>
      <c r="O49" s="348">
        <v>2876</v>
      </c>
      <c r="P49" s="345">
        <v>84.38</v>
      </c>
      <c r="Q49" s="345">
        <v>85.18</v>
      </c>
      <c r="R49" s="345">
        <v>21.01</v>
      </c>
      <c r="S49" s="345">
        <v>105.33</v>
      </c>
      <c r="T49" s="345">
        <v>1012</v>
      </c>
      <c r="U49" s="345">
        <v>114.43</v>
      </c>
      <c r="V49" s="345">
        <v>316</v>
      </c>
      <c r="W49" s="345">
        <v>0</v>
      </c>
      <c r="X49" s="345">
        <v>0</v>
      </c>
      <c r="Y49" s="345">
        <v>0</v>
      </c>
      <c r="Z49" s="345">
        <v>5</v>
      </c>
      <c r="AA49" s="345">
        <v>12</v>
      </c>
      <c r="AB49" s="345">
        <v>47</v>
      </c>
      <c r="AC49" s="345">
        <v>10</v>
      </c>
      <c r="AD49" s="349">
        <v>3238</v>
      </c>
      <c r="AE49" s="349">
        <v>16</v>
      </c>
      <c r="AF49" s="349">
        <v>1</v>
      </c>
      <c r="AG49" s="349">
        <v>17</v>
      </c>
    </row>
    <row r="50" spans="1:33" x14ac:dyDescent="0.2">
      <c r="A50" s="344" t="s">
        <v>158</v>
      </c>
      <c r="B50" s="350" t="s">
        <v>159</v>
      </c>
      <c r="C50" s="346">
        <v>4715</v>
      </c>
      <c r="D50" s="346">
        <v>0</v>
      </c>
      <c r="E50" s="346">
        <v>115</v>
      </c>
      <c r="F50" s="346">
        <v>413</v>
      </c>
      <c r="G50" s="346">
        <v>390</v>
      </c>
      <c r="H50" s="346">
        <v>5633</v>
      </c>
      <c r="I50" s="345">
        <v>5243</v>
      </c>
      <c r="J50" s="345">
        <v>13</v>
      </c>
      <c r="K50" s="347">
        <v>116.83</v>
      </c>
      <c r="L50" s="347">
        <v>112.8</v>
      </c>
      <c r="M50" s="347">
        <v>6.39</v>
      </c>
      <c r="N50" s="347">
        <v>120.49</v>
      </c>
      <c r="O50" s="348">
        <v>4098</v>
      </c>
      <c r="P50" s="345">
        <v>101.95</v>
      </c>
      <c r="Q50" s="345">
        <v>97.31</v>
      </c>
      <c r="R50" s="345">
        <v>32.340000000000003</v>
      </c>
      <c r="S50" s="345">
        <v>134.05000000000001</v>
      </c>
      <c r="T50" s="345">
        <v>528</v>
      </c>
      <c r="U50" s="345">
        <v>160.93</v>
      </c>
      <c r="V50" s="345">
        <v>584</v>
      </c>
      <c r="W50" s="345">
        <v>0</v>
      </c>
      <c r="X50" s="345">
        <v>0</v>
      </c>
      <c r="Y50" s="345">
        <v>0</v>
      </c>
      <c r="Z50" s="345">
        <v>9</v>
      </c>
      <c r="AA50" s="345">
        <v>0</v>
      </c>
      <c r="AB50" s="345">
        <v>9</v>
      </c>
      <c r="AC50" s="345">
        <v>17</v>
      </c>
      <c r="AD50" s="349">
        <v>4715</v>
      </c>
      <c r="AE50" s="349">
        <v>19</v>
      </c>
      <c r="AF50" s="349">
        <v>30</v>
      </c>
      <c r="AG50" s="349">
        <v>49</v>
      </c>
    </row>
    <row r="51" spans="1:33" x14ac:dyDescent="0.2">
      <c r="A51" s="344" t="s">
        <v>160</v>
      </c>
      <c r="B51" s="350" t="s">
        <v>161</v>
      </c>
      <c r="C51" s="346">
        <v>1062</v>
      </c>
      <c r="D51" s="346">
        <v>0</v>
      </c>
      <c r="E51" s="346">
        <v>104</v>
      </c>
      <c r="F51" s="346">
        <v>108</v>
      </c>
      <c r="G51" s="346">
        <v>75</v>
      </c>
      <c r="H51" s="346">
        <v>1349</v>
      </c>
      <c r="I51" s="345">
        <v>1274</v>
      </c>
      <c r="J51" s="345">
        <v>2</v>
      </c>
      <c r="K51" s="347">
        <v>81.23</v>
      </c>
      <c r="L51" s="347">
        <v>80.05</v>
      </c>
      <c r="M51" s="347">
        <v>7.19</v>
      </c>
      <c r="N51" s="347">
        <v>87.23</v>
      </c>
      <c r="O51" s="348">
        <v>925</v>
      </c>
      <c r="P51" s="345">
        <v>92.03</v>
      </c>
      <c r="Q51" s="345">
        <v>70.97</v>
      </c>
      <c r="R51" s="345">
        <v>36.6</v>
      </c>
      <c r="S51" s="345">
        <v>125.74</v>
      </c>
      <c r="T51" s="345">
        <v>152</v>
      </c>
      <c r="U51" s="345">
        <v>96.98</v>
      </c>
      <c r="V51" s="345">
        <v>122</v>
      </c>
      <c r="W51" s="345">
        <v>189.8</v>
      </c>
      <c r="X51" s="345">
        <v>27</v>
      </c>
      <c r="Y51" s="345">
        <v>0</v>
      </c>
      <c r="Z51" s="345">
        <v>1</v>
      </c>
      <c r="AA51" s="345">
        <v>0</v>
      </c>
      <c r="AB51" s="345">
        <v>5</v>
      </c>
      <c r="AC51" s="345">
        <v>1</v>
      </c>
      <c r="AD51" s="349">
        <v>1062</v>
      </c>
      <c r="AE51" s="349">
        <v>2</v>
      </c>
      <c r="AF51" s="349">
        <v>2</v>
      </c>
      <c r="AG51" s="349">
        <v>4</v>
      </c>
    </row>
    <row r="52" spans="1:33" x14ac:dyDescent="0.2">
      <c r="A52" s="344" t="s">
        <v>775</v>
      </c>
      <c r="B52" s="350" t="s">
        <v>770</v>
      </c>
      <c r="C52" s="346">
        <v>24142</v>
      </c>
      <c r="D52" s="346">
        <v>27</v>
      </c>
      <c r="E52" s="346">
        <v>927</v>
      </c>
      <c r="F52" s="346">
        <v>3263</v>
      </c>
      <c r="G52" s="346">
        <v>2048</v>
      </c>
      <c r="H52" s="346">
        <v>30407</v>
      </c>
      <c r="I52" s="345">
        <v>28359</v>
      </c>
      <c r="J52" s="345">
        <v>173</v>
      </c>
      <c r="K52" s="347">
        <v>111.78</v>
      </c>
      <c r="L52" s="347">
        <v>111.11</v>
      </c>
      <c r="M52" s="347">
        <v>4.59</v>
      </c>
      <c r="N52" s="347">
        <v>114.72</v>
      </c>
      <c r="O52" s="348">
        <v>21379</v>
      </c>
      <c r="P52" s="345">
        <v>102.28</v>
      </c>
      <c r="Q52" s="345">
        <v>100.79</v>
      </c>
      <c r="R52" s="345">
        <v>26.33</v>
      </c>
      <c r="S52" s="345">
        <v>126.35</v>
      </c>
      <c r="T52" s="345">
        <v>3861</v>
      </c>
      <c r="U52" s="345">
        <v>155.62</v>
      </c>
      <c r="V52" s="345">
        <v>2375</v>
      </c>
      <c r="W52" s="345">
        <v>151.13999999999999</v>
      </c>
      <c r="X52" s="345">
        <v>44</v>
      </c>
      <c r="Y52" s="345">
        <v>15</v>
      </c>
      <c r="Z52" s="345">
        <v>79</v>
      </c>
      <c r="AA52" s="345">
        <v>10</v>
      </c>
      <c r="AB52" s="345">
        <v>134</v>
      </c>
      <c r="AC52" s="345">
        <v>76</v>
      </c>
      <c r="AD52" s="349">
        <v>23802</v>
      </c>
      <c r="AE52" s="349">
        <v>82</v>
      </c>
      <c r="AF52" s="349">
        <v>178</v>
      </c>
      <c r="AG52" s="349">
        <v>260</v>
      </c>
    </row>
    <row r="53" spans="1:33" x14ac:dyDescent="0.2">
      <c r="A53" s="344" t="s">
        <v>162</v>
      </c>
      <c r="B53" s="350" t="s">
        <v>163</v>
      </c>
      <c r="C53" s="346">
        <v>4269</v>
      </c>
      <c r="D53" s="346">
        <v>0</v>
      </c>
      <c r="E53" s="346">
        <v>215</v>
      </c>
      <c r="F53" s="346">
        <v>1470</v>
      </c>
      <c r="G53" s="346">
        <v>12</v>
      </c>
      <c r="H53" s="346">
        <v>5966</v>
      </c>
      <c r="I53" s="345">
        <v>5954</v>
      </c>
      <c r="J53" s="345">
        <v>23</v>
      </c>
      <c r="K53" s="347">
        <v>81.66</v>
      </c>
      <c r="L53" s="347">
        <v>78.58</v>
      </c>
      <c r="M53" s="347">
        <v>2.35</v>
      </c>
      <c r="N53" s="347">
        <v>83.8</v>
      </c>
      <c r="O53" s="348">
        <v>3945</v>
      </c>
      <c r="P53" s="345">
        <v>80.78</v>
      </c>
      <c r="Q53" s="345">
        <v>70.61</v>
      </c>
      <c r="R53" s="345">
        <v>18.87</v>
      </c>
      <c r="S53" s="345">
        <v>99.19</v>
      </c>
      <c r="T53" s="345">
        <v>1566</v>
      </c>
      <c r="U53" s="345">
        <v>96.27</v>
      </c>
      <c r="V53" s="345">
        <v>311</v>
      </c>
      <c r="W53" s="345">
        <v>115.34</v>
      </c>
      <c r="X53" s="345">
        <v>14</v>
      </c>
      <c r="Y53" s="345">
        <v>0</v>
      </c>
      <c r="Z53" s="345">
        <v>15</v>
      </c>
      <c r="AA53" s="345">
        <v>0</v>
      </c>
      <c r="AB53" s="345">
        <v>0</v>
      </c>
      <c r="AC53" s="345">
        <v>0</v>
      </c>
      <c r="AD53" s="349">
        <v>4269</v>
      </c>
      <c r="AE53" s="349">
        <v>67</v>
      </c>
      <c r="AF53" s="349">
        <v>11</v>
      </c>
      <c r="AG53" s="349">
        <v>78</v>
      </c>
    </row>
    <row r="54" spans="1:33" x14ac:dyDescent="0.2">
      <c r="A54" s="344" t="s">
        <v>164</v>
      </c>
      <c r="B54" s="350" t="s">
        <v>165</v>
      </c>
      <c r="C54" s="346">
        <v>3819</v>
      </c>
      <c r="D54" s="346">
        <v>0</v>
      </c>
      <c r="E54" s="346">
        <v>370</v>
      </c>
      <c r="F54" s="346">
        <v>557</v>
      </c>
      <c r="G54" s="346">
        <v>139</v>
      </c>
      <c r="H54" s="346">
        <v>4885</v>
      </c>
      <c r="I54" s="345">
        <v>4746</v>
      </c>
      <c r="J54" s="345">
        <v>0</v>
      </c>
      <c r="K54" s="347">
        <v>82.65</v>
      </c>
      <c r="L54" s="347">
        <v>82.35</v>
      </c>
      <c r="M54" s="347">
        <v>6.19</v>
      </c>
      <c r="N54" s="347">
        <v>86.34</v>
      </c>
      <c r="O54" s="348">
        <v>3168</v>
      </c>
      <c r="P54" s="345">
        <v>89.32</v>
      </c>
      <c r="Q54" s="345">
        <v>77.47</v>
      </c>
      <c r="R54" s="345">
        <v>36.06</v>
      </c>
      <c r="S54" s="345">
        <v>122.31</v>
      </c>
      <c r="T54" s="345">
        <v>716</v>
      </c>
      <c r="U54" s="345">
        <v>104.47</v>
      </c>
      <c r="V54" s="345">
        <v>371</v>
      </c>
      <c r="W54" s="345">
        <v>126.87</v>
      </c>
      <c r="X54" s="345">
        <v>17</v>
      </c>
      <c r="Y54" s="345">
        <v>13</v>
      </c>
      <c r="Z54" s="345">
        <v>5</v>
      </c>
      <c r="AA54" s="345">
        <v>18</v>
      </c>
      <c r="AB54" s="345">
        <v>3</v>
      </c>
      <c r="AC54" s="345">
        <v>9</v>
      </c>
      <c r="AD54" s="349">
        <v>3506</v>
      </c>
      <c r="AE54" s="349">
        <v>22</v>
      </c>
      <c r="AF54" s="349">
        <v>22</v>
      </c>
      <c r="AG54" s="349">
        <v>44</v>
      </c>
    </row>
    <row r="55" spans="1:33" x14ac:dyDescent="0.2">
      <c r="A55" s="344" t="s">
        <v>166</v>
      </c>
      <c r="B55" s="350" t="s">
        <v>167</v>
      </c>
      <c r="C55" s="346">
        <v>13025</v>
      </c>
      <c r="D55" s="346">
        <v>2</v>
      </c>
      <c r="E55" s="346">
        <v>202</v>
      </c>
      <c r="F55" s="346">
        <v>921</v>
      </c>
      <c r="G55" s="346">
        <v>167</v>
      </c>
      <c r="H55" s="346">
        <v>14317</v>
      </c>
      <c r="I55" s="345">
        <v>14150</v>
      </c>
      <c r="J55" s="345">
        <v>71</v>
      </c>
      <c r="K55" s="347">
        <v>78.45</v>
      </c>
      <c r="L55" s="347">
        <v>80.650000000000006</v>
      </c>
      <c r="M55" s="347">
        <v>7.44</v>
      </c>
      <c r="N55" s="347">
        <v>85.55</v>
      </c>
      <c r="O55" s="348">
        <v>12489</v>
      </c>
      <c r="P55" s="345">
        <v>84.18</v>
      </c>
      <c r="Q55" s="345">
        <v>78.760000000000005</v>
      </c>
      <c r="R55" s="345">
        <v>34</v>
      </c>
      <c r="S55" s="345">
        <v>117.89</v>
      </c>
      <c r="T55" s="345">
        <v>1039</v>
      </c>
      <c r="U55" s="345">
        <v>97.57</v>
      </c>
      <c r="V55" s="345">
        <v>458</v>
      </c>
      <c r="W55" s="345">
        <v>0</v>
      </c>
      <c r="X55" s="345">
        <v>0</v>
      </c>
      <c r="Y55" s="345">
        <v>0</v>
      </c>
      <c r="Z55" s="345">
        <v>49</v>
      </c>
      <c r="AA55" s="345">
        <v>4</v>
      </c>
      <c r="AB55" s="345">
        <v>0</v>
      </c>
      <c r="AC55" s="345">
        <v>8</v>
      </c>
      <c r="AD55" s="349">
        <v>13001</v>
      </c>
      <c r="AE55" s="349">
        <v>343</v>
      </c>
      <c r="AF55" s="349">
        <v>176</v>
      </c>
      <c r="AG55" s="349">
        <v>519</v>
      </c>
    </row>
    <row r="56" spans="1:33" x14ac:dyDescent="0.2">
      <c r="A56" s="344" t="s">
        <v>168</v>
      </c>
      <c r="B56" s="350" t="s">
        <v>169</v>
      </c>
      <c r="C56" s="346">
        <v>3409</v>
      </c>
      <c r="D56" s="346">
        <v>607</v>
      </c>
      <c r="E56" s="346">
        <v>497</v>
      </c>
      <c r="F56" s="346">
        <v>478</v>
      </c>
      <c r="G56" s="346">
        <v>478</v>
      </c>
      <c r="H56" s="346">
        <v>5469</v>
      </c>
      <c r="I56" s="345">
        <v>4991</v>
      </c>
      <c r="J56" s="345">
        <v>1</v>
      </c>
      <c r="K56" s="347">
        <v>110.52</v>
      </c>
      <c r="L56" s="347">
        <v>105.6</v>
      </c>
      <c r="M56" s="347">
        <v>7.21</v>
      </c>
      <c r="N56" s="347">
        <v>115.11</v>
      </c>
      <c r="O56" s="348">
        <v>2458</v>
      </c>
      <c r="P56" s="345">
        <v>94.56</v>
      </c>
      <c r="Q56" s="345">
        <v>94.1</v>
      </c>
      <c r="R56" s="345">
        <v>57.54</v>
      </c>
      <c r="S56" s="345">
        <v>149.25</v>
      </c>
      <c r="T56" s="345">
        <v>827</v>
      </c>
      <c r="U56" s="345">
        <v>148.34</v>
      </c>
      <c r="V56" s="345">
        <v>530</v>
      </c>
      <c r="W56" s="345">
        <v>130.22</v>
      </c>
      <c r="X56" s="345">
        <v>2</v>
      </c>
      <c r="Y56" s="345">
        <v>0</v>
      </c>
      <c r="Z56" s="345">
        <v>0</v>
      </c>
      <c r="AA56" s="345">
        <v>0</v>
      </c>
      <c r="AB56" s="345">
        <v>86</v>
      </c>
      <c r="AC56" s="345">
        <v>30</v>
      </c>
      <c r="AD56" s="349">
        <v>3135</v>
      </c>
      <c r="AE56" s="349">
        <v>24</v>
      </c>
      <c r="AF56" s="349">
        <v>4</v>
      </c>
      <c r="AG56" s="349">
        <v>28</v>
      </c>
    </row>
    <row r="57" spans="1:33" x14ac:dyDescent="0.2">
      <c r="A57" s="344" t="s">
        <v>170</v>
      </c>
      <c r="B57" s="350" t="s">
        <v>171</v>
      </c>
      <c r="C57" s="346">
        <v>7955</v>
      </c>
      <c r="D57" s="346">
        <v>730</v>
      </c>
      <c r="E57" s="346">
        <v>1565</v>
      </c>
      <c r="F57" s="346">
        <v>968</v>
      </c>
      <c r="G57" s="346">
        <v>491</v>
      </c>
      <c r="H57" s="346">
        <v>11709</v>
      </c>
      <c r="I57" s="345">
        <v>11218</v>
      </c>
      <c r="J57" s="345">
        <v>173</v>
      </c>
      <c r="K57" s="347">
        <v>135.57</v>
      </c>
      <c r="L57" s="347">
        <v>129.63999999999999</v>
      </c>
      <c r="M57" s="347">
        <v>11.77</v>
      </c>
      <c r="N57" s="347">
        <v>145.69999999999999</v>
      </c>
      <c r="O57" s="348">
        <v>6166</v>
      </c>
      <c r="P57" s="345">
        <v>116.27</v>
      </c>
      <c r="Q57" s="345">
        <v>111.02</v>
      </c>
      <c r="R57" s="345">
        <v>62.21</v>
      </c>
      <c r="S57" s="345">
        <v>168.91</v>
      </c>
      <c r="T57" s="345">
        <v>2374</v>
      </c>
      <c r="U57" s="345">
        <v>215.62</v>
      </c>
      <c r="V57" s="345">
        <v>266</v>
      </c>
      <c r="W57" s="345">
        <v>0</v>
      </c>
      <c r="X57" s="345">
        <v>0</v>
      </c>
      <c r="Y57" s="345">
        <v>12</v>
      </c>
      <c r="Z57" s="345">
        <v>2</v>
      </c>
      <c r="AA57" s="345">
        <v>5</v>
      </c>
      <c r="AB57" s="345">
        <v>20</v>
      </c>
      <c r="AC57" s="345">
        <v>94</v>
      </c>
      <c r="AD57" s="349">
        <v>6571</v>
      </c>
      <c r="AE57" s="349">
        <v>43</v>
      </c>
      <c r="AF57" s="349">
        <v>39</v>
      </c>
      <c r="AG57" s="349">
        <v>82</v>
      </c>
    </row>
    <row r="58" spans="1:33" x14ac:dyDescent="0.2">
      <c r="A58" s="344" t="s">
        <v>172</v>
      </c>
      <c r="B58" s="350" t="s">
        <v>173</v>
      </c>
      <c r="C58" s="346">
        <v>1370</v>
      </c>
      <c r="D58" s="346">
        <v>3</v>
      </c>
      <c r="E58" s="346">
        <v>219</v>
      </c>
      <c r="F58" s="346">
        <v>270</v>
      </c>
      <c r="G58" s="346">
        <v>255</v>
      </c>
      <c r="H58" s="346">
        <v>2117</v>
      </c>
      <c r="I58" s="345">
        <v>1862</v>
      </c>
      <c r="J58" s="345">
        <v>0</v>
      </c>
      <c r="K58" s="347">
        <v>91.56</v>
      </c>
      <c r="L58" s="347">
        <v>91.37</v>
      </c>
      <c r="M58" s="347">
        <v>5.01</v>
      </c>
      <c r="N58" s="347">
        <v>94.73</v>
      </c>
      <c r="O58" s="348">
        <v>1209</v>
      </c>
      <c r="P58" s="345">
        <v>87.4</v>
      </c>
      <c r="Q58" s="345">
        <v>86.7</v>
      </c>
      <c r="R58" s="345">
        <v>55.73</v>
      </c>
      <c r="S58" s="345">
        <v>142.31</v>
      </c>
      <c r="T58" s="345">
        <v>340</v>
      </c>
      <c r="U58" s="345">
        <v>110.83</v>
      </c>
      <c r="V58" s="345">
        <v>123</v>
      </c>
      <c r="W58" s="345">
        <v>157.52000000000001</v>
      </c>
      <c r="X58" s="345">
        <v>77</v>
      </c>
      <c r="Y58" s="345">
        <v>0</v>
      </c>
      <c r="Z58" s="345">
        <v>3</v>
      </c>
      <c r="AA58" s="345">
        <v>0</v>
      </c>
      <c r="AB58" s="345">
        <v>14</v>
      </c>
      <c r="AC58" s="345">
        <v>3</v>
      </c>
      <c r="AD58" s="349">
        <v>1351</v>
      </c>
      <c r="AE58" s="349">
        <v>8</v>
      </c>
      <c r="AF58" s="349">
        <v>3</v>
      </c>
      <c r="AG58" s="349">
        <v>11</v>
      </c>
    </row>
    <row r="59" spans="1:33" x14ac:dyDescent="0.2">
      <c r="A59" s="344" t="s">
        <v>174</v>
      </c>
      <c r="B59" s="350" t="s">
        <v>175</v>
      </c>
      <c r="C59" s="346">
        <v>1930</v>
      </c>
      <c r="D59" s="346">
        <v>0</v>
      </c>
      <c r="E59" s="346">
        <v>139</v>
      </c>
      <c r="F59" s="346">
        <v>380</v>
      </c>
      <c r="G59" s="346">
        <v>447</v>
      </c>
      <c r="H59" s="346">
        <v>2896</v>
      </c>
      <c r="I59" s="345">
        <v>2449</v>
      </c>
      <c r="J59" s="345">
        <v>7</v>
      </c>
      <c r="K59" s="347">
        <v>104.11</v>
      </c>
      <c r="L59" s="347">
        <v>103.77</v>
      </c>
      <c r="M59" s="347">
        <v>7.68</v>
      </c>
      <c r="N59" s="347">
        <v>110.45</v>
      </c>
      <c r="O59" s="348">
        <v>1371</v>
      </c>
      <c r="P59" s="345">
        <v>85.54</v>
      </c>
      <c r="Q59" s="345">
        <v>84.51</v>
      </c>
      <c r="R59" s="345">
        <v>45.5</v>
      </c>
      <c r="S59" s="345">
        <v>129.52000000000001</v>
      </c>
      <c r="T59" s="345">
        <v>509</v>
      </c>
      <c r="U59" s="345">
        <v>146.12</v>
      </c>
      <c r="V59" s="345">
        <v>277</v>
      </c>
      <c r="W59" s="345">
        <v>0</v>
      </c>
      <c r="X59" s="345">
        <v>0</v>
      </c>
      <c r="Y59" s="345">
        <v>0</v>
      </c>
      <c r="Z59" s="345">
        <v>2</v>
      </c>
      <c r="AA59" s="345">
        <v>0</v>
      </c>
      <c r="AB59" s="345">
        <v>12</v>
      </c>
      <c r="AC59" s="345">
        <v>9</v>
      </c>
      <c r="AD59" s="349">
        <v>1745</v>
      </c>
      <c r="AE59" s="349">
        <v>1</v>
      </c>
      <c r="AF59" s="349">
        <v>3</v>
      </c>
      <c r="AG59" s="349">
        <v>4</v>
      </c>
    </row>
    <row r="60" spans="1:33" x14ac:dyDescent="0.2">
      <c r="A60" s="344" t="s">
        <v>176</v>
      </c>
      <c r="B60" s="350" t="s">
        <v>177</v>
      </c>
      <c r="C60" s="346">
        <v>7023</v>
      </c>
      <c r="D60" s="346">
        <v>11</v>
      </c>
      <c r="E60" s="346">
        <v>249</v>
      </c>
      <c r="F60" s="346">
        <v>376</v>
      </c>
      <c r="G60" s="346">
        <v>349</v>
      </c>
      <c r="H60" s="346">
        <v>8008</v>
      </c>
      <c r="I60" s="345">
        <v>7659</v>
      </c>
      <c r="J60" s="345">
        <v>2</v>
      </c>
      <c r="K60" s="347">
        <v>82.81</v>
      </c>
      <c r="L60" s="347">
        <v>79.97</v>
      </c>
      <c r="M60" s="347">
        <v>3.38</v>
      </c>
      <c r="N60" s="347">
        <v>85.26</v>
      </c>
      <c r="O60" s="348">
        <v>6030</v>
      </c>
      <c r="P60" s="345">
        <v>89.24</v>
      </c>
      <c r="Q60" s="345">
        <v>77.290000000000006</v>
      </c>
      <c r="R60" s="345">
        <v>29.43</v>
      </c>
      <c r="S60" s="345">
        <v>114.52</v>
      </c>
      <c r="T60" s="345">
        <v>574</v>
      </c>
      <c r="U60" s="345">
        <v>92.41</v>
      </c>
      <c r="V60" s="345">
        <v>974</v>
      </c>
      <c r="W60" s="345">
        <v>0</v>
      </c>
      <c r="X60" s="345">
        <v>0</v>
      </c>
      <c r="Y60" s="345">
        <v>32</v>
      </c>
      <c r="Z60" s="345">
        <v>18</v>
      </c>
      <c r="AA60" s="345">
        <v>16</v>
      </c>
      <c r="AB60" s="345">
        <v>0</v>
      </c>
      <c r="AC60" s="345">
        <v>4</v>
      </c>
      <c r="AD60" s="349">
        <v>7007</v>
      </c>
      <c r="AE60" s="349">
        <v>100</v>
      </c>
      <c r="AF60" s="349">
        <v>28</v>
      </c>
      <c r="AG60" s="349">
        <v>128</v>
      </c>
    </row>
    <row r="61" spans="1:33" x14ac:dyDescent="0.2">
      <c r="A61" s="344" t="s">
        <v>178</v>
      </c>
      <c r="B61" s="350" t="s">
        <v>179</v>
      </c>
      <c r="C61" s="346">
        <v>452</v>
      </c>
      <c r="D61" s="346">
        <v>0</v>
      </c>
      <c r="E61" s="346">
        <v>52</v>
      </c>
      <c r="F61" s="346">
        <v>73</v>
      </c>
      <c r="G61" s="346">
        <v>72</v>
      </c>
      <c r="H61" s="346">
        <v>649</v>
      </c>
      <c r="I61" s="345">
        <v>577</v>
      </c>
      <c r="J61" s="345">
        <v>0</v>
      </c>
      <c r="K61" s="347">
        <v>108.98</v>
      </c>
      <c r="L61" s="347">
        <v>108.6</v>
      </c>
      <c r="M61" s="347">
        <v>6.33</v>
      </c>
      <c r="N61" s="347">
        <v>112.66</v>
      </c>
      <c r="O61" s="348">
        <v>381</v>
      </c>
      <c r="P61" s="345">
        <v>89.83</v>
      </c>
      <c r="Q61" s="345">
        <v>85.59</v>
      </c>
      <c r="R61" s="345">
        <v>56.88</v>
      </c>
      <c r="S61" s="345">
        <v>145.68</v>
      </c>
      <c r="T61" s="345">
        <v>110</v>
      </c>
      <c r="U61" s="345">
        <v>146.6</v>
      </c>
      <c r="V61" s="345">
        <v>60</v>
      </c>
      <c r="W61" s="345">
        <v>0</v>
      </c>
      <c r="X61" s="345">
        <v>0</v>
      </c>
      <c r="Y61" s="345">
        <v>0</v>
      </c>
      <c r="Z61" s="345">
        <v>0</v>
      </c>
      <c r="AA61" s="345">
        <v>1</v>
      </c>
      <c r="AB61" s="345">
        <v>5</v>
      </c>
      <c r="AC61" s="345">
        <v>4</v>
      </c>
      <c r="AD61" s="349">
        <v>452</v>
      </c>
      <c r="AE61" s="349">
        <v>3</v>
      </c>
      <c r="AF61" s="349">
        <v>2</v>
      </c>
      <c r="AG61" s="349">
        <v>5</v>
      </c>
    </row>
    <row r="62" spans="1:33" x14ac:dyDescent="0.2">
      <c r="A62" s="344" t="s">
        <v>180</v>
      </c>
      <c r="B62" s="350" t="s">
        <v>181</v>
      </c>
      <c r="C62" s="346">
        <v>8335</v>
      </c>
      <c r="D62" s="346">
        <v>0</v>
      </c>
      <c r="E62" s="346">
        <v>272</v>
      </c>
      <c r="F62" s="346">
        <v>1643</v>
      </c>
      <c r="G62" s="346">
        <v>1298</v>
      </c>
      <c r="H62" s="346">
        <v>11548</v>
      </c>
      <c r="I62" s="345">
        <v>10250</v>
      </c>
      <c r="J62" s="345">
        <v>16</v>
      </c>
      <c r="K62" s="347">
        <v>104.99</v>
      </c>
      <c r="L62" s="347">
        <v>105.82</v>
      </c>
      <c r="M62" s="347">
        <v>4.6399999999999997</v>
      </c>
      <c r="N62" s="347">
        <v>106.43</v>
      </c>
      <c r="O62" s="348">
        <v>7518</v>
      </c>
      <c r="P62" s="345">
        <v>92.13</v>
      </c>
      <c r="Q62" s="345">
        <v>89.48</v>
      </c>
      <c r="R62" s="345">
        <v>26.57</v>
      </c>
      <c r="S62" s="345">
        <v>105.4</v>
      </c>
      <c r="T62" s="345">
        <v>1819</v>
      </c>
      <c r="U62" s="345">
        <v>136.72999999999999</v>
      </c>
      <c r="V62" s="345">
        <v>664</v>
      </c>
      <c r="W62" s="345">
        <v>121.78</v>
      </c>
      <c r="X62" s="345">
        <v>50</v>
      </c>
      <c r="Y62" s="345">
        <v>0</v>
      </c>
      <c r="Z62" s="345">
        <v>11</v>
      </c>
      <c r="AA62" s="345">
        <v>0</v>
      </c>
      <c r="AB62" s="345">
        <v>91</v>
      </c>
      <c r="AC62" s="345">
        <v>37</v>
      </c>
      <c r="AD62" s="349">
        <v>8259</v>
      </c>
      <c r="AE62" s="349">
        <v>19</v>
      </c>
      <c r="AF62" s="349">
        <v>13</v>
      </c>
      <c r="AG62" s="349">
        <v>32</v>
      </c>
    </row>
    <row r="63" spans="1:33" x14ac:dyDescent="0.2">
      <c r="A63" s="344" t="s">
        <v>182</v>
      </c>
      <c r="B63" s="350" t="s">
        <v>183</v>
      </c>
      <c r="C63" s="346">
        <v>2719</v>
      </c>
      <c r="D63" s="346">
        <v>0</v>
      </c>
      <c r="E63" s="346">
        <v>273</v>
      </c>
      <c r="F63" s="346">
        <v>265</v>
      </c>
      <c r="G63" s="346">
        <v>553</v>
      </c>
      <c r="H63" s="346">
        <v>3810</v>
      </c>
      <c r="I63" s="345">
        <v>3257</v>
      </c>
      <c r="J63" s="345">
        <v>4</v>
      </c>
      <c r="K63" s="347">
        <v>93.47</v>
      </c>
      <c r="L63" s="347">
        <v>91.47</v>
      </c>
      <c r="M63" s="347">
        <v>6.38</v>
      </c>
      <c r="N63" s="347">
        <v>98.37</v>
      </c>
      <c r="O63" s="348">
        <v>2276</v>
      </c>
      <c r="P63" s="345">
        <v>87.89</v>
      </c>
      <c r="Q63" s="345">
        <v>83.52</v>
      </c>
      <c r="R63" s="345">
        <v>51.66</v>
      </c>
      <c r="S63" s="345">
        <v>138.87</v>
      </c>
      <c r="T63" s="345">
        <v>457</v>
      </c>
      <c r="U63" s="345">
        <v>104.91</v>
      </c>
      <c r="V63" s="345">
        <v>380</v>
      </c>
      <c r="W63" s="345">
        <v>0</v>
      </c>
      <c r="X63" s="345">
        <v>0</v>
      </c>
      <c r="Y63" s="345">
        <v>146</v>
      </c>
      <c r="Z63" s="345">
        <v>7</v>
      </c>
      <c r="AA63" s="345">
        <v>10</v>
      </c>
      <c r="AB63" s="345">
        <v>55</v>
      </c>
      <c r="AC63" s="345">
        <v>17</v>
      </c>
      <c r="AD63" s="349">
        <v>2719</v>
      </c>
      <c r="AE63" s="349">
        <v>12</v>
      </c>
      <c r="AF63" s="349">
        <v>18</v>
      </c>
      <c r="AG63" s="349">
        <v>30</v>
      </c>
    </row>
    <row r="64" spans="1:33" x14ac:dyDescent="0.2">
      <c r="A64" s="344" t="s">
        <v>184</v>
      </c>
      <c r="B64" s="350" t="s">
        <v>185</v>
      </c>
      <c r="C64" s="346">
        <v>7207</v>
      </c>
      <c r="D64" s="346">
        <v>250</v>
      </c>
      <c r="E64" s="346">
        <v>1205</v>
      </c>
      <c r="F64" s="346">
        <v>1519</v>
      </c>
      <c r="G64" s="346">
        <v>483</v>
      </c>
      <c r="H64" s="346">
        <v>10664</v>
      </c>
      <c r="I64" s="345">
        <v>10181</v>
      </c>
      <c r="J64" s="345">
        <v>1</v>
      </c>
      <c r="K64" s="347">
        <v>105.39</v>
      </c>
      <c r="L64" s="347">
        <v>105.4</v>
      </c>
      <c r="M64" s="347">
        <v>6.98</v>
      </c>
      <c r="N64" s="347">
        <v>108.47</v>
      </c>
      <c r="O64" s="348">
        <v>6501</v>
      </c>
      <c r="P64" s="345">
        <v>91.44</v>
      </c>
      <c r="Q64" s="345">
        <v>91.17</v>
      </c>
      <c r="R64" s="345">
        <v>24.99</v>
      </c>
      <c r="S64" s="345">
        <v>109.5</v>
      </c>
      <c r="T64" s="345">
        <v>2636</v>
      </c>
      <c r="U64" s="345">
        <v>132.87</v>
      </c>
      <c r="V64" s="345">
        <v>553</v>
      </c>
      <c r="W64" s="345">
        <v>0</v>
      </c>
      <c r="X64" s="345">
        <v>0</v>
      </c>
      <c r="Y64" s="345">
        <v>0</v>
      </c>
      <c r="Z64" s="345">
        <v>15</v>
      </c>
      <c r="AA64" s="345">
        <v>12</v>
      </c>
      <c r="AB64" s="345">
        <v>64</v>
      </c>
      <c r="AC64" s="345">
        <v>6</v>
      </c>
      <c r="AD64" s="349">
        <v>7199</v>
      </c>
      <c r="AE64" s="349">
        <v>32</v>
      </c>
      <c r="AF64" s="349">
        <v>20</v>
      </c>
      <c r="AG64" s="349">
        <v>52</v>
      </c>
    </row>
    <row r="65" spans="1:33" x14ac:dyDescent="0.2">
      <c r="A65" s="344" t="s">
        <v>186</v>
      </c>
      <c r="B65" s="350" t="s">
        <v>187</v>
      </c>
      <c r="C65" s="346">
        <v>1736</v>
      </c>
      <c r="D65" s="346">
        <v>3</v>
      </c>
      <c r="E65" s="346">
        <v>389</v>
      </c>
      <c r="F65" s="346">
        <v>215</v>
      </c>
      <c r="G65" s="346">
        <v>309</v>
      </c>
      <c r="H65" s="346">
        <v>2652</v>
      </c>
      <c r="I65" s="345">
        <v>2343</v>
      </c>
      <c r="J65" s="345">
        <v>0</v>
      </c>
      <c r="K65" s="347">
        <v>96.09</v>
      </c>
      <c r="L65" s="347">
        <v>93.65</v>
      </c>
      <c r="M65" s="347">
        <v>5.25</v>
      </c>
      <c r="N65" s="347">
        <v>100.54</v>
      </c>
      <c r="O65" s="348">
        <v>1467</v>
      </c>
      <c r="P65" s="345">
        <v>87.69</v>
      </c>
      <c r="Q65" s="345">
        <v>84.91</v>
      </c>
      <c r="R65" s="345">
        <v>52.49</v>
      </c>
      <c r="S65" s="345">
        <v>136.30000000000001</v>
      </c>
      <c r="T65" s="345">
        <v>460</v>
      </c>
      <c r="U65" s="345">
        <v>132.74</v>
      </c>
      <c r="V65" s="345">
        <v>176</v>
      </c>
      <c r="W65" s="345">
        <v>202.73</v>
      </c>
      <c r="X65" s="345">
        <v>110</v>
      </c>
      <c r="Y65" s="345">
        <v>0</v>
      </c>
      <c r="Z65" s="345">
        <v>1</v>
      </c>
      <c r="AA65" s="345">
        <v>12</v>
      </c>
      <c r="AB65" s="345">
        <v>2</v>
      </c>
      <c r="AC65" s="345">
        <v>12</v>
      </c>
      <c r="AD65" s="349">
        <v>1613</v>
      </c>
      <c r="AE65" s="349">
        <v>6</v>
      </c>
      <c r="AF65" s="349">
        <v>4</v>
      </c>
      <c r="AG65" s="349">
        <v>10</v>
      </c>
    </row>
    <row r="66" spans="1:33" x14ac:dyDescent="0.2">
      <c r="A66" s="344" t="s">
        <v>188</v>
      </c>
      <c r="B66" s="350" t="s">
        <v>189</v>
      </c>
      <c r="C66" s="346">
        <v>6048</v>
      </c>
      <c r="D66" s="346">
        <v>10</v>
      </c>
      <c r="E66" s="346">
        <v>199</v>
      </c>
      <c r="F66" s="346">
        <v>1487</v>
      </c>
      <c r="G66" s="346">
        <v>538</v>
      </c>
      <c r="H66" s="346">
        <v>8282</v>
      </c>
      <c r="I66" s="345">
        <v>7744</v>
      </c>
      <c r="J66" s="345">
        <v>10</v>
      </c>
      <c r="K66" s="347">
        <v>106.72</v>
      </c>
      <c r="L66" s="347">
        <v>101.97</v>
      </c>
      <c r="M66" s="347">
        <v>5.89</v>
      </c>
      <c r="N66" s="347">
        <v>108.56</v>
      </c>
      <c r="O66" s="348">
        <v>5081</v>
      </c>
      <c r="P66" s="345">
        <v>95.42</v>
      </c>
      <c r="Q66" s="345">
        <v>93.11</v>
      </c>
      <c r="R66" s="345">
        <v>21.78</v>
      </c>
      <c r="S66" s="345">
        <v>116.4</v>
      </c>
      <c r="T66" s="345">
        <v>1562</v>
      </c>
      <c r="U66" s="345">
        <v>154.02000000000001</v>
      </c>
      <c r="V66" s="345">
        <v>898</v>
      </c>
      <c r="W66" s="345">
        <v>201.52</v>
      </c>
      <c r="X66" s="345">
        <v>95</v>
      </c>
      <c r="Y66" s="345">
        <v>0</v>
      </c>
      <c r="Z66" s="345">
        <v>15</v>
      </c>
      <c r="AA66" s="345">
        <v>13</v>
      </c>
      <c r="AB66" s="345">
        <v>80</v>
      </c>
      <c r="AC66" s="345">
        <v>17</v>
      </c>
      <c r="AD66" s="349">
        <v>6000</v>
      </c>
      <c r="AE66" s="349">
        <v>11</v>
      </c>
      <c r="AF66" s="349">
        <v>11</v>
      </c>
      <c r="AG66" s="349">
        <v>22</v>
      </c>
    </row>
    <row r="67" spans="1:33" x14ac:dyDescent="0.2">
      <c r="A67" s="344" t="s">
        <v>190</v>
      </c>
      <c r="B67" s="350" t="s">
        <v>191</v>
      </c>
      <c r="C67" s="346">
        <v>15370</v>
      </c>
      <c r="D67" s="346">
        <v>4</v>
      </c>
      <c r="E67" s="346">
        <v>819</v>
      </c>
      <c r="F67" s="346">
        <v>3963</v>
      </c>
      <c r="G67" s="346">
        <v>785</v>
      </c>
      <c r="H67" s="346">
        <v>20941</v>
      </c>
      <c r="I67" s="345">
        <v>20156</v>
      </c>
      <c r="J67" s="345">
        <v>92</v>
      </c>
      <c r="K67" s="347">
        <v>90.28</v>
      </c>
      <c r="L67" s="347">
        <v>90.42</v>
      </c>
      <c r="M67" s="347">
        <v>6.28</v>
      </c>
      <c r="N67" s="347">
        <v>92.52</v>
      </c>
      <c r="O67" s="348">
        <v>12352</v>
      </c>
      <c r="P67" s="345">
        <v>88.62</v>
      </c>
      <c r="Q67" s="345">
        <v>86.73</v>
      </c>
      <c r="R67" s="345">
        <v>21.02</v>
      </c>
      <c r="S67" s="345">
        <v>106.71</v>
      </c>
      <c r="T67" s="345">
        <v>4424</v>
      </c>
      <c r="U67" s="345">
        <v>109.95</v>
      </c>
      <c r="V67" s="345">
        <v>2959</v>
      </c>
      <c r="W67" s="345">
        <v>108.05</v>
      </c>
      <c r="X67" s="345">
        <v>140</v>
      </c>
      <c r="Y67" s="345">
        <v>4</v>
      </c>
      <c r="Z67" s="345">
        <v>41</v>
      </c>
      <c r="AA67" s="345">
        <v>0</v>
      </c>
      <c r="AB67" s="345">
        <v>65</v>
      </c>
      <c r="AC67" s="345">
        <v>16</v>
      </c>
      <c r="AD67" s="349">
        <v>15362</v>
      </c>
      <c r="AE67" s="349">
        <v>62</v>
      </c>
      <c r="AF67" s="349">
        <v>49</v>
      </c>
      <c r="AG67" s="349">
        <v>111</v>
      </c>
    </row>
    <row r="68" spans="1:33" x14ac:dyDescent="0.2">
      <c r="A68" s="344" t="s">
        <v>192</v>
      </c>
      <c r="B68" s="350" t="s">
        <v>193</v>
      </c>
      <c r="C68" s="345">
        <v>13900</v>
      </c>
      <c r="D68" s="345">
        <v>12</v>
      </c>
      <c r="E68" s="345">
        <v>526</v>
      </c>
      <c r="F68" s="345">
        <v>3305</v>
      </c>
      <c r="G68" s="345">
        <v>1298</v>
      </c>
      <c r="H68" s="345">
        <v>19041</v>
      </c>
      <c r="I68" s="345">
        <v>17743</v>
      </c>
      <c r="J68" s="345">
        <v>1</v>
      </c>
      <c r="K68" s="345">
        <v>93.33</v>
      </c>
      <c r="L68" s="345">
        <v>94.1</v>
      </c>
      <c r="M68" s="345">
        <v>4.55</v>
      </c>
      <c r="N68" s="345">
        <v>94.84</v>
      </c>
      <c r="O68" s="348">
        <v>12020</v>
      </c>
      <c r="P68" s="345">
        <v>89.27</v>
      </c>
      <c r="Q68" s="345">
        <v>85.82</v>
      </c>
      <c r="R68" s="345">
        <v>26.88</v>
      </c>
      <c r="S68" s="345">
        <v>108.47</v>
      </c>
      <c r="T68" s="345">
        <v>3230</v>
      </c>
      <c r="U68" s="345">
        <v>112.8</v>
      </c>
      <c r="V68" s="345">
        <v>1633</v>
      </c>
      <c r="W68" s="345">
        <v>148.65</v>
      </c>
      <c r="X68" s="345">
        <v>388</v>
      </c>
      <c r="Y68" s="345">
        <v>4</v>
      </c>
      <c r="Z68" s="345">
        <v>51</v>
      </c>
      <c r="AA68" s="345">
        <v>7</v>
      </c>
      <c r="AB68" s="345">
        <v>119</v>
      </c>
      <c r="AC68" s="345">
        <v>14</v>
      </c>
      <c r="AD68" s="345">
        <v>13760</v>
      </c>
      <c r="AE68" s="345">
        <v>49</v>
      </c>
      <c r="AF68" s="345">
        <v>36</v>
      </c>
      <c r="AG68" s="345">
        <v>85</v>
      </c>
    </row>
    <row r="69" spans="1:33" x14ac:dyDescent="0.2">
      <c r="A69" s="344" t="s">
        <v>194</v>
      </c>
      <c r="B69" s="350" t="s">
        <v>195</v>
      </c>
      <c r="C69" s="345">
        <v>825</v>
      </c>
      <c r="D69" s="345">
        <v>0</v>
      </c>
      <c r="E69" s="345">
        <v>122</v>
      </c>
      <c r="F69" s="345">
        <v>492</v>
      </c>
      <c r="G69" s="345">
        <v>87</v>
      </c>
      <c r="H69" s="345">
        <v>1526</v>
      </c>
      <c r="I69" s="345">
        <v>1439</v>
      </c>
      <c r="J69" s="345">
        <v>0</v>
      </c>
      <c r="K69" s="345">
        <v>88.25</v>
      </c>
      <c r="L69" s="347">
        <v>86.81</v>
      </c>
      <c r="M69" s="347">
        <v>6.4</v>
      </c>
      <c r="N69" s="347">
        <v>90.96</v>
      </c>
      <c r="O69" s="348">
        <v>654</v>
      </c>
      <c r="P69" s="345">
        <v>88.18</v>
      </c>
      <c r="Q69" s="345">
        <v>82.55</v>
      </c>
      <c r="R69" s="345">
        <v>24.84</v>
      </c>
      <c r="S69" s="345">
        <v>112.08</v>
      </c>
      <c r="T69" s="345">
        <v>578</v>
      </c>
      <c r="U69" s="345">
        <v>94.33</v>
      </c>
      <c r="V69" s="345">
        <v>59</v>
      </c>
      <c r="W69" s="345">
        <v>0</v>
      </c>
      <c r="X69" s="345">
        <v>0</v>
      </c>
      <c r="Y69" s="345">
        <v>0</v>
      </c>
      <c r="Z69" s="345">
        <v>0</v>
      </c>
      <c r="AA69" s="345">
        <v>0</v>
      </c>
      <c r="AB69" s="345">
        <v>0</v>
      </c>
      <c r="AC69" s="345">
        <v>3</v>
      </c>
      <c r="AD69" s="345">
        <v>711</v>
      </c>
      <c r="AE69" s="345">
        <v>4</v>
      </c>
      <c r="AF69" s="345">
        <v>4</v>
      </c>
      <c r="AG69" s="345">
        <v>8</v>
      </c>
    </row>
    <row r="70" spans="1:33" ht="15" x14ac:dyDescent="0.25">
      <c r="A70" s="351" t="s">
        <v>196</v>
      </c>
      <c r="B70" s="351" t="s">
        <v>197</v>
      </c>
      <c r="C70" s="345">
        <v>7073</v>
      </c>
      <c r="D70" s="345">
        <v>0</v>
      </c>
      <c r="E70" s="345">
        <v>183</v>
      </c>
      <c r="F70" s="345">
        <v>731</v>
      </c>
      <c r="G70" s="345">
        <v>503</v>
      </c>
      <c r="H70" s="345">
        <v>8490</v>
      </c>
      <c r="I70" s="345">
        <v>7987</v>
      </c>
      <c r="J70" s="345">
        <v>98</v>
      </c>
      <c r="K70" s="352">
        <v>101.87</v>
      </c>
      <c r="L70" s="352">
        <v>108.1</v>
      </c>
      <c r="M70" s="352">
        <v>5.87</v>
      </c>
      <c r="N70" s="352">
        <v>104.66</v>
      </c>
      <c r="O70" s="345">
        <v>6312</v>
      </c>
      <c r="P70" s="352">
        <v>95.44</v>
      </c>
      <c r="Q70" s="352">
        <v>95.97</v>
      </c>
      <c r="R70" s="352">
        <v>30.32</v>
      </c>
      <c r="S70" s="352">
        <v>124.78</v>
      </c>
      <c r="T70" s="345">
        <v>714</v>
      </c>
      <c r="U70" s="352">
        <v>152.1</v>
      </c>
      <c r="V70" s="345">
        <v>712</v>
      </c>
      <c r="W70" s="352">
        <v>0</v>
      </c>
      <c r="X70" s="345">
        <v>0</v>
      </c>
      <c r="Y70" s="345">
        <v>38</v>
      </c>
      <c r="Z70" s="345">
        <v>4</v>
      </c>
      <c r="AA70" s="345">
        <v>1</v>
      </c>
      <c r="AB70" s="345">
        <v>64</v>
      </c>
      <c r="AC70" s="345">
        <v>16</v>
      </c>
      <c r="AD70" s="345">
        <v>7009</v>
      </c>
      <c r="AE70" s="345">
        <v>58</v>
      </c>
      <c r="AF70" s="345">
        <v>24</v>
      </c>
      <c r="AG70" s="345">
        <v>82</v>
      </c>
    </row>
    <row r="71" spans="1:33" x14ac:dyDescent="0.2">
      <c r="A71" s="344" t="s">
        <v>198</v>
      </c>
      <c r="B71" s="350" t="s">
        <v>199</v>
      </c>
      <c r="C71" s="346">
        <v>5818</v>
      </c>
      <c r="D71" s="346">
        <v>2</v>
      </c>
      <c r="E71" s="346">
        <v>309</v>
      </c>
      <c r="F71" s="346">
        <v>529</v>
      </c>
      <c r="G71" s="346">
        <v>147</v>
      </c>
      <c r="H71" s="346">
        <v>6805</v>
      </c>
      <c r="I71" s="345">
        <v>6658</v>
      </c>
      <c r="J71" s="345">
        <v>41</v>
      </c>
      <c r="K71" s="347">
        <v>80.260000000000005</v>
      </c>
      <c r="L71" s="347">
        <v>78.61</v>
      </c>
      <c r="M71" s="347">
        <v>5.68</v>
      </c>
      <c r="N71" s="347">
        <v>84.11</v>
      </c>
      <c r="O71" s="348">
        <v>5285</v>
      </c>
      <c r="P71" s="345">
        <v>88.86</v>
      </c>
      <c r="Q71" s="345">
        <v>71.13</v>
      </c>
      <c r="R71" s="345">
        <v>25.95</v>
      </c>
      <c r="S71" s="345">
        <v>114.67</v>
      </c>
      <c r="T71" s="345">
        <v>767</v>
      </c>
      <c r="U71" s="345">
        <v>102.15</v>
      </c>
      <c r="V71" s="345">
        <v>490</v>
      </c>
      <c r="W71" s="345">
        <v>0</v>
      </c>
      <c r="X71" s="345">
        <v>0</v>
      </c>
      <c r="Y71" s="345">
        <v>46</v>
      </c>
      <c r="Z71" s="345">
        <v>15</v>
      </c>
      <c r="AA71" s="345">
        <v>0</v>
      </c>
      <c r="AB71" s="345">
        <v>30</v>
      </c>
      <c r="AC71" s="345">
        <v>1</v>
      </c>
      <c r="AD71" s="349">
        <v>5793</v>
      </c>
      <c r="AE71" s="349">
        <v>15</v>
      </c>
      <c r="AF71" s="349">
        <v>15</v>
      </c>
      <c r="AG71" s="349">
        <v>30</v>
      </c>
    </row>
    <row r="72" spans="1:33" x14ac:dyDescent="0.2">
      <c r="A72" s="344" t="s">
        <v>200</v>
      </c>
      <c r="B72" s="350" t="s">
        <v>201</v>
      </c>
      <c r="C72" s="346">
        <v>194</v>
      </c>
      <c r="D72" s="346">
        <v>0</v>
      </c>
      <c r="E72" s="346">
        <v>0</v>
      </c>
      <c r="F72" s="346">
        <v>18</v>
      </c>
      <c r="G72" s="346">
        <v>0</v>
      </c>
      <c r="H72" s="346">
        <v>212</v>
      </c>
      <c r="I72" s="345">
        <v>212</v>
      </c>
      <c r="J72" s="345">
        <v>0</v>
      </c>
      <c r="K72" s="347">
        <v>126.93</v>
      </c>
      <c r="L72" s="347">
        <v>129.47999999999999</v>
      </c>
      <c r="M72" s="347">
        <v>12.04</v>
      </c>
      <c r="N72" s="347">
        <v>138.76</v>
      </c>
      <c r="O72" s="348">
        <v>170</v>
      </c>
      <c r="P72" s="345">
        <v>109.98</v>
      </c>
      <c r="Q72" s="345">
        <v>121.63</v>
      </c>
      <c r="R72" s="345">
        <v>34.76</v>
      </c>
      <c r="S72" s="345">
        <v>144.74</v>
      </c>
      <c r="T72" s="345">
        <v>18</v>
      </c>
      <c r="U72" s="345">
        <v>218.67</v>
      </c>
      <c r="V72" s="345">
        <v>24</v>
      </c>
      <c r="W72" s="345">
        <v>0</v>
      </c>
      <c r="X72" s="345">
        <v>0</v>
      </c>
      <c r="Y72" s="345">
        <v>0</v>
      </c>
      <c r="Z72" s="345">
        <v>0</v>
      </c>
      <c r="AA72" s="345">
        <v>0</v>
      </c>
      <c r="AB72" s="345">
        <v>0</v>
      </c>
      <c r="AC72" s="345">
        <v>0</v>
      </c>
      <c r="AD72" s="349">
        <v>194</v>
      </c>
      <c r="AE72" s="349">
        <v>2</v>
      </c>
      <c r="AF72" s="349">
        <v>5</v>
      </c>
      <c r="AG72" s="349">
        <v>7</v>
      </c>
    </row>
    <row r="73" spans="1:33" x14ac:dyDescent="0.2">
      <c r="A73" s="344" t="s">
        <v>202</v>
      </c>
      <c r="B73" s="350" t="s">
        <v>203</v>
      </c>
      <c r="C73" s="346">
        <v>3885</v>
      </c>
      <c r="D73" s="346">
        <v>184</v>
      </c>
      <c r="E73" s="346">
        <v>588</v>
      </c>
      <c r="F73" s="346">
        <v>355</v>
      </c>
      <c r="G73" s="346">
        <v>266</v>
      </c>
      <c r="H73" s="346">
        <v>5278</v>
      </c>
      <c r="I73" s="345">
        <v>5012</v>
      </c>
      <c r="J73" s="345">
        <v>18</v>
      </c>
      <c r="K73" s="347">
        <v>104.22</v>
      </c>
      <c r="L73" s="347">
        <v>103.73</v>
      </c>
      <c r="M73" s="347">
        <v>5.62</v>
      </c>
      <c r="N73" s="347">
        <v>108.77</v>
      </c>
      <c r="O73" s="348">
        <v>2827</v>
      </c>
      <c r="P73" s="345">
        <v>98.45</v>
      </c>
      <c r="Q73" s="345">
        <v>86.9</v>
      </c>
      <c r="R73" s="345">
        <v>43.38</v>
      </c>
      <c r="S73" s="345">
        <v>135.35</v>
      </c>
      <c r="T73" s="345">
        <v>642</v>
      </c>
      <c r="U73" s="345">
        <v>131.15</v>
      </c>
      <c r="V73" s="345">
        <v>775</v>
      </c>
      <c r="W73" s="345">
        <v>112.77</v>
      </c>
      <c r="X73" s="345">
        <v>34</v>
      </c>
      <c r="Y73" s="345">
        <v>43</v>
      </c>
      <c r="Z73" s="345">
        <v>1</v>
      </c>
      <c r="AA73" s="345">
        <v>3</v>
      </c>
      <c r="AB73" s="345">
        <v>13</v>
      </c>
      <c r="AC73" s="345">
        <v>9</v>
      </c>
      <c r="AD73" s="349">
        <v>3824</v>
      </c>
      <c r="AE73" s="349">
        <v>18</v>
      </c>
      <c r="AF73" s="349">
        <v>24</v>
      </c>
      <c r="AG73" s="349">
        <v>42</v>
      </c>
    </row>
    <row r="74" spans="1:33" x14ac:dyDescent="0.2">
      <c r="A74" s="344" t="s">
        <v>204</v>
      </c>
      <c r="B74" s="350" t="s">
        <v>205</v>
      </c>
      <c r="C74" s="346">
        <v>5673</v>
      </c>
      <c r="D74" s="346">
        <v>33</v>
      </c>
      <c r="E74" s="346">
        <v>61</v>
      </c>
      <c r="F74" s="346">
        <v>307</v>
      </c>
      <c r="G74" s="346">
        <v>46</v>
      </c>
      <c r="H74" s="346">
        <v>6120</v>
      </c>
      <c r="I74" s="345">
        <v>6074</v>
      </c>
      <c r="J74" s="345">
        <v>6</v>
      </c>
      <c r="K74" s="347">
        <v>86.25</v>
      </c>
      <c r="L74" s="347">
        <v>87.51</v>
      </c>
      <c r="M74" s="347">
        <v>1.2</v>
      </c>
      <c r="N74" s="347">
        <v>87.32</v>
      </c>
      <c r="O74" s="348">
        <v>5503</v>
      </c>
      <c r="P74" s="345">
        <v>79.42</v>
      </c>
      <c r="Q74" s="345">
        <v>77.88</v>
      </c>
      <c r="R74" s="345">
        <v>36.69</v>
      </c>
      <c r="S74" s="345">
        <v>115.7</v>
      </c>
      <c r="T74" s="345">
        <v>361</v>
      </c>
      <c r="U74" s="345">
        <v>94.59</v>
      </c>
      <c r="V74" s="345">
        <v>171</v>
      </c>
      <c r="W74" s="345">
        <v>0</v>
      </c>
      <c r="X74" s="345">
        <v>0</v>
      </c>
      <c r="Y74" s="345">
        <v>0</v>
      </c>
      <c r="Z74" s="345">
        <v>1</v>
      </c>
      <c r="AA74" s="345">
        <v>0</v>
      </c>
      <c r="AB74" s="345">
        <v>0</v>
      </c>
      <c r="AC74" s="345">
        <v>1</v>
      </c>
      <c r="AD74" s="349">
        <v>5641</v>
      </c>
      <c r="AE74" s="349">
        <v>87</v>
      </c>
      <c r="AF74" s="349">
        <v>68</v>
      </c>
      <c r="AG74" s="349">
        <v>155</v>
      </c>
    </row>
    <row r="75" spans="1:33" x14ac:dyDescent="0.2">
      <c r="A75" s="344" t="s">
        <v>206</v>
      </c>
      <c r="B75" s="350" t="s">
        <v>207</v>
      </c>
      <c r="C75" s="346">
        <v>18246</v>
      </c>
      <c r="D75" s="346">
        <v>14</v>
      </c>
      <c r="E75" s="346">
        <v>910</v>
      </c>
      <c r="F75" s="346">
        <v>2010</v>
      </c>
      <c r="G75" s="346">
        <v>1853</v>
      </c>
      <c r="H75" s="346">
        <v>23033</v>
      </c>
      <c r="I75" s="345">
        <v>21180</v>
      </c>
      <c r="J75" s="345">
        <v>12</v>
      </c>
      <c r="K75" s="347">
        <v>85.16</v>
      </c>
      <c r="L75" s="347">
        <v>80.680000000000007</v>
      </c>
      <c r="M75" s="347">
        <v>3.71</v>
      </c>
      <c r="N75" s="347">
        <v>88.25</v>
      </c>
      <c r="O75" s="348">
        <v>14915</v>
      </c>
      <c r="P75" s="345">
        <v>79.94</v>
      </c>
      <c r="Q75" s="345">
        <v>71.63</v>
      </c>
      <c r="R75" s="345">
        <v>40.35</v>
      </c>
      <c r="S75" s="345">
        <v>118.12</v>
      </c>
      <c r="T75" s="345">
        <v>2689</v>
      </c>
      <c r="U75" s="345">
        <v>118.21</v>
      </c>
      <c r="V75" s="345">
        <v>2278</v>
      </c>
      <c r="W75" s="345">
        <v>129.81</v>
      </c>
      <c r="X75" s="345">
        <v>62</v>
      </c>
      <c r="Y75" s="345">
        <v>10</v>
      </c>
      <c r="Z75" s="345">
        <v>26</v>
      </c>
      <c r="AA75" s="345">
        <v>0</v>
      </c>
      <c r="AB75" s="345">
        <v>186</v>
      </c>
      <c r="AC75" s="345">
        <v>23</v>
      </c>
      <c r="AD75" s="349">
        <v>17841</v>
      </c>
      <c r="AE75" s="349">
        <v>26</v>
      </c>
      <c r="AF75" s="349">
        <v>17</v>
      </c>
      <c r="AG75" s="349">
        <v>43</v>
      </c>
    </row>
    <row r="76" spans="1:33" x14ac:dyDescent="0.2">
      <c r="A76" s="344" t="s">
        <v>208</v>
      </c>
      <c r="B76" s="350" t="s">
        <v>209</v>
      </c>
      <c r="C76" s="346">
        <v>5173</v>
      </c>
      <c r="D76" s="346">
        <v>2</v>
      </c>
      <c r="E76" s="346">
        <v>57</v>
      </c>
      <c r="F76" s="346">
        <v>577</v>
      </c>
      <c r="G76" s="346">
        <v>583</v>
      </c>
      <c r="H76" s="346">
        <v>6392</v>
      </c>
      <c r="I76" s="345">
        <v>5809</v>
      </c>
      <c r="J76" s="345">
        <v>0</v>
      </c>
      <c r="K76" s="347">
        <v>105.08</v>
      </c>
      <c r="L76" s="347">
        <v>104.63</v>
      </c>
      <c r="M76" s="347">
        <v>4.3</v>
      </c>
      <c r="N76" s="347">
        <v>106.61</v>
      </c>
      <c r="O76" s="348">
        <v>4410</v>
      </c>
      <c r="P76" s="345">
        <v>97.43</v>
      </c>
      <c r="Q76" s="345">
        <v>96.91</v>
      </c>
      <c r="R76" s="345">
        <v>22.49</v>
      </c>
      <c r="S76" s="345">
        <v>118.99</v>
      </c>
      <c r="T76" s="345">
        <v>556</v>
      </c>
      <c r="U76" s="345">
        <v>136.47</v>
      </c>
      <c r="V76" s="345">
        <v>546</v>
      </c>
      <c r="W76" s="345">
        <v>175.69</v>
      </c>
      <c r="X76" s="345">
        <v>48</v>
      </c>
      <c r="Y76" s="345">
        <v>0</v>
      </c>
      <c r="Z76" s="345">
        <v>5</v>
      </c>
      <c r="AA76" s="345">
        <v>16</v>
      </c>
      <c r="AB76" s="345">
        <v>58</v>
      </c>
      <c r="AC76" s="345">
        <v>15</v>
      </c>
      <c r="AD76" s="349">
        <v>4947</v>
      </c>
      <c r="AE76" s="349">
        <v>19</v>
      </c>
      <c r="AF76" s="349">
        <v>33</v>
      </c>
      <c r="AG76" s="349">
        <v>52</v>
      </c>
    </row>
    <row r="77" spans="1:33" x14ac:dyDescent="0.2">
      <c r="A77" s="344" t="s">
        <v>210</v>
      </c>
      <c r="B77" s="350" t="s">
        <v>211</v>
      </c>
      <c r="C77" s="346">
        <v>45408</v>
      </c>
      <c r="D77" s="346">
        <v>106</v>
      </c>
      <c r="E77" s="346">
        <v>825</v>
      </c>
      <c r="F77" s="346">
        <v>1423</v>
      </c>
      <c r="G77" s="346">
        <v>211</v>
      </c>
      <c r="H77" s="346">
        <v>47973</v>
      </c>
      <c r="I77" s="345">
        <v>47762</v>
      </c>
      <c r="J77" s="345">
        <v>130</v>
      </c>
      <c r="K77" s="347">
        <v>73.25</v>
      </c>
      <c r="L77" s="347">
        <v>73.900000000000006</v>
      </c>
      <c r="M77" s="347">
        <v>8.69</v>
      </c>
      <c r="N77" s="347">
        <v>74.55</v>
      </c>
      <c r="O77" s="348">
        <v>41947</v>
      </c>
      <c r="P77" s="345">
        <v>94.55</v>
      </c>
      <c r="Q77" s="345">
        <v>78.47</v>
      </c>
      <c r="R77" s="345">
        <v>51.17</v>
      </c>
      <c r="S77" s="345">
        <v>143.18</v>
      </c>
      <c r="T77" s="345">
        <v>1942</v>
      </c>
      <c r="U77" s="345">
        <v>90.4</v>
      </c>
      <c r="V77" s="345">
        <v>2854</v>
      </c>
      <c r="W77" s="345">
        <v>143.36000000000001</v>
      </c>
      <c r="X77" s="345">
        <v>153</v>
      </c>
      <c r="Y77" s="345">
        <v>0</v>
      </c>
      <c r="Z77" s="345">
        <v>231</v>
      </c>
      <c r="AA77" s="345">
        <v>115</v>
      </c>
      <c r="AB77" s="345">
        <v>9</v>
      </c>
      <c r="AC77" s="345">
        <v>14</v>
      </c>
      <c r="AD77" s="349">
        <v>44544</v>
      </c>
      <c r="AE77" s="349">
        <v>366</v>
      </c>
      <c r="AF77" s="349">
        <v>402</v>
      </c>
      <c r="AG77" s="349">
        <v>768</v>
      </c>
    </row>
    <row r="78" spans="1:33" x14ac:dyDescent="0.2">
      <c r="A78" s="344" t="s">
        <v>212</v>
      </c>
      <c r="B78" s="350" t="s">
        <v>213</v>
      </c>
      <c r="C78" s="346">
        <v>22230</v>
      </c>
      <c r="D78" s="346">
        <v>1</v>
      </c>
      <c r="E78" s="346">
        <v>704</v>
      </c>
      <c r="F78" s="346">
        <v>1851</v>
      </c>
      <c r="G78" s="346">
        <v>588</v>
      </c>
      <c r="H78" s="346">
        <v>25374</v>
      </c>
      <c r="I78" s="345">
        <v>24786</v>
      </c>
      <c r="J78" s="345">
        <v>41</v>
      </c>
      <c r="K78" s="347">
        <v>86.35</v>
      </c>
      <c r="L78" s="347">
        <v>86.1</v>
      </c>
      <c r="M78" s="347">
        <v>5.25</v>
      </c>
      <c r="N78" s="347">
        <v>91.21</v>
      </c>
      <c r="O78" s="348">
        <v>20007</v>
      </c>
      <c r="P78" s="345">
        <v>88.64</v>
      </c>
      <c r="Q78" s="345">
        <v>87.78</v>
      </c>
      <c r="R78" s="345">
        <v>46.05</v>
      </c>
      <c r="S78" s="345">
        <v>132.79</v>
      </c>
      <c r="T78" s="345">
        <v>2254</v>
      </c>
      <c r="U78" s="345">
        <v>108</v>
      </c>
      <c r="V78" s="345">
        <v>1724</v>
      </c>
      <c r="W78" s="345">
        <v>0</v>
      </c>
      <c r="X78" s="345">
        <v>0</v>
      </c>
      <c r="Y78" s="345">
        <v>0</v>
      </c>
      <c r="Z78" s="345">
        <v>90</v>
      </c>
      <c r="AA78" s="345">
        <v>1</v>
      </c>
      <c r="AB78" s="345">
        <v>8</v>
      </c>
      <c r="AC78" s="345">
        <v>29</v>
      </c>
      <c r="AD78" s="349">
        <v>21941</v>
      </c>
      <c r="AE78" s="349">
        <v>96</v>
      </c>
      <c r="AF78" s="349">
        <v>123</v>
      </c>
      <c r="AG78" s="349">
        <v>219</v>
      </c>
    </row>
    <row r="79" spans="1:33" x14ac:dyDescent="0.2">
      <c r="A79" s="344" t="s">
        <v>214</v>
      </c>
      <c r="B79" s="350" t="s">
        <v>215</v>
      </c>
      <c r="C79" s="346">
        <v>2225</v>
      </c>
      <c r="D79" s="346">
        <v>22</v>
      </c>
      <c r="E79" s="346">
        <v>37</v>
      </c>
      <c r="F79" s="346">
        <v>206</v>
      </c>
      <c r="G79" s="346">
        <v>44</v>
      </c>
      <c r="H79" s="346">
        <v>2534</v>
      </c>
      <c r="I79" s="345">
        <v>2490</v>
      </c>
      <c r="J79" s="345">
        <v>5</v>
      </c>
      <c r="K79" s="347">
        <v>86.86</v>
      </c>
      <c r="L79" s="347">
        <v>83.6</v>
      </c>
      <c r="M79" s="347">
        <v>8.1</v>
      </c>
      <c r="N79" s="347">
        <v>91.97</v>
      </c>
      <c r="O79" s="348">
        <v>1611</v>
      </c>
      <c r="P79" s="345">
        <v>80.16</v>
      </c>
      <c r="Q79" s="345">
        <v>68.78</v>
      </c>
      <c r="R79" s="345">
        <v>45.06</v>
      </c>
      <c r="S79" s="345">
        <v>122.73</v>
      </c>
      <c r="T79" s="345">
        <v>199</v>
      </c>
      <c r="U79" s="345">
        <v>97.54</v>
      </c>
      <c r="V79" s="345">
        <v>584</v>
      </c>
      <c r="W79" s="345">
        <v>155.22</v>
      </c>
      <c r="X79" s="345">
        <v>34</v>
      </c>
      <c r="Y79" s="345">
        <v>0</v>
      </c>
      <c r="Z79" s="345">
        <v>4</v>
      </c>
      <c r="AA79" s="345">
        <v>0</v>
      </c>
      <c r="AB79" s="345">
        <v>0</v>
      </c>
      <c r="AC79" s="345">
        <v>0</v>
      </c>
      <c r="AD79" s="349">
        <v>2209</v>
      </c>
      <c r="AE79" s="349">
        <v>6</v>
      </c>
      <c r="AF79" s="349">
        <v>5</v>
      </c>
      <c r="AG79" s="349">
        <v>11</v>
      </c>
    </row>
    <row r="80" spans="1:33" x14ac:dyDescent="0.2">
      <c r="A80" s="344" t="s">
        <v>216</v>
      </c>
      <c r="B80" s="350" t="s">
        <v>217</v>
      </c>
      <c r="C80" s="346">
        <v>2025</v>
      </c>
      <c r="D80" s="346">
        <v>0</v>
      </c>
      <c r="E80" s="346">
        <v>186</v>
      </c>
      <c r="F80" s="346">
        <v>285</v>
      </c>
      <c r="G80" s="346">
        <v>377</v>
      </c>
      <c r="H80" s="346">
        <v>2873</v>
      </c>
      <c r="I80" s="345">
        <v>2496</v>
      </c>
      <c r="J80" s="345">
        <v>1</v>
      </c>
      <c r="K80" s="347">
        <v>108.65</v>
      </c>
      <c r="L80" s="347">
        <v>106.98</v>
      </c>
      <c r="M80" s="347">
        <v>8.81</v>
      </c>
      <c r="N80" s="347">
        <v>116.75</v>
      </c>
      <c r="O80" s="348">
        <v>1555</v>
      </c>
      <c r="P80" s="345">
        <v>103.43</v>
      </c>
      <c r="Q80" s="345">
        <v>97.36</v>
      </c>
      <c r="R80" s="345">
        <v>30.44</v>
      </c>
      <c r="S80" s="345">
        <v>132.58000000000001</v>
      </c>
      <c r="T80" s="345">
        <v>211</v>
      </c>
      <c r="U80" s="345">
        <v>154.51</v>
      </c>
      <c r="V80" s="345">
        <v>361</v>
      </c>
      <c r="W80" s="345">
        <v>221.01</v>
      </c>
      <c r="X80" s="345">
        <v>49</v>
      </c>
      <c r="Y80" s="345">
        <v>0</v>
      </c>
      <c r="Z80" s="345">
        <v>1</v>
      </c>
      <c r="AA80" s="345">
        <v>0</v>
      </c>
      <c r="AB80" s="345">
        <v>15</v>
      </c>
      <c r="AC80" s="345">
        <v>16</v>
      </c>
      <c r="AD80" s="349">
        <v>1996</v>
      </c>
      <c r="AE80" s="349">
        <v>10</v>
      </c>
      <c r="AF80" s="349">
        <v>6</v>
      </c>
      <c r="AG80" s="349">
        <v>16</v>
      </c>
    </row>
    <row r="81" spans="1:33" x14ac:dyDescent="0.2">
      <c r="A81" s="344" t="s">
        <v>218</v>
      </c>
      <c r="B81" s="350" t="s">
        <v>219</v>
      </c>
      <c r="C81" s="346">
        <v>10879</v>
      </c>
      <c r="D81" s="346">
        <v>56</v>
      </c>
      <c r="E81" s="346">
        <v>1020</v>
      </c>
      <c r="F81" s="346">
        <v>799</v>
      </c>
      <c r="G81" s="346">
        <v>1814</v>
      </c>
      <c r="H81" s="346">
        <v>14568</v>
      </c>
      <c r="I81" s="345">
        <v>12754</v>
      </c>
      <c r="J81" s="345">
        <v>39</v>
      </c>
      <c r="K81" s="347">
        <v>124.37</v>
      </c>
      <c r="L81" s="347">
        <v>124.24</v>
      </c>
      <c r="M81" s="347">
        <v>8.11</v>
      </c>
      <c r="N81" s="347">
        <v>129.91</v>
      </c>
      <c r="O81" s="348">
        <v>8942</v>
      </c>
      <c r="P81" s="345">
        <v>102.1</v>
      </c>
      <c r="Q81" s="345">
        <v>98.06</v>
      </c>
      <c r="R81" s="345">
        <v>53.74</v>
      </c>
      <c r="S81" s="345">
        <v>152.96</v>
      </c>
      <c r="T81" s="345">
        <v>1157</v>
      </c>
      <c r="U81" s="345">
        <v>182.81</v>
      </c>
      <c r="V81" s="345">
        <v>1537</v>
      </c>
      <c r="W81" s="345">
        <v>216.99</v>
      </c>
      <c r="X81" s="345">
        <v>21</v>
      </c>
      <c r="Y81" s="345">
        <v>0</v>
      </c>
      <c r="Z81" s="345">
        <v>2</v>
      </c>
      <c r="AA81" s="345">
        <v>9</v>
      </c>
      <c r="AB81" s="345">
        <v>94</v>
      </c>
      <c r="AC81" s="345">
        <v>54</v>
      </c>
      <c r="AD81" s="349">
        <v>10658</v>
      </c>
      <c r="AE81" s="349">
        <v>39</v>
      </c>
      <c r="AF81" s="349">
        <v>52</v>
      </c>
      <c r="AG81" s="349">
        <v>91</v>
      </c>
    </row>
    <row r="82" spans="1:33" x14ac:dyDescent="0.2">
      <c r="A82" s="344" t="s">
        <v>220</v>
      </c>
      <c r="B82" s="350" t="s">
        <v>221</v>
      </c>
      <c r="C82" s="346">
        <v>2562</v>
      </c>
      <c r="D82" s="346">
        <v>0</v>
      </c>
      <c r="E82" s="346">
        <v>261</v>
      </c>
      <c r="F82" s="346">
        <v>275</v>
      </c>
      <c r="G82" s="346">
        <v>335</v>
      </c>
      <c r="H82" s="346">
        <v>3433</v>
      </c>
      <c r="I82" s="345">
        <v>3098</v>
      </c>
      <c r="J82" s="345">
        <v>14</v>
      </c>
      <c r="K82" s="347">
        <v>117.96</v>
      </c>
      <c r="L82" s="347">
        <v>116.46</v>
      </c>
      <c r="M82" s="347">
        <v>6.69</v>
      </c>
      <c r="N82" s="347">
        <v>123.66</v>
      </c>
      <c r="O82" s="348">
        <v>1965</v>
      </c>
      <c r="P82" s="345">
        <v>113.78</v>
      </c>
      <c r="Q82" s="345">
        <v>97.95</v>
      </c>
      <c r="R82" s="345">
        <v>32.130000000000003</v>
      </c>
      <c r="S82" s="345">
        <v>144.94</v>
      </c>
      <c r="T82" s="345">
        <v>432</v>
      </c>
      <c r="U82" s="345">
        <v>160.96</v>
      </c>
      <c r="V82" s="345">
        <v>459</v>
      </c>
      <c r="W82" s="345">
        <v>156.91999999999999</v>
      </c>
      <c r="X82" s="345">
        <v>8</v>
      </c>
      <c r="Y82" s="345">
        <v>0</v>
      </c>
      <c r="Z82" s="345">
        <v>1</v>
      </c>
      <c r="AA82" s="345">
        <v>2</v>
      </c>
      <c r="AB82" s="345">
        <v>18</v>
      </c>
      <c r="AC82" s="345">
        <v>15</v>
      </c>
      <c r="AD82" s="349">
        <v>2529</v>
      </c>
      <c r="AE82" s="349">
        <v>7</v>
      </c>
      <c r="AF82" s="349">
        <v>2</v>
      </c>
      <c r="AG82" s="349">
        <v>9</v>
      </c>
    </row>
    <row r="83" spans="1:33" x14ac:dyDescent="0.2">
      <c r="A83" s="344" t="s">
        <v>222</v>
      </c>
      <c r="B83" s="350" t="s">
        <v>223</v>
      </c>
      <c r="C83" s="346">
        <v>1808</v>
      </c>
      <c r="D83" s="346">
        <v>39</v>
      </c>
      <c r="E83" s="346">
        <v>286</v>
      </c>
      <c r="F83" s="346">
        <v>505</v>
      </c>
      <c r="G83" s="346">
        <v>116</v>
      </c>
      <c r="H83" s="346">
        <v>2754</v>
      </c>
      <c r="I83" s="345">
        <v>2638</v>
      </c>
      <c r="J83" s="345">
        <v>59</v>
      </c>
      <c r="K83" s="347">
        <v>80.87</v>
      </c>
      <c r="L83" s="347">
        <v>79.34</v>
      </c>
      <c r="M83" s="347">
        <v>5.23</v>
      </c>
      <c r="N83" s="347">
        <v>84.23</v>
      </c>
      <c r="O83" s="348">
        <v>1199</v>
      </c>
      <c r="P83" s="345">
        <v>87.54</v>
      </c>
      <c r="Q83" s="345">
        <v>74.819999999999993</v>
      </c>
      <c r="R83" s="345">
        <v>43.72</v>
      </c>
      <c r="S83" s="345">
        <v>131.26</v>
      </c>
      <c r="T83" s="345">
        <v>557</v>
      </c>
      <c r="U83" s="345">
        <v>94.12</v>
      </c>
      <c r="V83" s="345">
        <v>318</v>
      </c>
      <c r="W83" s="345">
        <v>91.37</v>
      </c>
      <c r="X83" s="345">
        <v>10</v>
      </c>
      <c r="Y83" s="345">
        <v>2</v>
      </c>
      <c r="Z83" s="345">
        <v>1</v>
      </c>
      <c r="AA83" s="345">
        <v>0</v>
      </c>
      <c r="AB83" s="345">
        <v>19</v>
      </c>
      <c r="AC83" s="345">
        <v>2</v>
      </c>
      <c r="AD83" s="349">
        <v>1591</v>
      </c>
      <c r="AE83" s="349">
        <v>20</v>
      </c>
      <c r="AF83" s="349">
        <v>4</v>
      </c>
      <c r="AG83" s="349">
        <v>24</v>
      </c>
    </row>
    <row r="84" spans="1:33" x14ac:dyDescent="0.2">
      <c r="A84" s="344" t="s">
        <v>224</v>
      </c>
      <c r="B84" s="350" t="s">
        <v>225</v>
      </c>
      <c r="C84" s="346">
        <v>1582</v>
      </c>
      <c r="D84" s="346">
        <v>12</v>
      </c>
      <c r="E84" s="346">
        <v>148</v>
      </c>
      <c r="F84" s="346">
        <v>107</v>
      </c>
      <c r="G84" s="346">
        <v>654</v>
      </c>
      <c r="H84" s="346">
        <v>2503</v>
      </c>
      <c r="I84" s="345">
        <v>1849</v>
      </c>
      <c r="J84" s="345">
        <v>3</v>
      </c>
      <c r="K84" s="347">
        <v>109.67</v>
      </c>
      <c r="L84" s="347">
        <v>107.91</v>
      </c>
      <c r="M84" s="347">
        <v>5.81</v>
      </c>
      <c r="N84" s="347">
        <v>114.97</v>
      </c>
      <c r="O84" s="348">
        <v>858</v>
      </c>
      <c r="P84" s="345">
        <v>123.63</v>
      </c>
      <c r="Q84" s="345">
        <v>88.69</v>
      </c>
      <c r="R84" s="345">
        <v>38.61</v>
      </c>
      <c r="S84" s="345">
        <v>161.68</v>
      </c>
      <c r="T84" s="345">
        <v>139</v>
      </c>
      <c r="U84" s="345">
        <v>151.71</v>
      </c>
      <c r="V84" s="345">
        <v>287</v>
      </c>
      <c r="W84" s="345">
        <v>0</v>
      </c>
      <c r="X84" s="345">
        <v>0</v>
      </c>
      <c r="Y84" s="345">
        <v>1</v>
      </c>
      <c r="Z84" s="345">
        <v>1</v>
      </c>
      <c r="AA84" s="345">
        <v>0</v>
      </c>
      <c r="AB84" s="345">
        <v>103</v>
      </c>
      <c r="AC84" s="345">
        <v>22</v>
      </c>
      <c r="AD84" s="349">
        <v>1203</v>
      </c>
      <c r="AE84" s="349">
        <v>2</v>
      </c>
      <c r="AF84" s="349">
        <v>7</v>
      </c>
      <c r="AG84" s="349">
        <v>9</v>
      </c>
    </row>
    <row r="85" spans="1:33" x14ac:dyDescent="0.2">
      <c r="A85" s="344" t="s">
        <v>226</v>
      </c>
      <c r="B85" s="350" t="s">
        <v>227</v>
      </c>
      <c r="C85" s="346">
        <v>5922</v>
      </c>
      <c r="D85" s="346">
        <v>18</v>
      </c>
      <c r="E85" s="346">
        <v>531</v>
      </c>
      <c r="F85" s="346">
        <v>1319</v>
      </c>
      <c r="G85" s="346">
        <v>539</v>
      </c>
      <c r="H85" s="346">
        <v>8329</v>
      </c>
      <c r="I85" s="345">
        <v>7790</v>
      </c>
      <c r="J85" s="345">
        <v>7</v>
      </c>
      <c r="K85" s="347">
        <v>89.15</v>
      </c>
      <c r="L85" s="347">
        <v>88.01</v>
      </c>
      <c r="M85" s="347">
        <v>6.02</v>
      </c>
      <c r="N85" s="347">
        <v>93.38</v>
      </c>
      <c r="O85" s="348">
        <v>5425</v>
      </c>
      <c r="P85" s="345">
        <v>81.75</v>
      </c>
      <c r="Q85" s="345">
        <v>82.34</v>
      </c>
      <c r="R85" s="345">
        <v>45.11</v>
      </c>
      <c r="S85" s="345">
        <v>124.49</v>
      </c>
      <c r="T85" s="345">
        <v>1426</v>
      </c>
      <c r="U85" s="345">
        <v>100.03</v>
      </c>
      <c r="V85" s="345">
        <v>286</v>
      </c>
      <c r="W85" s="345">
        <v>155.82</v>
      </c>
      <c r="X85" s="345">
        <v>101</v>
      </c>
      <c r="Y85" s="345">
        <v>0</v>
      </c>
      <c r="Z85" s="345">
        <v>0</v>
      </c>
      <c r="AA85" s="345">
        <v>0</v>
      </c>
      <c r="AB85" s="345">
        <v>5</v>
      </c>
      <c r="AC85" s="345">
        <v>24</v>
      </c>
      <c r="AD85" s="349">
        <v>5777</v>
      </c>
      <c r="AE85" s="349">
        <v>35</v>
      </c>
      <c r="AF85" s="349">
        <v>33</v>
      </c>
      <c r="AG85" s="349">
        <v>68</v>
      </c>
    </row>
    <row r="86" spans="1:33" x14ac:dyDescent="0.2">
      <c r="A86" s="344" t="s">
        <v>228</v>
      </c>
      <c r="B86" s="350" t="s">
        <v>229</v>
      </c>
      <c r="C86" s="346">
        <v>2971</v>
      </c>
      <c r="D86" s="346">
        <v>0</v>
      </c>
      <c r="E86" s="346">
        <v>61</v>
      </c>
      <c r="F86" s="346">
        <v>979</v>
      </c>
      <c r="G86" s="346">
        <v>166</v>
      </c>
      <c r="H86" s="346">
        <v>4177</v>
      </c>
      <c r="I86" s="345">
        <v>4011</v>
      </c>
      <c r="J86" s="345">
        <v>0</v>
      </c>
      <c r="K86" s="347">
        <v>95.13</v>
      </c>
      <c r="L86" s="347">
        <v>94.59</v>
      </c>
      <c r="M86" s="347">
        <v>2.39</v>
      </c>
      <c r="N86" s="347">
        <v>97.16</v>
      </c>
      <c r="O86" s="348">
        <v>2704</v>
      </c>
      <c r="P86" s="345">
        <v>85.34</v>
      </c>
      <c r="Q86" s="345">
        <v>84.46</v>
      </c>
      <c r="R86" s="345">
        <v>10.25</v>
      </c>
      <c r="S86" s="345">
        <v>95.2</v>
      </c>
      <c r="T86" s="345">
        <v>1028</v>
      </c>
      <c r="U86" s="345">
        <v>114.1</v>
      </c>
      <c r="V86" s="345">
        <v>159</v>
      </c>
      <c r="W86" s="345">
        <v>199.42</v>
      </c>
      <c r="X86" s="345">
        <v>2</v>
      </c>
      <c r="Y86" s="345">
        <v>0</v>
      </c>
      <c r="Z86" s="345">
        <v>15</v>
      </c>
      <c r="AA86" s="345">
        <v>0</v>
      </c>
      <c r="AB86" s="345">
        <v>12</v>
      </c>
      <c r="AC86" s="345">
        <v>2</v>
      </c>
      <c r="AD86" s="349">
        <v>2856</v>
      </c>
      <c r="AE86" s="349">
        <v>18</v>
      </c>
      <c r="AF86" s="349">
        <v>31</v>
      </c>
      <c r="AG86" s="349">
        <v>49</v>
      </c>
    </row>
    <row r="87" spans="1:33" x14ac:dyDescent="0.2">
      <c r="A87" s="344" t="s">
        <v>230</v>
      </c>
      <c r="B87" s="350" t="s">
        <v>231</v>
      </c>
      <c r="C87" s="346">
        <v>2255</v>
      </c>
      <c r="D87" s="346">
        <v>0</v>
      </c>
      <c r="E87" s="346">
        <v>694</v>
      </c>
      <c r="F87" s="346">
        <v>892</v>
      </c>
      <c r="G87" s="346">
        <v>224</v>
      </c>
      <c r="H87" s="346">
        <v>4065</v>
      </c>
      <c r="I87" s="345">
        <v>3841</v>
      </c>
      <c r="J87" s="345">
        <v>0</v>
      </c>
      <c r="K87" s="347">
        <v>82.77</v>
      </c>
      <c r="L87" s="347">
        <v>80.86</v>
      </c>
      <c r="M87" s="347">
        <v>5.73</v>
      </c>
      <c r="N87" s="347">
        <v>86.17</v>
      </c>
      <c r="O87" s="348">
        <v>1737</v>
      </c>
      <c r="P87" s="345">
        <v>98.34</v>
      </c>
      <c r="Q87" s="345">
        <v>77.83</v>
      </c>
      <c r="R87" s="345">
        <v>30.91</v>
      </c>
      <c r="S87" s="345">
        <v>128.25</v>
      </c>
      <c r="T87" s="345">
        <v>1289</v>
      </c>
      <c r="U87" s="345">
        <v>92.44</v>
      </c>
      <c r="V87" s="345">
        <v>398</v>
      </c>
      <c r="W87" s="345">
        <v>141.54</v>
      </c>
      <c r="X87" s="345">
        <v>89</v>
      </c>
      <c r="Y87" s="345">
        <v>0</v>
      </c>
      <c r="Z87" s="345">
        <v>0</v>
      </c>
      <c r="AA87" s="345">
        <v>0</v>
      </c>
      <c r="AB87" s="345">
        <v>11</v>
      </c>
      <c r="AC87" s="345">
        <v>5</v>
      </c>
      <c r="AD87" s="349">
        <v>2197</v>
      </c>
      <c r="AE87" s="349">
        <v>20</v>
      </c>
      <c r="AF87" s="349">
        <v>12</v>
      </c>
      <c r="AG87" s="349">
        <v>32</v>
      </c>
    </row>
    <row r="88" spans="1:33" x14ac:dyDescent="0.2">
      <c r="A88" s="344" t="s">
        <v>232</v>
      </c>
      <c r="B88" s="350" t="s">
        <v>233</v>
      </c>
      <c r="C88" s="346">
        <v>15868</v>
      </c>
      <c r="D88" s="346">
        <v>39</v>
      </c>
      <c r="E88" s="346">
        <v>697</v>
      </c>
      <c r="F88" s="346">
        <v>4130</v>
      </c>
      <c r="G88" s="346">
        <v>970</v>
      </c>
      <c r="H88" s="346">
        <v>21704</v>
      </c>
      <c r="I88" s="345">
        <v>20734</v>
      </c>
      <c r="J88" s="345">
        <v>3</v>
      </c>
      <c r="K88" s="347">
        <v>100.71</v>
      </c>
      <c r="L88" s="347">
        <v>100.44</v>
      </c>
      <c r="M88" s="347">
        <v>3.66</v>
      </c>
      <c r="N88" s="347">
        <v>103.06</v>
      </c>
      <c r="O88" s="348">
        <v>14534</v>
      </c>
      <c r="P88" s="345">
        <v>89.58</v>
      </c>
      <c r="Q88" s="345">
        <v>89.6</v>
      </c>
      <c r="R88" s="345">
        <v>19.88</v>
      </c>
      <c r="S88" s="345">
        <v>109.11</v>
      </c>
      <c r="T88" s="345">
        <v>4257</v>
      </c>
      <c r="U88" s="345">
        <v>136</v>
      </c>
      <c r="V88" s="345">
        <v>1242</v>
      </c>
      <c r="W88" s="345">
        <v>151.79</v>
      </c>
      <c r="X88" s="345">
        <v>37</v>
      </c>
      <c r="Y88" s="345">
        <v>14</v>
      </c>
      <c r="Z88" s="345">
        <v>20</v>
      </c>
      <c r="AA88" s="345">
        <v>0</v>
      </c>
      <c r="AB88" s="345">
        <v>84</v>
      </c>
      <c r="AC88" s="345">
        <v>9</v>
      </c>
      <c r="AD88" s="349">
        <v>15758</v>
      </c>
      <c r="AE88" s="349">
        <v>35</v>
      </c>
      <c r="AF88" s="349">
        <v>46</v>
      </c>
      <c r="AG88" s="349">
        <v>81</v>
      </c>
    </row>
    <row r="89" spans="1:33" x14ac:dyDescent="0.2">
      <c r="A89" s="344" t="s">
        <v>234</v>
      </c>
      <c r="B89" s="350" t="s">
        <v>235</v>
      </c>
      <c r="C89" s="346">
        <v>2101</v>
      </c>
      <c r="D89" s="346">
        <v>5</v>
      </c>
      <c r="E89" s="346">
        <v>115</v>
      </c>
      <c r="F89" s="346">
        <v>458</v>
      </c>
      <c r="G89" s="346">
        <v>207</v>
      </c>
      <c r="H89" s="346">
        <v>2886</v>
      </c>
      <c r="I89" s="345">
        <v>2679</v>
      </c>
      <c r="J89" s="345">
        <v>0</v>
      </c>
      <c r="K89" s="347">
        <v>90.72</v>
      </c>
      <c r="L89" s="347">
        <v>89.63</v>
      </c>
      <c r="M89" s="347">
        <v>6.47</v>
      </c>
      <c r="N89" s="347">
        <v>95.59</v>
      </c>
      <c r="O89" s="348">
        <v>1799</v>
      </c>
      <c r="P89" s="345">
        <v>103.41</v>
      </c>
      <c r="Q89" s="345">
        <v>89.89</v>
      </c>
      <c r="R89" s="345">
        <v>39.29</v>
      </c>
      <c r="S89" s="345">
        <v>141.77000000000001</v>
      </c>
      <c r="T89" s="345">
        <v>555</v>
      </c>
      <c r="U89" s="345">
        <v>117.32</v>
      </c>
      <c r="V89" s="345">
        <v>190</v>
      </c>
      <c r="W89" s="345">
        <v>0</v>
      </c>
      <c r="X89" s="345">
        <v>0</v>
      </c>
      <c r="Y89" s="345">
        <v>0</v>
      </c>
      <c r="Z89" s="345">
        <v>0</v>
      </c>
      <c r="AA89" s="345">
        <v>0</v>
      </c>
      <c r="AB89" s="345">
        <v>26</v>
      </c>
      <c r="AC89" s="345">
        <v>0</v>
      </c>
      <c r="AD89" s="349">
        <v>2022</v>
      </c>
      <c r="AE89" s="349">
        <v>3</v>
      </c>
      <c r="AF89" s="349">
        <v>8</v>
      </c>
      <c r="AG89" s="349">
        <v>11</v>
      </c>
    </row>
    <row r="90" spans="1:33" x14ac:dyDescent="0.2">
      <c r="A90" s="344" t="s">
        <v>236</v>
      </c>
      <c r="B90" s="350" t="s">
        <v>237</v>
      </c>
      <c r="C90" s="346">
        <v>3551</v>
      </c>
      <c r="D90" s="346">
        <v>0</v>
      </c>
      <c r="E90" s="346">
        <v>417</v>
      </c>
      <c r="F90" s="346">
        <v>819</v>
      </c>
      <c r="G90" s="346">
        <v>707</v>
      </c>
      <c r="H90" s="346">
        <v>5494</v>
      </c>
      <c r="I90" s="345">
        <v>4787</v>
      </c>
      <c r="J90" s="345">
        <v>3</v>
      </c>
      <c r="K90" s="347">
        <v>94.87</v>
      </c>
      <c r="L90" s="347">
        <v>93.83</v>
      </c>
      <c r="M90" s="347">
        <v>6.46</v>
      </c>
      <c r="N90" s="347">
        <v>100.16</v>
      </c>
      <c r="O90" s="348">
        <v>3255</v>
      </c>
      <c r="P90" s="345">
        <v>96.19</v>
      </c>
      <c r="Q90" s="345">
        <v>94.51</v>
      </c>
      <c r="R90" s="345">
        <v>44.15</v>
      </c>
      <c r="S90" s="345">
        <v>139.33000000000001</v>
      </c>
      <c r="T90" s="345">
        <v>829</v>
      </c>
      <c r="U90" s="345">
        <v>109.19</v>
      </c>
      <c r="V90" s="345">
        <v>216</v>
      </c>
      <c r="W90" s="345">
        <v>181.27</v>
      </c>
      <c r="X90" s="345">
        <v>158</v>
      </c>
      <c r="Y90" s="345">
        <v>0</v>
      </c>
      <c r="Z90" s="345">
        <v>4</v>
      </c>
      <c r="AA90" s="345">
        <v>1</v>
      </c>
      <c r="AB90" s="345">
        <v>3</v>
      </c>
      <c r="AC90" s="345">
        <v>17</v>
      </c>
      <c r="AD90" s="349">
        <v>3551</v>
      </c>
      <c r="AE90" s="349">
        <v>19</v>
      </c>
      <c r="AF90" s="349">
        <v>12</v>
      </c>
      <c r="AG90" s="349">
        <v>31</v>
      </c>
    </row>
    <row r="91" spans="1:33" x14ac:dyDescent="0.2">
      <c r="A91" s="344" t="s">
        <v>238</v>
      </c>
      <c r="B91" s="350" t="s">
        <v>239</v>
      </c>
      <c r="C91" s="346">
        <v>9484</v>
      </c>
      <c r="D91" s="346">
        <v>309</v>
      </c>
      <c r="E91" s="346">
        <v>878</v>
      </c>
      <c r="F91" s="346">
        <v>786</v>
      </c>
      <c r="G91" s="346">
        <v>2037</v>
      </c>
      <c r="H91" s="346">
        <v>13494</v>
      </c>
      <c r="I91" s="345">
        <v>11457</v>
      </c>
      <c r="J91" s="345">
        <v>90</v>
      </c>
      <c r="K91" s="347">
        <v>132.16</v>
      </c>
      <c r="L91" s="347">
        <v>128.91999999999999</v>
      </c>
      <c r="M91" s="347">
        <v>9.91</v>
      </c>
      <c r="N91" s="347">
        <v>139.19</v>
      </c>
      <c r="O91" s="348">
        <v>8343</v>
      </c>
      <c r="P91" s="345">
        <v>118.73</v>
      </c>
      <c r="Q91" s="345">
        <v>112.36</v>
      </c>
      <c r="R91" s="345">
        <v>43.44</v>
      </c>
      <c r="S91" s="345">
        <v>157.1</v>
      </c>
      <c r="T91" s="345">
        <v>1096</v>
      </c>
      <c r="U91" s="345">
        <v>195.11</v>
      </c>
      <c r="V91" s="345">
        <v>698</v>
      </c>
      <c r="W91" s="345">
        <v>199.64</v>
      </c>
      <c r="X91" s="345">
        <v>34</v>
      </c>
      <c r="Y91" s="345">
        <v>1</v>
      </c>
      <c r="Z91" s="345">
        <v>2</v>
      </c>
      <c r="AA91" s="345">
        <v>5</v>
      </c>
      <c r="AB91" s="345">
        <v>37</v>
      </c>
      <c r="AC91" s="345">
        <v>88</v>
      </c>
      <c r="AD91" s="349">
        <v>9189</v>
      </c>
      <c r="AE91" s="349">
        <v>37</v>
      </c>
      <c r="AF91" s="349">
        <v>48</v>
      </c>
      <c r="AG91" s="349">
        <v>85</v>
      </c>
    </row>
    <row r="92" spans="1:33" x14ac:dyDescent="0.2">
      <c r="A92" s="344" t="s">
        <v>240</v>
      </c>
      <c r="B92" s="350" t="s">
        <v>241</v>
      </c>
      <c r="C92" s="346">
        <v>4035</v>
      </c>
      <c r="D92" s="346">
        <v>5</v>
      </c>
      <c r="E92" s="346">
        <v>111</v>
      </c>
      <c r="F92" s="346">
        <v>1030</v>
      </c>
      <c r="G92" s="346">
        <v>393</v>
      </c>
      <c r="H92" s="346">
        <v>5574</v>
      </c>
      <c r="I92" s="345">
        <v>5181</v>
      </c>
      <c r="J92" s="345">
        <v>3</v>
      </c>
      <c r="K92" s="347">
        <v>103.34</v>
      </c>
      <c r="L92" s="347">
        <v>96.64</v>
      </c>
      <c r="M92" s="347">
        <v>3.02</v>
      </c>
      <c r="N92" s="347">
        <v>104.49</v>
      </c>
      <c r="O92" s="348">
        <v>3666</v>
      </c>
      <c r="P92" s="345">
        <v>96.05</v>
      </c>
      <c r="Q92" s="345">
        <v>91.18</v>
      </c>
      <c r="R92" s="345">
        <v>19.66</v>
      </c>
      <c r="S92" s="345">
        <v>115.66</v>
      </c>
      <c r="T92" s="345">
        <v>1130</v>
      </c>
      <c r="U92" s="345">
        <v>123.78</v>
      </c>
      <c r="V92" s="345">
        <v>326</v>
      </c>
      <c r="W92" s="345">
        <v>0</v>
      </c>
      <c r="X92" s="345">
        <v>0</v>
      </c>
      <c r="Y92" s="345">
        <v>0</v>
      </c>
      <c r="Z92" s="345">
        <v>4</v>
      </c>
      <c r="AA92" s="345">
        <v>0</v>
      </c>
      <c r="AB92" s="345">
        <v>5</v>
      </c>
      <c r="AC92" s="345">
        <v>11</v>
      </c>
      <c r="AD92" s="349">
        <v>4027</v>
      </c>
      <c r="AE92" s="349">
        <v>1</v>
      </c>
      <c r="AF92" s="349">
        <v>9</v>
      </c>
      <c r="AG92" s="349">
        <v>10</v>
      </c>
    </row>
    <row r="93" spans="1:33" x14ac:dyDescent="0.2">
      <c r="A93" s="344" t="s">
        <v>242</v>
      </c>
      <c r="B93" s="350" t="s">
        <v>243</v>
      </c>
      <c r="C93" s="346">
        <v>2010</v>
      </c>
      <c r="D93" s="346">
        <v>0</v>
      </c>
      <c r="E93" s="346">
        <v>143</v>
      </c>
      <c r="F93" s="346">
        <v>168</v>
      </c>
      <c r="G93" s="346">
        <v>445</v>
      </c>
      <c r="H93" s="346">
        <v>2766</v>
      </c>
      <c r="I93" s="345">
        <v>2321</v>
      </c>
      <c r="J93" s="345">
        <v>9</v>
      </c>
      <c r="K93" s="347">
        <v>95.24</v>
      </c>
      <c r="L93" s="347">
        <v>92.83</v>
      </c>
      <c r="M93" s="347">
        <v>3.73</v>
      </c>
      <c r="N93" s="347">
        <v>98.03</v>
      </c>
      <c r="O93" s="348">
        <v>1411</v>
      </c>
      <c r="P93" s="345">
        <v>96.52</v>
      </c>
      <c r="Q93" s="345">
        <v>74.17</v>
      </c>
      <c r="R93" s="345">
        <v>48.02</v>
      </c>
      <c r="S93" s="345">
        <v>138.27000000000001</v>
      </c>
      <c r="T93" s="345">
        <v>222</v>
      </c>
      <c r="U93" s="345">
        <v>127.44</v>
      </c>
      <c r="V93" s="345">
        <v>441</v>
      </c>
      <c r="W93" s="345">
        <v>0</v>
      </c>
      <c r="X93" s="345">
        <v>0</v>
      </c>
      <c r="Y93" s="345">
        <v>0</v>
      </c>
      <c r="Z93" s="345">
        <v>0</v>
      </c>
      <c r="AA93" s="345">
        <v>0</v>
      </c>
      <c r="AB93" s="345">
        <v>34</v>
      </c>
      <c r="AC93" s="345">
        <v>5</v>
      </c>
      <c r="AD93" s="349">
        <v>1943</v>
      </c>
      <c r="AE93" s="349">
        <v>3</v>
      </c>
      <c r="AF93" s="349">
        <v>4</v>
      </c>
      <c r="AG93" s="349">
        <v>7</v>
      </c>
    </row>
    <row r="94" spans="1:33" x14ac:dyDescent="0.2">
      <c r="A94" s="344" t="s">
        <v>244</v>
      </c>
      <c r="B94" s="350" t="s">
        <v>245</v>
      </c>
      <c r="C94" s="346">
        <v>5281</v>
      </c>
      <c r="D94" s="346">
        <v>18</v>
      </c>
      <c r="E94" s="346">
        <v>97</v>
      </c>
      <c r="F94" s="346">
        <v>820</v>
      </c>
      <c r="G94" s="346">
        <v>420</v>
      </c>
      <c r="H94" s="346">
        <v>6636</v>
      </c>
      <c r="I94" s="345">
        <v>6216</v>
      </c>
      <c r="J94" s="345">
        <v>0</v>
      </c>
      <c r="K94" s="347">
        <v>116.9</v>
      </c>
      <c r="L94" s="347">
        <v>115</v>
      </c>
      <c r="M94" s="347">
        <v>4.55</v>
      </c>
      <c r="N94" s="347">
        <v>118.3</v>
      </c>
      <c r="O94" s="348">
        <v>4241</v>
      </c>
      <c r="P94" s="345">
        <v>96.71</v>
      </c>
      <c r="Q94" s="345">
        <v>94.52</v>
      </c>
      <c r="R94" s="345">
        <v>14.4</v>
      </c>
      <c r="S94" s="345">
        <v>110.64</v>
      </c>
      <c r="T94" s="345">
        <v>881</v>
      </c>
      <c r="U94" s="345">
        <v>145.96</v>
      </c>
      <c r="V94" s="345">
        <v>657</v>
      </c>
      <c r="W94" s="345">
        <v>144.36000000000001</v>
      </c>
      <c r="X94" s="345">
        <v>1</v>
      </c>
      <c r="Y94" s="345">
        <v>223</v>
      </c>
      <c r="Z94" s="345">
        <v>3</v>
      </c>
      <c r="AA94" s="345">
        <v>0</v>
      </c>
      <c r="AB94" s="345">
        <v>31</v>
      </c>
      <c r="AC94" s="345">
        <v>21</v>
      </c>
      <c r="AD94" s="349">
        <v>5000</v>
      </c>
      <c r="AE94" s="349">
        <v>17</v>
      </c>
      <c r="AF94" s="349">
        <v>8</v>
      </c>
      <c r="AG94" s="349">
        <v>25</v>
      </c>
    </row>
    <row r="95" spans="1:33" x14ac:dyDescent="0.2">
      <c r="A95" s="344" t="s">
        <v>246</v>
      </c>
      <c r="B95" s="350" t="s">
        <v>247</v>
      </c>
      <c r="C95" s="346">
        <v>6649</v>
      </c>
      <c r="D95" s="346">
        <v>6</v>
      </c>
      <c r="E95" s="346">
        <v>196</v>
      </c>
      <c r="F95" s="346">
        <v>1060</v>
      </c>
      <c r="G95" s="346">
        <v>572</v>
      </c>
      <c r="H95" s="346">
        <v>8483</v>
      </c>
      <c r="I95" s="345">
        <v>7911</v>
      </c>
      <c r="J95" s="345">
        <v>11</v>
      </c>
      <c r="K95" s="347">
        <v>117.71</v>
      </c>
      <c r="L95" s="347">
        <v>117.32</v>
      </c>
      <c r="M95" s="347">
        <v>5.2</v>
      </c>
      <c r="N95" s="347">
        <v>119.53</v>
      </c>
      <c r="O95" s="348">
        <v>5213</v>
      </c>
      <c r="P95" s="345">
        <v>104.57</v>
      </c>
      <c r="Q95" s="345">
        <v>103.5</v>
      </c>
      <c r="R95" s="345">
        <v>26.44</v>
      </c>
      <c r="S95" s="345">
        <v>129.82</v>
      </c>
      <c r="T95" s="345">
        <v>785</v>
      </c>
      <c r="U95" s="345">
        <v>157.41</v>
      </c>
      <c r="V95" s="345">
        <v>1322</v>
      </c>
      <c r="W95" s="345">
        <v>0</v>
      </c>
      <c r="X95" s="345">
        <v>0</v>
      </c>
      <c r="Y95" s="345">
        <v>0</v>
      </c>
      <c r="Z95" s="345">
        <v>19</v>
      </c>
      <c r="AA95" s="345">
        <v>0</v>
      </c>
      <c r="AB95" s="345">
        <v>58</v>
      </c>
      <c r="AC95" s="345">
        <v>12</v>
      </c>
      <c r="AD95" s="349">
        <v>6649</v>
      </c>
      <c r="AE95" s="349">
        <v>41</v>
      </c>
      <c r="AF95" s="349">
        <v>9</v>
      </c>
      <c r="AG95" s="349">
        <v>50</v>
      </c>
    </row>
    <row r="96" spans="1:33" x14ac:dyDescent="0.2">
      <c r="A96" s="344" t="s">
        <v>248</v>
      </c>
      <c r="B96" s="350" t="s">
        <v>249</v>
      </c>
      <c r="C96" s="346">
        <v>6329</v>
      </c>
      <c r="D96" s="346">
        <v>11</v>
      </c>
      <c r="E96" s="346">
        <v>207</v>
      </c>
      <c r="F96" s="346">
        <v>826</v>
      </c>
      <c r="G96" s="346">
        <v>480</v>
      </c>
      <c r="H96" s="346">
        <v>7853</v>
      </c>
      <c r="I96" s="345">
        <v>7373</v>
      </c>
      <c r="J96" s="345">
        <v>0</v>
      </c>
      <c r="K96" s="347">
        <v>84.26</v>
      </c>
      <c r="L96" s="347">
        <v>84.35</v>
      </c>
      <c r="M96" s="347">
        <v>2.2200000000000002</v>
      </c>
      <c r="N96" s="347">
        <v>86.06</v>
      </c>
      <c r="O96" s="348">
        <v>5068</v>
      </c>
      <c r="P96" s="345">
        <v>81.91</v>
      </c>
      <c r="Q96" s="345">
        <v>78.040000000000006</v>
      </c>
      <c r="R96" s="345">
        <v>23.97</v>
      </c>
      <c r="S96" s="345">
        <v>105.06</v>
      </c>
      <c r="T96" s="345">
        <v>987</v>
      </c>
      <c r="U96" s="345">
        <v>92.69</v>
      </c>
      <c r="V96" s="345">
        <v>1079</v>
      </c>
      <c r="W96" s="345">
        <v>145.65</v>
      </c>
      <c r="X96" s="345">
        <v>40</v>
      </c>
      <c r="Y96" s="345">
        <v>0</v>
      </c>
      <c r="Z96" s="345">
        <v>11</v>
      </c>
      <c r="AA96" s="345">
        <v>0</v>
      </c>
      <c r="AB96" s="345">
        <v>57</v>
      </c>
      <c r="AC96" s="345">
        <v>3</v>
      </c>
      <c r="AD96" s="349">
        <v>6202</v>
      </c>
      <c r="AE96" s="349">
        <v>30</v>
      </c>
      <c r="AF96" s="349">
        <v>10</v>
      </c>
      <c r="AG96" s="349">
        <v>40</v>
      </c>
    </row>
    <row r="97" spans="1:33" x14ac:dyDescent="0.2">
      <c r="A97" s="344" t="s">
        <v>250</v>
      </c>
      <c r="B97" s="350" t="s">
        <v>251</v>
      </c>
      <c r="C97" s="346">
        <v>1821</v>
      </c>
      <c r="D97" s="346">
        <v>1</v>
      </c>
      <c r="E97" s="346">
        <v>230</v>
      </c>
      <c r="F97" s="346">
        <v>633</v>
      </c>
      <c r="G97" s="346">
        <v>117</v>
      </c>
      <c r="H97" s="346">
        <v>2802</v>
      </c>
      <c r="I97" s="345">
        <v>2685</v>
      </c>
      <c r="J97" s="345">
        <v>8</v>
      </c>
      <c r="K97" s="347">
        <v>90.5</v>
      </c>
      <c r="L97" s="347">
        <v>90.14</v>
      </c>
      <c r="M97" s="347">
        <v>4.1399999999999997</v>
      </c>
      <c r="N97" s="347">
        <v>93.19</v>
      </c>
      <c r="O97" s="348">
        <v>1395</v>
      </c>
      <c r="P97" s="345">
        <v>87.26</v>
      </c>
      <c r="Q97" s="345">
        <v>78.92</v>
      </c>
      <c r="R97" s="345">
        <v>34.71</v>
      </c>
      <c r="S97" s="345">
        <v>121.26</v>
      </c>
      <c r="T97" s="345">
        <v>733</v>
      </c>
      <c r="U97" s="345">
        <v>103.44</v>
      </c>
      <c r="V97" s="345">
        <v>161</v>
      </c>
      <c r="W97" s="345">
        <v>121.62</v>
      </c>
      <c r="X97" s="345">
        <v>30</v>
      </c>
      <c r="Y97" s="345">
        <v>20</v>
      </c>
      <c r="Z97" s="345">
        <v>1</v>
      </c>
      <c r="AA97" s="345">
        <v>0</v>
      </c>
      <c r="AB97" s="345">
        <v>9</v>
      </c>
      <c r="AC97" s="345">
        <v>0</v>
      </c>
      <c r="AD97" s="349">
        <v>1682</v>
      </c>
      <c r="AE97" s="349">
        <v>13</v>
      </c>
      <c r="AF97" s="349">
        <v>3</v>
      </c>
      <c r="AG97" s="349">
        <v>16</v>
      </c>
    </row>
    <row r="98" spans="1:33" x14ac:dyDescent="0.2">
      <c r="A98" s="344" t="s">
        <v>252</v>
      </c>
      <c r="B98" s="350" t="s">
        <v>253</v>
      </c>
      <c r="C98" s="346">
        <v>6029</v>
      </c>
      <c r="D98" s="346">
        <v>4</v>
      </c>
      <c r="E98" s="346">
        <v>143</v>
      </c>
      <c r="F98" s="346">
        <v>465</v>
      </c>
      <c r="G98" s="346">
        <v>174</v>
      </c>
      <c r="H98" s="346">
        <v>6815</v>
      </c>
      <c r="I98" s="345">
        <v>6641</v>
      </c>
      <c r="J98" s="345">
        <v>7</v>
      </c>
      <c r="K98" s="347">
        <v>82.89</v>
      </c>
      <c r="L98" s="347">
        <v>79.94</v>
      </c>
      <c r="M98" s="347">
        <v>7.15</v>
      </c>
      <c r="N98" s="347">
        <v>85.66</v>
      </c>
      <c r="O98" s="348">
        <v>4964</v>
      </c>
      <c r="P98" s="345">
        <v>79.12</v>
      </c>
      <c r="Q98" s="345">
        <v>77.8</v>
      </c>
      <c r="R98" s="345">
        <v>43.94</v>
      </c>
      <c r="S98" s="345">
        <v>122.26</v>
      </c>
      <c r="T98" s="345">
        <v>608</v>
      </c>
      <c r="U98" s="345">
        <v>93.91</v>
      </c>
      <c r="V98" s="345">
        <v>1024</v>
      </c>
      <c r="W98" s="345">
        <v>0</v>
      </c>
      <c r="X98" s="345">
        <v>0</v>
      </c>
      <c r="Y98" s="345">
        <v>0</v>
      </c>
      <c r="Z98" s="345">
        <v>32</v>
      </c>
      <c r="AA98" s="345">
        <v>0</v>
      </c>
      <c r="AB98" s="345">
        <v>18</v>
      </c>
      <c r="AC98" s="345">
        <v>3</v>
      </c>
      <c r="AD98" s="349">
        <v>6029</v>
      </c>
      <c r="AE98" s="349">
        <v>29</v>
      </c>
      <c r="AF98" s="349">
        <v>11</v>
      </c>
      <c r="AG98" s="349">
        <v>40</v>
      </c>
    </row>
    <row r="99" spans="1:33" x14ac:dyDescent="0.2">
      <c r="A99" s="344" t="s">
        <v>254</v>
      </c>
      <c r="B99" s="350" t="s">
        <v>255</v>
      </c>
      <c r="C99" s="346">
        <v>7815</v>
      </c>
      <c r="D99" s="346">
        <v>0</v>
      </c>
      <c r="E99" s="346">
        <v>405</v>
      </c>
      <c r="F99" s="346">
        <v>1431</v>
      </c>
      <c r="G99" s="346">
        <v>258</v>
      </c>
      <c r="H99" s="346">
        <v>9909</v>
      </c>
      <c r="I99" s="345">
        <v>9651</v>
      </c>
      <c r="J99" s="345">
        <v>58</v>
      </c>
      <c r="K99" s="347">
        <v>92.12</v>
      </c>
      <c r="L99" s="347">
        <v>92.15</v>
      </c>
      <c r="M99" s="347">
        <v>3.74</v>
      </c>
      <c r="N99" s="347">
        <v>93.6</v>
      </c>
      <c r="O99" s="348">
        <v>6994</v>
      </c>
      <c r="P99" s="345">
        <v>82.03</v>
      </c>
      <c r="Q99" s="345">
        <v>77.239999999999995</v>
      </c>
      <c r="R99" s="345">
        <v>33.89</v>
      </c>
      <c r="S99" s="345">
        <v>114.71</v>
      </c>
      <c r="T99" s="345">
        <v>1710</v>
      </c>
      <c r="U99" s="345">
        <v>102.68</v>
      </c>
      <c r="V99" s="345">
        <v>625</v>
      </c>
      <c r="W99" s="345">
        <v>170.18</v>
      </c>
      <c r="X99" s="345">
        <v>25</v>
      </c>
      <c r="Y99" s="345">
        <v>0</v>
      </c>
      <c r="Z99" s="345">
        <v>10</v>
      </c>
      <c r="AA99" s="345">
        <v>0</v>
      </c>
      <c r="AB99" s="345">
        <v>12</v>
      </c>
      <c r="AC99" s="345">
        <v>10</v>
      </c>
      <c r="AD99" s="349">
        <v>7801</v>
      </c>
      <c r="AE99" s="349">
        <v>41</v>
      </c>
      <c r="AF99" s="349">
        <v>3</v>
      </c>
      <c r="AG99" s="349">
        <v>44</v>
      </c>
    </row>
    <row r="100" spans="1:33" x14ac:dyDescent="0.2">
      <c r="A100" s="344" t="s">
        <v>256</v>
      </c>
      <c r="B100" s="350" t="s">
        <v>257</v>
      </c>
      <c r="C100" s="346">
        <v>1734</v>
      </c>
      <c r="D100" s="346">
        <v>12</v>
      </c>
      <c r="E100" s="346">
        <v>323</v>
      </c>
      <c r="F100" s="346">
        <v>507</v>
      </c>
      <c r="G100" s="346">
        <v>147</v>
      </c>
      <c r="H100" s="346">
        <v>2723</v>
      </c>
      <c r="I100" s="345">
        <v>2576</v>
      </c>
      <c r="J100" s="345">
        <v>5</v>
      </c>
      <c r="K100" s="347">
        <v>94.21</v>
      </c>
      <c r="L100" s="347">
        <v>92.34</v>
      </c>
      <c r="M100" s="347">
        <v>7.66</v>
      </c>
      <c r="N100" s="347">
        <v>100.45</v>
      </c>
      <c r="O100" s="348">
        <v>1512</v>
      </c>
      <c r="P100" s="345">
        <v>79.45</v>
      </c>
      <c r="Q100" s="345">
        <v>76.41</v>
      </c>
      <c r="R100" s="345">
        <v>39.65</v>
      </c>
      <c r="S100" s="345">
        <v>118.74</v>
      </c>
      <c r="T100" s="345">
        <v>669</v>
      </c>
      <c r="U100" s="345">
        <v>134.61000000000001</v>
      </c>
      <c r="V100" s="345">
        <v>220</v>
      </c>
      <c r="W100" s="345">
        <v>130.35</v>
      </c>
      <c r="X100" s="345">
        <v>18</v>
      </c>
      <c r="Y100" s="345">
        <v>19</v>
      </c>
      <c r="Z100" s="345">
        <v>0</v>
      </c>
      <c r="AA100" s="345">
        <v>0</v>
      </c>
      <c r="AB100" s="345">
        <v>8</v>
      </c>
      <c r="AC100" s="345">
        <v>1</v>
      </c>
      <c r="AD100" s="349">
        <v>1734</v>
      </c>
      <c r="AE100" s="349">
        <v>3</v>
      </c>
      <c r="AF100" s="349">
        <v>2</v>
      </c>
      <c r="AG100" s="349">
        <v>5</v>
      </c>
    </row>
    <row r="101" spans="1:33" x14ac:dyDescent="0.2">
      <c r="A101" s="344" t="s">
        <v>258</v>
      </c>
      <c r="B101" s="350" t="s">
        <v>259</v>
      </c>
      <c r="C101" s="346">
        <v>5397</v>
      </c>
      <c r="D101" s="346">
        <v>0</v>
      </c>
      <c r="E101" s="346">
        <v>171</v>
      </c>
      <c r="F101" s="346">
        <v>1189</v>
      </c>
      <c r="G101" s="346">
        <v>558</v>
      </c>
      <c r="H101" s="346">
        <v>7315</v>
      </c>
      <c r="I101" s="345">
        <v>6757</v>
      </c>
      <c r="J101" s="345">
        <v>6</v>
      </c>
      <c r="K101" s="347">
        <v>109.71</v>
      </c>
      <c r="L101" s="347">
        <v>109.28</v>
      </c>
      <c r="M101" s="347">
        <v>4.78</v>
      </c>
      <c r="N101" s="347">
        <v>112.05</v>
      </c>
      <c r="O101" s="348">
        <v>4331</v>
      </c>
      <c r="P101" s="345">
        <v>98.72</v>
      </c>
      <c r="Q101" s="345">
        <v>93.98</v>
      </c>
      <c r="R101" s="345">
        <v>23.06</v>
      </c>
      <c r="S101" s="345">
        <v>118.91</v>
      </c>
      <c r="T101" s="345">
        <v>1111</v>
      </c>
      <c r="U101" s="345">
        <v>145.32</v>
      </c>
      <c r="V101" s="345">
        <v>940</v>
      </c>
      <c r="W101" s="345">
        <v>147.74</v>
      </c>
      <c r="X101" s="345">
        <v>189</v>
      </c>
      <c r="Y101" s="345">
        <v>53</v>
      </c>
      <c r="Z101" s="345">
        <v>13</v>
      </c>
      <c r="AA101" s="345">
        <v>0</v>
      </c>
      <c r="AB101" s="345">
        <v>33</v>
      </c>
      <c r="AC101" s="345">
        <v>31</v>
      </c>
      <c r="AD101" s="349">
        <v>5397</v>
      </c>
      <c r="AE101" s="349">
        <v>8</v>
      </c>
      <c r="AF101" s="349">
        <v>6</v>
      </c>
      <c r="AG101" s="349">
        <v>14</v>
      </c>
    </row>
    <row r="102" spans="1:33" x14ac:dyDescent="0.2">
      <c r="A102" s="344" t="s">
        <v>260</v>
      </c>
      <c r="B102" s="350" t="s">
        <v>261</v>
      </c>
      <c r="C102" s="346">
        <v>2158</v>
      </c>
      <c r="D102" s="346">
        <v>9</v>
      </c>
      <c r="E102" s="346">
        <v>159</v>
      </c>
      <c r="F102" s="346">
        <v>185</v>
      </c>
      <c r="G102" s="346">
        <v>185</v>
      </c>
      <c r="H102" s="346">
        <v>2696</v>
      </c>
      <c r="I102" s="345">
        <v>2511</v>
      </c>
      <c r="J102" s="345">
        <v>32</v>
      </c>
      <c r="K102" s="347">
        <v>97.13</v>
      </c>
      <c r="L102" s="347">
        <v>96.36</v>
      </c>
      <c r="M102" s="347">
        <v>4.7300000000000004</v>
      </c>
      <c r="N102" s="347">
        <v>98.95</v>
      </c>
      <c r="O102" s="348">
        <v>1949</v>
      </c>
      <c r="P102" s="345">
        <v>85.77</v>
      </c>
      <c r="Q102" s="345">
        <v>80.150000000000006</v>
      </c>
      <c r="R102" s="345">
        <v>27.52</v>
      </c>
      <c r="S102" s="345">
        <v>112.24</v>
      </c>
      <c r="T102" s="345">
        <v>341</v>
      </c>
      <c r="U102" s="345">
        <v>106.49</v>
      </c>
      <c r="V102" s="345">
        <v>181</v>
      </c>
      <c r="W102" s="345">
        <v>0</v>
      </c>
      <c r="X102" s="345">
        <v>0</v>
      </c>
      <c r="Y102" s="345">
        <v>0</v>
      </c>
      <c r="Z102" s="345">
        <v>6</v>
      </c>
      <c r="AA102" s="345">
        <v>7</v>
      </c>
      <c r="AB102" s="345">
        <v>0</v>
      </c>
      <c r="AC102" s="345">
        <v>1</v>
      </c>
      <c r="AD102" s="349">
        <v>2121</v>
      </c>
      <c r="AE102" s="349">
        <v>25</v>
      </c>
      <c r="AF102" s="349">
        <v>5</v>
      </c>
      <c r="AG102" s="349">
        <v>30</v>
      </c>
    </row>
    <row r="103" spans="1:33" x14ac:dyDescent="0.2">
      <c r="A103" s="344" t="s">
        <v>262</v>
      </c>
      <c r="B103" s="350" t="s">
        <v>263</v>
      </c>
      <c r="C103" s="346">
        <v>4486</v>
      </c>
      <c r="D103" s="346">
        <v>5</v>
      </c>
      <c r="E103" s="346">
        <v>99</v>
      </c>
      <c r="F103" s="346">
        <v>958</v>
      </c>
      <c r="G103" s="346">
        <v>370</v>
      </c>
      <c r="H103" s="346">
        <v>5918</v>
      </c>
      <c r="I103" s="345">
        <v>5548</v>
      </c>
      <c r="J103" s="345">
        <v>1</v>
      </c>
      <c r="K103" s="347">
        <v>127.68</v>
      </c>
      <c r="L103" s="347">
        <v>130.88</v>
      </c>
      <c r="M103" s="347">
        <v>7.63</v>
      </c>
      <c r="N103" s="347">
        <v>131.52000000000001</v>
      </c>
      <c r="O103" s="348">
        <v>3770</v>
      </c>
      <c r="P103" s="345">
        <v>114.21</v>
      </c>
      <c r="Q103" s="345">
        <v>109.12</v>
      </c>
      <c r="R103" s="345">
        <v>22.06</v>
      </c>
      <c r="S103" s="345">
        <v>135.96</v>
      </c>
      <c r="T103" s="345">
        <v>794</v>
      </c>
      <c r="U103" s="345">
        <v>197.42</v>
      </c>
      <c r="V103" s="345">
        <v>484</v>
      </c>
      <c r="W103" s="345">
        <v>153.68</v>
      </c>
      <c r="X103" s="345">
        <v>9</v>
      </c>
      <c r="Y103" s="345">
        <v>41</v>
      </c>
      <c r="Z103" s="345">
        <v>4</v>
      </c>
      <c r="AA103" s="345">
        <v>2</v>
      </c>
      <c r="AB103" s="345">
        <v>0</v>
      </c>
      <c r="AC103" s="345">
        <v>12</v>
      </c>
      <c r="AD103" s="349">
        <v>4366</v>
      </c>
      <c r="AE103" s="349">
        <v>13</v>
      </c>
      <c r="AF103" s="349">
        <v>34</v>
      </c>
      <c r="AG103" s="349">
        <v>47</v>
      </c>
    </row>
    <row r="104" spans="1:33" x14ac:dyDescent="0.2">
      <c r="A104" s="344" t="s">
        <v>264</v>
      </c>
      <c r="B104" s="350" t="s">
        <v>265</v>
      </c>
      <c r="C104" s="346">
        <v>6825</v>
      </c>
      <c r="D104" s="346">
        <v>318</v>
      </c>
      <c r="E104" s="346">
        <v>592</v>
      </c>
      <c r="F104" s="346">
        <v>700</v>
      </c>
      <c r="G104" s="346">
        <v>1186</v>
      </c>
      <c r="H104" s="346">
        <v>9621</v>
      </c>
      <c r="I104" s="345">
        <v>8435</v>
      </c>
      <c r="J104" s="345">
        <v>30</v>
      </c>
      <c r="K104" s="347">
        <v>125.36</v>
      </c>
      <c r="L104" s="347">
        <v>122.57</v>
      </c>
      <c r="M104" s="347">
        <v>12.71</v>
      </c>
      <c r="N104" s="347">
        <v>134.07</v>
      </c>
      <c r="O104" s="348">
        <v>5827</v>
      </c>
      <c r="P104" s="345">
        <v>112.68</v>
      </c>
      <c r="Q104" s="345">
        <v>105.12</v>
      </c>
      <c r="R104" s="345">
        <v>62.75</v>
      </c>
      <c r="S104" s="345">
        <v>170.37</v>
      </c>
      <c r="T104" s="345">
        <v>1201</v>
      </c>
      <c r="U104" s="345">
        <v>192.87</v>
      </c>
      <c r="V104" s="345">
        <v>588</v>
      </c>
      <c r="W104" s="345">
        <v>0</v>
      </c>
      <c r="X104" s="345">
        <v>0</v>
      </c>
      <c r="Y104" s="345">
        <v>0</v>
      </c>
      <c r="Z104" s="345">
        <v>5</v>
      </c>
      <c r="AA104" s="345">
        <v>23</v>
      </c>
      <c r="AB104" s="345">
        <v>100</v>
      </c>
      <c r="AC104" s="345">
        <v>88</v>
      </c>
      <c r="AD104" s="349">
        <v>6536</v>
      </c>
      <c r="AE104" s="349">
        <v>41</v>
      </c>
      <c r="AF104" s="349">
        <v>26</v>
      </c>
      <c r="AG104" s="349">
        <v>67</v>
      </c>
    </row>
    <row r="105" spans="1:33" x14ac:dyDescent="0.2">
      <c r="A105" s="344" t="s">
        <v>266</v>
      </c>
      <c r="B105" s="350" t="s">
        <v>267</v>
      </c>
      <c r="C105" s="346">
        <v>1376</v>
      </c>
      <c r="D105" s="346">
        <v>0</v>
      </c>
      <c r="E105" s="346">
        <v>188</v>
      </c>
      <c r="F105" s="346">
        <v>188</v>
      </c>
      <c r="G105" s="346">
        <v>245</v>
      </c>
      <c r="H105" s="346">
        <v>1997</v>
      </c>
      <c r="I105" s="345">
        <v>1752</v>
      </c>
      <c r="J105" s="345">
        <v>3</v>
      </c>
      <c r="K105" s="347">
        <v>121.79</v>
      </c>
      <c r="L105" s="347">
        <v>121.36</v>
      </c>
      <c r="M105" s="347">
        <v>4.93</v>
      </c>
      <c r="N105" s="347">
        <v>126.04</v>
      </c>
      <c r="O105" s="348">
        <v>1231</v>
      </c>
      <c r="P105" s="345">
        <v>97.56</v>
      </c>
      <c r="Q105" s="345">
        <v>93.33</v>
      </c>
      <c r="R105" s="345">
        <v>56.48</v>
      </c>
      <c r="S105" s="345">
        <v>153.65</v>
      </c>
      <c r="T105" s="345">
        <v>286</v>
      </c>
      <c r="U105" s="345">
        <v>172.32</v>
      </c>
      <c r="V105" s="345">
        <v>127</v>
      </c>
      <c r="W105" s="345">
        <v>0</v>
      </c>
      <c r="X105" s="345">
        <v>0</v>
      </c>
      <c r="Y105" s="345">
        <v>0</v>
      </c>
      <c r="Z105" s="345">
        <v>0</v>
      </c>
      <c r="AA105" s="345">
        <v>0</v>
      </c>
      <c r="AB105" s="345">
        <v>3</v>
      </c>
      <c r="AC105" s="345">
        <v>6</v>
      </c>
      <c r="AD105" s="349">
        <v>1375</v>
      </c>
      <c r="AE105" s="349">
        <v>2</v>
      </c>
      <c r="AF105" s="349">
        <v>2</v>
      </c>
      <c r="AG105" s="349">
        <v>4</v>
      </c>
    </row>
    <row r="106" spans="1:33" x14ac:dyDescent="0.2">
      <c r="A106" s="344" t="s">
        <v>268</v>
      </c>
      <c r="B106" s="350" t="s">
        <v>269</v>
      </c>
      <c r="C106" s="346">
        <v>2099</v>
      </c>
      <c r="D106" s="346">
        <v>0</v>
      </c>
      <c r="E106" s="346">
        <v>123</v>
      </c>
      <c r="F106" s="346">
        <v>382</v>
      </c>
      <c r="G106" s="346">
        <v>340</v>
      </c>
      <c r="H106" s="346">
        <v>2944</v>
      </c>
      <c r="I106" s="345">
        <v>2604</v>
      </c>
      <c r="J106" s="345">
        <v>33</v>
      </c>
      <c r="K106" s="347">
        <v>119.78</v>
      </c>
      <c r="L106" s="347">
        <v>116.58</v>
      </c>
      <c r="M106" s="347">
        <v>8.3699999999999992</v>
      </c>
      <c r="N106" s="347">
        <v>124.31</v>
      </c>
      <c r="O106" s="348">
        <v>1883</v>
      </c>
      <c r="P106" s="345">
        <v>100.52</v>
      </c>
      <c r="Q106" s="345">
        <v>98.91</v>
      </c>
      <c r="R106" s="345">
        <v>21.51</v>
      </c>
      <c r="S106" s="345">
        <v>121.96</v>
      </c>
      <c r="T106" s="345">
        <v>308</v>
      </c>
      <c r="U106" s="345">
        <v>187.5</v>
      </c>
      <c r="V106" s="345">
        <v>199</v>
      </c>
      <c r="W106" s="345">
        <v>214.14</v>
      </c>
      <c r="X106" s="345">
        <v>47</v>
      </c>
      <c r="Y106" s="345">
        <v>0</v>
      </c>
      <c r="Z106" s="345">
        <v>3</v>
      </c>
      <c r="AA106" s="345">
        <v>0</v>
      </c>
      <c r="AB106" s="345">
        <v>32</v>
      </c>
      <c r="AC106" s="345">
        <v>16</v>
      </c>
      <c r="AD106" s="349">
        <v>2099</v>
      </c>
      <c r="AE106" s="349">
        <v>1</v>
      </c>
      <c r="AF106" s="349">
        <v>7</v>
      </c>
      <c r="AG106" s="349">
        <v>8</v>
      </c>
    </row>
    <row r="107" spans="1:33" x14ac:dyDescent="0.2">
      <c r="A107" s="344" t="s">
        <v>270</v>
      </c>
      <c r="B107" s="350" t="s">
        <v>271</v>
      </c>
      <c r="C107" s="346">
        <v>4579</v>
      </c>
      <c r="D107" s="346">
        <v>0</v>
      </c>
      <c r="E107" s="346">
        <v>66</v>
      </c>
      <c r="F107" s="346">
        <v>1903</v>
      </c>
      <c r="G107" s="346">
        <v>164</v>
      </c>
      <c r="H107" s="346">
        <v>6712</v>
      </c>
      <c r="I107" s="345">
        <v>6548</v>
      </c>
      <c r="J107" s="345">
        <v>0</v>
      </c>
      <c r="K107" s="347">
        <v>89.71</v>
      </c>
      <c r="L107" s="347">
        <v>89.41</v>
      </c>
      <c r="M107" s="347">
        <v>2.96</v>
      </c>
      <c r="N107" s="347">
        <v>91.4</v>
      </c>
      <c r="O107" s="348">
        <v>4397</v>
      </c>
      <c r="P107" s="345">
        <v>80.38</v>
      </c>
      <c r="Q107" s="345">
        <v>80.08</v>
      </c>
      <c r="R107" s="345">
        <v>7.18</v>
      </c>
      <c r="S107" s="345">
        <v>87.23</v>
      </c>
      <c r="T107" s="345">
        <v>1962</v>
      </c>
      <c r="U107" s="345">
        <v>94.46</v>
      </c>
      <c r="V107" s="345">
        <v>130</v>
      </c>
      <c r="W107" s="345">
        <v>0</v>
      </c>
      <c r="X107" s="345">
        <v>0</v>
      </c>
      <c r="Y107" s="345">
        <v>0</v>
      </c>
      <c r="Z107" s="345">
        <v>23</v>
      </c>
      <c r="AA107" s="345">
        <v>0</v>
      </c>
      <c r="AB107" s="345">
        <v>6</v>
      </c>
      <c r="AC107" s="345">
        <v>2</v>
      </c>
      <c r="AD107" s="349">
        <v>4578</v>
      </c>
      <c r="AE107" s="349">
        <v>25</v>
      </c>
      <c r="AF107" s="349">
        <v>12</v>
      </c>
      <c r="AG107" s="349">
        <v>37</v>
      </c>
    </row>
    <row r="108" spans="1:33" x14ac:dyDescent="0.2">
      <c r="A108" s="344" t="s">
        <v>272</v>
      </c>
      <c r="B108" s="350" t="s">
        <v>273</v>
      </c>
      <c r="C108" s="346">
        <v>3396</v>
      </c>
      <c r="D108" s="346">
        <v>0</v>
      </c>
      <c r="E108" s="346">
        <v>570</v>
      </c>
      <c r="F108" s="346">
        <v>381</v>
      </c>
      <c r="G108" s="346">
        <v>415</v>
      </c>
      <c r="H108" s="346">
        <v>4762</v>
      </c>
      <c r="I108" s="345">
        <v>4347</v>
      </c>
      <c r="J108" s="345">
        <v>1</v>
      </c>
      <c r="K108" s="347">
        <v>88.62</v>
      </c>
      <c r="L108" s="347">
        <v>86.97</v>
      </c>
      <c r="M108" s="347">
        <v>6.94</v>
      </c>
      <c r="N108" s="347">
        <v>93.8</v>
      </c>
      <c r="O108" s="348">
        <v>3151</v>
      </c>
      <c r="P108" s="345">
        <v>92.95</v>
      </c>
      <c r="Q108" s="345">
        <v>52.5</v>
      </c>
      <c r="R108" s="345">
        <v>52.25</v>
      </c>
      <c r="S108" s="345">
        <v>137.41999999999999</v>
      </c>
      <c r="T108" s="345">
        <v>423</v>
      </c>
      <c r="U108" s="345">
        <v>122.24</v>
      </c>
      <c r="V108" s="345">
        <v>189</v>
      </c>
      <c r="W108" s="345">
        <v>120.67</v>
      </c>
      <c r="X108" s="345">
        <v>37</v>
      </c>
      <c r="Y108" s="345">
        <v>0</v>
      </c>
      <c r="Z108" s="345">
        <v>0</v>
      </c>
      <c r="AA108" s="345">
        <v>1</v>
      </c>
      <c r="AB108" s="345">
        <v>23</v>
      </c>
      <c r="AC108" s="345">
        <v>9</v>
      </c>
      <c r="AD108" s="349">
        <v>3374</v>
      </c>
      <c r="AE108" s="349">
        <v>7</v>
      </c>
      <c r="AF108" s="349">
        <v>58</v>
      </c>
      <c r="AG108" s="349">
        <v>65</v>
      </c>
    </row>
    <row r="109" spans="1:33" x14ac:dyDescent="0.2">
      <c r="A109" s="344" t="s">
        <v>274</v>
      </c>
      <c r="B109" s="350" t="s">
        <v>275</v>
      </c>
      <c r="C109" s="346">
        <v>1376</v>
      </c>
      <c r="D109" s="346">
        <v>0</v>
      </c>
      <c r="E109" s="346">
        <v>179</v>
      </c>
      <c r="F109" s="346">
        <v>151</v>
      </c>
      <c r="G109" s="346">
        <v>276</v>
      </c>
      <c r="H109" s="346">
        <v>1982</v>
      </c>
      <c r="I109" s="345">
        <v>1706</v>
      </c>
      <c r="J109" s="345">
        <v>7</v>
      </c>
      <c r="K109" s="347">
        <v>108.15</v>
      </c>
      <c r="L109" s="347">
        <v>107.16</v>
      </c>
      <c r="M109" s="347">
        <v>7.83</v>
      </c>
      <c r="N109" s="347">
        <v>113.79</v>
      </c>
      <c r="O109" s="348">
        <v>1034</v>
      </c>
      <c r="P109" s="345">
        <v>94.55</v>
      </c>
      <c r="Q109" s="345">
        <v>91.01</v>
      </c>
      <c r="R109" s="345">
        <v>41.09</v>
      </c>
      <c r="S109" s="345">
        <v>132.55000000000001</v>
      </c>
      <c r="T109" s="345">
        <v>199</v>
      </c>
      <c r="U109" s="345">
        <v>144.44</v>
      </c>
      <c r="V109" s="345">
        <v>237</v>
      </c>
      <c r="W109" s="345">
        <v>0</v>
      </c>
      <c r="X109" s="345">
        <v>0</v>
      </c>
      <c r="Y109" s="345">
        <v>256</v>
      </c>
      <c r="Z109" s="345">
        <v>0</v>
      </c>
      <c r="AA109" s="345">
        <v>1</v>
      </c>
      <c r="AB109" s="345">
        <v>22</v>
      </c>
      <c r="AC109" s="345">
        <v>7</v>
      </c>
      <c r="AD109" s="349">
        <v>1364</v>
      </c>
      <c r="AE109" s="349">
        <v>9</v>
      </c>
      <c r="AF109" s="349">
        <v>2</v>
      </c>
      <c r="AG109" s="349">
        <v>11</v>
      </c>
    </row>
    <row r="110" spans="1:33" x14ac:dyDescent="0.2">
      <c r="A110" s="344" t="s">
        <v>276</v>
      </c>
      <c r="B110" s="350" t="s">
        <v>277</v>
      </c>
      <c r="C110" s="346">
        <v>4767</v>
      </c>
      <c r="D110" s="346">
        <v>0</v>
      </c>
      <c r="E110" s="346">
        <v>207</v>
      </c>
      <c r="F110" s="346">
        <v>680</v>
      </c>
      <c r="G110" s="346">
        <v>162</v>
      </c>
      <c r="H110" s="346">
        <v>5816</v>
      </c>
      <c r="I110" s="345">
        <v>5654</v>
      </c>
      <c r="J110" s="345">
        <v>17</v>
      </c>
      <c r="K110" s="347">
        <v>91.06</v>
      </c>
      <c r="L110" s="347">
        <v>90.66</v>
      </c>
      <c r="M110" s="347">
        <v>4.1100000000000003</v>
      </c>
      <c r="N110" s="347">
        <v>92.36</v>
      </c>
      <c r="O110" s="348">
        <v>4422</v>
      </c>
      <c r="P110" s="345">
        <v>89.05</v>
      </c>
      <c r="Q110" s="345">
        <v>84.58</v>
      </c>
      <c r="R110" s="345">
        <v>37.35</v>
      </c>
      <c r="S110" s="345">
        <v>126.18</v>
      </c>
      <c r="T110" s="345">
        <v>838</v>
      </c>
      <c r="U110" s="345">
        <v>113.3</v>
      </c>
      <c r="V110" s="345">
        <v>329</v>
      </c>
      <c r="W110" s="345">
        <v>0</v>
      </c>
      <c r="X110" s="345">
        <v>0</v>
      </c>
      <c r="Y110" s="345">
        <v>0</v>
      </c>
      <c r="Z110" s="345">
        <v>32</v>
      </c>
      <c r="AA110" s="345">
        <v>0</v>
      </c>
      <c r="AB110" s="345">
        <v>8</v>
      </c>
      <c r="AC110" s="345">
        <v>1</v>
      </c>
      <c r="AD110" s="349">
        <v>4764</v>
      </c>
      <c r="AE110" s="349">
        <v>52</v>
      </c>
      <c r="AF110" s="349">
        <v>29</v>
      </c>
      <c r="AG110" s="349">
        <v>81</v>
      </c>
    </row>
    <row r="111" spans="1:33" x14ac:dyDescent="0.2">
      <c r="A111" s="344" t="s">
        <v>278</v>
      </c>
      <c r="B111" s="350" t="s">
        <v>279</v>
      </c>
      <c r="C111" s="346">
        <v>1526</v>
      </c>
      <c r="D111" s="346">
        <v>0</v>
      </c>
      <c r="E111" s="346">
        <v>111</v>
      </c>
      <c r="F111" s="346">
        <v>293</v>
      </c>
      <c r="G111" s="346">
        <v>235</v>
      </c>
      <c r="H111" s="346">
        <v>2165</v>
      </c>
      <c r="I111" s="345">
        <v>1930</v>
      </c>
      <c r="J111" s="345">
        <v>17</v>
      </c>
      <c r="K111" s="347">
        <v>94.85</v>
      </c>
      <c r="L111" s="347">
        <v>94</v>
      </c>
      <c r="M111" s="347">
        <v>6.64</v>
      </c>
      <c r="N111" s="347">
        <v>99.69</v>
      </c>
      <c r="O111" s="348">
        <v>1222</v>
      </c>
      <c r="P111" s="345">
        <v>97.57</v>
      </c>
      <c r="Q111" s="345">
        <v>85</v>
      </c>
      <c r="R111" s="345">
        <v>38.82</v>
      </c>
      <c r="S111" s="345">
        <v>133.11000000000001</v>
      </c>
      <c r="T111" s="345">
        <v>366</v>
      </c>
      <c r="U111" s="345">
        <v>139.61000000000001</v>
      </c>
      <c r="V111" s="345">
        <v>160</v>
      </c>
      <c r="W111" s="345">
        <v>0</v>
      </c>
      <c r="X111" s="345">
        <v>0</v>
      </c>
      <c r="Y111" s="345">
        <v>0</v>
      </c>
      <c r="Z111" s="345">
        <v>1</v>
      </c>
      <c r="AA111" s="345">
        <v>0</v>
      </c>
      <c r="AB111" s="345">
        <v>26</v>
      </c>
      <c r="AC111" s="345">
        <v>4</v>
      </c>
      <c r="AD111" s="349">
        <v>1394</v>
      </c>
      <c r="AE111" s="349">
        <v>7</v>
      </c>
      <c r="AF111" s="349">
        <v>41</v>
      </c>
      <c r="AG111" s="349">
        <v>48</v>
      </c>
    </row>
    <row r="112" spans="1:33" x14ac:dyDescent="0.2">
      <c r="A112" s="344" t="s">
        <v>280</v>
      </c>
      <c r="B112" s="350" t="s">
        <v>281</v>
      </c>
      <c r="C112" s="346">
        <v>4152</v>
      </c>
      <c r="D112" s="346">
        <v>16</v>
      </c>
      <c r="E112" s="346">
        <v>74</v>
      </c>
      <c r="F112" s="346">
        <v>787</v>
      </c>
      <c r="G112" s="346">
        <v>184</v>
      </c>
      <c r="H112" s="346">
        <v>5213</v>
      </c>
      <c r="I112" s="345">
        <v>5029</v>
      </c>
      <c r="J112" s="345">
        <v>8</v>
      </c>
      <c r="K112" s="347">
        <v>95.33</v>
      </c>
      <c r="L112" s="347">
        <v>92.09</v>
      </c>
      <c r="M112" s="347">
        <v>1.89</v>
      </c>
      <c r="N112" s="347">
        <v>96.95</v>
      </c>
      <c r="O112" s="348">
        <v>3375</v>
      </c>
      <c r="P112" s="345">
        <v>93.2</v>
      </c>
      <c r="Q112" s="345">
        <v>79.989999999999995</v>
      </c>
      <c r="R112" s="345">
        <v>24.64</v>
      </c>
      <c r="S112" s="345">
        <v>117.74</v>
      </c>
      <c r="T112" s="345">
        <v>771</v>
      </c>
      <c r="U112" s="345">
        <v>109.32</v>
      </c>
      <c r="V112" s="345">
        <v>367</v>
      </c>
      <c r="W112" s="345">
        <v>203.72</v>
      </c>
      <c r="X112" s="345">
        <v>68</v>
      </c>
      <c r="Y112" s="345">
        <v>32</v>
      </c>
      <c r="Z112" s="345">
        <v>17</v>
      </c>
      <c r="AA112" s="345">
        <v>0</v>
      </c>
      <c r="AB112" s="345">
        <v>9</v>
      </c>
      <c r="AC112" s="345">
        <v>4</v>
      </c>
      <c r="AD112" s="349">
        <v>3725</v>
      </c>
      <c r="AE112" s="349">
        <v>5</v>
      </c>
      <c r="AF112" s="349">
        <v>8</v>
      </c>
      <c r="AG112" s="349">
        <v>13</v>
      </c>
    </row>
    <row r="113" spans="1:33" x14ac:dyDescent="0.2">
      <c r="A113" s="344" t="s">
        <v>282</v>
      </c>
      <c r="B113" s="350" t="s">
        <v>283</v>
      </c>
      <c r="C113" s="346">
        <v>2009</v>
      </c>
      <c r="D113" s="346">
        <v>2</v>
      </c>
      <c r="E113" s="346">
        <v>130</v>
      </c>
      <c r="F113" s="346">
        <v>543</v>
      </c>
      <c r="G113" s="346">
        <v>62</v>
      </c>
      <c r="H113" s="346">
        <v>2746</v>
      </c>
      <c r="I113" s="345">
        <v>2684</v>
      </c>
      <c r="J113" s="345">
        <v>0</v>
      </c>
      <c r="K113" s="347">
        <v>87.85</v>
      </c>
      <c r="L113" s="347">
        <v>87.68</v>
      </c>
      <c r="M113" s="347">
        <v>3.31</v>
      </c>
      <c r="N113" s="347">
        <v>90.87</v>
      </c>
      <c r="O113" s="348">
        <v>1748</v>
      </c>
      <c r="P113" s="345">
        <v>91.01</v>
      </c>
      <c r="Q113" s="345">
        <v>80.150000000000006</v>
      </c>
      <c r="R113" s="345">
        <v>23.41</v>
      </c>
      <c r="S113" s="345">
        <v>114.35</v>
      </c>
      <c r="T113" s="345">
        <v>638</v>
      </c>
      <c r="U113" s="345">
        <v>108.28</v>
      </c>
      <c r="V113" s="345">
        <v>251</v>
      </c>
      <c r="W113" s="345">
        <v>0</v>
      </c>
      <c r="X113" s="345">
        <v>0</v>
      </c>
      <c r="Y113" s="345">
        <v>0</v>
      </c>
      <c r="Z113" s="345">
        <v>1</v>
      </c>
      <c r="AA113" s="345">
        <v>0</v>
      </c>
      <c r="AB113" s="345">
        <v>3</v>
      </c>
      <c r="AC113" s="345">
        <v>4</v>
      </c>
      <c r="AD113" s="349">
        <v>2009</v>
      </c>
      <c r="AE113" s="349">
        <v>11</v>
      </c>
      <c r="AF113" s="349">
        <v>1</v>
      </c>
      <c r="AG113" s="349">
        <v>12</v>
      </c>
    </row>
    <row r="114" spans="1:33" x14ac:dyDescent="0.2">
      <c r="A114" s="344" t="s">
        <v>284</v>
      </c>
      <c r="B114" s="350" t="s">
        <v>285</v>
      </c>
      <c r="C114" s="346">
        <v>3880</v>
      </c>
      <c r="D114" s="346">
        <v>48</v>
      </c>
      <c r="E114" s="346">
        <v>235</v>
      </c>
      <c r="F114" s="346">
        <v>984</v>
      </c>
      <c r="G114" s="346">
        <v>230</v>
      </c>
      <c r="H114" s="346">
        <v>5377</v>
      </c>
      <c r="I114" s="345">
        <v>5147</v>
      </c>
      <c r="J114" s="345">
        <v>2</v>
      </c>
      <c r="K114" s="347">
        <v>79.150000000000006</v>
      </c>
      <c r="L114" s="347">
        <v>78.03</v>
      </c>
      <c r="M114" s="347">
        <v>7.39</v>
      </c>
      <c r="N114" s="347">
        <v>83.47</v>
      </c>
      <c r="O114" s="348">
        <v>3090</v>
      </c>
      <c r="P114" s="345">
        <v>89.74</v>
      </c>
      <c r="Q114" s="345">
        <v>78.73</v>
      </c>
      <c r="R114" s="345">
        <v>41.24</v>
      </c>
      <c r="S114" s="345">
        <v>128.87</v>
      </c>
      <c r="T114" s="345">
        <v>1015</v>
      </c>
      <c r="U114" s="345">
        <v>94.36</v>
      </c>
      <c r="V114" s="345">
        <v>821</v>
      </c>
      <c r="W114" s="345">
        <v>147.99</v>
      </c>
      <c r="X114" s="345">
        <v>191</v>
      </c>
      <c r="Y114" s="345">
        <v>5</v>
      </c>
      <c r="Z114" s="345">
        <v>4</v>
      </c>
      <c r="AA114" s="345">
        <v>0</v>
      </c>
      <c r="AB114" s="345">
        <v>13</v>
      </c>
      <c r="AC114" s="345">
        <v>19</v>
      </c>
      <c r="AD114" s="349">
        <v>3701</v>
      </c>
      <c r="AE114" s="349">
        <v>45</v>
      </c>
      <c r="AF114" s="349">
        <v>6</v>
      </c>
      <c r="AG114" s="349">
        <v>51</v>
      </c>
    </row>
    <row r="115" spans="1:33" x14ac:dyDescent="0.2">
      <c r="A115" s="344" t="s">
        <v>286</v>
      </c>
      <c r="B115" s="350" t="s">
        <v>287</v>
      </c>
      <c r="C115" s="346">
        <v>3736</v>
      </c>
      <c r="D115" s="346">
        <v>0</v>
      </c>
      <c r="E115" s="346">
        <v>164</v>
      </c>
      <c r="F115" s="346">
        <v>1189</v>
      </c>
      <c r="G115" s="346">
        <v>186</v>
      </c>
      <c r="H115" s="346">
        <v>5275</v>
      </c>
      <c r="I115" s="345">
        <v>5089</v>
      </c>
      <c r="J115" s="345">
        <v>77</v>
      </c>
      <c r="K115" s="347">
        <v>83.89</v>
      </c>
      <c r="L115" s="347">
        <v>82.68</v>
      </c>
      <c r="M115" s="347">
        <v>4.8899999999999997</v>
      </c>
      <c r="N115" s="347">
        <v>85.72</v>
      </c>
      <c r="O115" s="348">
        <v>3604</v>
      </c>
      <c r="P115" s="345">
        <v>82.99</v>
      </c>
      <c r="Q115" s="345">
        <v>71.72</v>
      </c>
      <c r="R115" s="345">
        <v>20.53</v>
      </c>
      <c r="S115" s="345">
        <v>103.28</v>
      </c>
      <c r="T115" s="345">
        <v>1282</v>
      </c>
      <c r="U115" s="345">
        <v>108.4</v>
      </c>
      <c r="V115" s="345">
        <v>115</v>
      </c>
      <c r="W115" s="345">
        <v>178.44</v>
      </c>
      <c r="X115" s="345">
        <v>6</v>
      </c>
      <c r="Y115" s="345">
        <v>1</v>
      </c>
      <c r="Z115" s="345">
        <v>34</v>
      </c>
      <c r="AA115" s="345">
        <v>0</v>
      </c>
      <c r="AB115" s="345">
        <v>5</v>
      </c>
      <c r="AC115" s="345">
        <v>5</v>
      </c>
      <c r="AD115" s="349">
        <v>3736</v>
      </c>
      <c r="AE115" s="349">
        <v>34</v>
      </c>
      <c r="AF115" s="349">
        <v>5</v>
      </c>
      <c r="AG115" s="349">
        <v>39</v>
      </c>
    </row>
    <row r="116" spans="1:33" x14ac:dyDescent="0.2">
      <c r="A116" s="344" t="s">
        <v>288</v>
      </c>
      <c r="B116" s="350" t="s">
        <v>289</v>
      </c>
      <c r="C116" s="346">
        <v>6543</v>
      </c>
      <c r="D116" s="346">
        <v>10</v>
      </c>
      <c r="E116" s="346">
        <v>536</v>
      </c>
      <c r="F116" s="346">
        <v>946</v>
      </c>
      <c r="G116" s="346">
        <v>489</v>
      </c>
      <c r="H116" s="346">
        <v>8524</v>
      </c>
      <c r="I116" s="345">
        <v>8035</v>
      </c>
      <c r="J116" s="345">
        <v>146</v>
      </c>
      <c r="K116" s="347">
        <v>87.15</v>
      </c>
      <c r="L116" s="347">
        <v>85.55</v>
      </c>
      <c r="M116" s="347">
        <v>5.88</v>
      </c>
      <c r="N116" s="347">
        <v>89.8</v>
      </c>
      <c r="O116" s="348">
        <v>6294</v>
      </c>
      <c r="P116" s="345">
        <v>87.1</v>
      </c>
      <c r="Q116" s="345">
        <v>84.1</v>
      </c>
      <c r="R116" s="345">
        <v>43.52</v>
      </c>
      <c r="S116" s="345">
        <v>129.44</v>
      </c>
      <c r="T116" s="345">
        <v>1142</v>
      </c>
      <c r="U116" s="345">
        <v>115.64</v>
      </c>
      <c r="V116" s="345">
        <v>134</v>
      </c>
      <c r="W116" s="345">
        <v>183.57</v>
      </c>
      <c r="X116" s="345">
        <v>31</v>
      </c>
      <c r="Y116" s="345">
        <v>0</v>
      </c>
      <c r="Z116" s="345">
        <v>58</v>
      </c>
      <c r="AA116" s="345">
        <v>0</v>
      </c>
      <c r="AB116" s="345">
        <v>18</v>
      </c>
      <c r="AC116" s="345">
        <v>14</v>
      </c>
      <c r="AD116" s="349">
        <v>6467</v>
      </c>
      <c r="AE116" s="349">
        <v>23</v>
      </c>
      <c r="AF116" s="349">
        <v>4</v>
      </c>
      <c r="AG116" s="349">
        <v>27</v>
      </c>
    </row>
    <row r="117" spans="1:33" x14ac:dyDescent="0.2">
      <c r="A117" s="344" t="s">
        <v>290</v>
      </c>
      <c r="B117" s="350" t="s">
        <v>291</v>
      </c>
      <c r="C117" s="346">
        <v>2505</v>
      </c>
      <c r="D117" s="346">
        <v>13</v>
      </c>
      <c r="E117" s="346">
        <v>69</v>
      </c>
      <c r="F117" s="346">
        <v>389</v>
      </c>
      <c r="G117" s="346">
        <v>398</v>
      </c>
      <c r="H117" s="346">
        <v>3374</v>
      </c>
      <c r="I117" s="345">
        <v>2976</v>
      </c>
      <c r="J117" s="345">
        <v>0</v>
      </c>
      <c r="K117" s="347">
        <v>99.56</v>
      </c>
      <c r="L117" s="347">
        <v>99.21</v>
      </c>
      <c r="M117" s="347">
        <v>10.65</v>
      </c>
      <c r="N117" s="347">
        <v>108.77</v>
      </c>
      <c r="O117" s="348">
        <v>2016</v>
      </c>
      <c r="P117" s="345">
        <v>93.12</v>
      </c>
      <c r="Q117" s="345">
        <v>90.4</v>
      </c>
      <c r="R117" s="345">
        <v>37.6</v>
      </c>
      <c r="S117" s="345">
        <v>128.35</v>
      </c>
      <c r="T117" s="345">
        <v>270</v>
      </c>
      <c r="U117" s="345">
        <v>128</v>
      </c>
      <c r="V117" s="345">
        <v>260</v>
      </c>
      <c r="W117" s="345">
        <v>98.75</v>
      </c>
      <c r="X117" s="345">
        <v>12</v>
      </c>
      <c r="Y117" s="345">
        <v>0</v>
      </c>
      <c r="Z117" s="345">
        <v>0</v>
      </c>
      <c r="AA117" s="345">
        <v>1</v>
      </c>
      <c r="AB117" s="345">
        <v>3</v>
      </c>
      <c r="AC117" s="345">
        <v>6</v>
      </c>
      <c r="AD117" s="349">
        <v>2399</v>
      </c>
      <c r="AE117" s="349">
        <v>8</v>
      </c>
      <c r="AF117" s="349">
        <v>5</v>
      </c>
      <c r="AG117" s="349">
        <v>13</v>
      </c>
    </row>
    <row r="118" spans="1:33" x14ac:dyDescent="0.2">
      <c r="A118" s="344" t="s">
        <v>292</v>
      </c>
      <c r="B118" s="350" t="s">
        <v>293</v>
      </c>
      <c r="C118" s="346">
        <v>1406</v>
      </c>
      <c r="D118" s="346">
        <v>0</v>
      </c>
      <c r="E118" s="346">
        <v>75</v>
      </c>
      <c r="F118" s="346">
        <v>213</v>
      </c>
      <c r="G118" s="346">
        <v>263</v>
      </c>
      <c r="H118" s="346">
        <v>1957</v>
      </c>
      <c r="I118" s="345">
        <v>1694</v>
      </c>
      <c r="J118" s="345">
        <v>0</v>
      </c>
      <c r="K118" s="347">
        <v>107.96</v>
      </c>
      <c r="L118" s="347">
        <v>104.75</v>
      </c>
      <c r="M118" s="347">
        <v>5.85</v>
      </c>
      <c r="N118" s="347">
        <v>112.36</v>
      </c>
      <c r="O118" s="348">
        <v>737</v>
      </c>
      <c r="P118" s="345">
        <v>96.99</v>
      </c>
      <c r="Q118" s="345">
        <v>87.41</v>
      </c>
      <c r="R118" s="345">
        <v>55.43</v>
      </c>
      <c r="S118" s="345">
        <v>151.58000000000001</v>
      </c>
      <c r="T118" s="345">
        <v>67</v>
      </c>
      <c r="U118" s="345">
        <v>140.56</v>
      </c>
      <c r="V118" s="345">
        <v>268</v>
      </c>
      <c r="W118" s="345">
        <v>161.19999999999999</v>
      </c>
      <c r="X118" s="345">
        <v>57</v>
      </c>
      <c r="Y118" s="345">
        <v>0</v>
      </c>
      <c r="Z118" s="345">
        <v>0</v>
      </c>
      <c r="AA118" s="345">
        <v>1</v>
      </c>
      <c r="AB118" s="345">
        <v>18</v>
      </c>
      <c r="AC118" s="345">
        <v>4</v>
      </c>
      <c r="AD118" s="349">
        <v>1005</v>
      </c>
      <c r="AE118" s="349">
        <v>4</v>
      </c>
      <c r="AF118" s="349">
        <v>2</v>
      </c>
      <c r="AG118" s="349">
        <v>6</v>
      </c>
    </row>
    <row r="119" spans="1:33" x14ac:dyDescent="0.2">
      <c r="A119" s="344" t="s">
        <v>294</v>
      </c>
      <c r="B119" s="350" t="s">
        <v>295</v>
      </c>
      <c r="C119" s="346">
        <v>1408</v>
      </c>
      <c r="D119" s="346">
        <v>0</v>
      </c>
      <c r="E119" s="346">
        <v>253</v>
      </c>
      <c r="F119" s="346">
        <v>147</v>
      </c>
      <c r="G119" s="346">
        <v>91</v>
      </c>
      <c r="H119" s="346">
        <v>1899</v>
      </c>
      <c r="I119" s="345">
        <v>1808</v>
      </c>
      <c r="J119" s="345">
        <v>15</v>
      </c>
      <c r="K119" s="347">
        <v>88.13</v>
      </c>
      <c r="L119" s="347">
        <v>87.47</v>
      </c>
      <c r="M119" s="347">
        <v>5.35</v>
      </c>
      <c r="N119" s="347">
        <v>91.35</v>
      </c>
      <c r="O119" s="348">
        <v>1247</v>
      </c>
      <c r="P119" s="345">
        <v>96.9</v>
      </c>
      <c r="Q119" s="345">
        <v>85.35</v>
      </c>
      <c r="R119" s="345">
        <v>56.79</v>
      </c>
      <c r="S119" s="345">
        <v>152.06</v>
      </c>
      <c r="T119" s="345">
        <v>279</v>
      </c>
      <c r="U119" s="345">
        <v>99.13</v>
      </c>
      <c r="V119" s="345">
        <v>144</v>
      </c>
      <c r="W119" s="345">
        <v>0</v>
      </c>
      <c r="X119" s="345">
        <v>0</v>
      </c>
      <c r="Y119" s="345">
        <v>0</v>
      </c>
      <c r="Z119" s="345">
        <v>3</v>
      </c>
      <c r="AA119" s="345">
        <v>2</v>
      </c>
      <c r="AB119" s="345">
        <v>0</v>
      </c>
      <c r="AC119" s="345">
        <v>6</v>
      </c>
      <c r="AD119" s="349">
        <v>1408</v>
      </c>
      <c r="AE119" s="349">
        <v>4</v>
      </c>
      <c r="AF119" s="349">
        <v>7</v>
      </c>
      <c r="AG119" s="349">
        <v>11</v>
      </c>
    </row>
    <row r="120" spans="1:33" x14ac:dyDescent="0.2">
      <c r="A120" s="344" t="s">
        <v>296</v>
      </c>
      <c r="B120" s="350" t="s">
        <v>297</v>
      </c>
      <c r="C120" s="346">
        <v>12641</v>
      </c>
      <c r="D120" s="346">
        <v>156</v>
      </c>
      <c r="E120" s="346">
        <v>428</v>
      </c>
      <c r="F120" s="346">
        <v>949</v>
      </c>
      <c r="G120" s="346">
        <v>2285</v>
      </c>
      <c r="H120" s="346">
        <v>16459</v>
      </c>
      <c r="I120" s="345">
        <v>14174</v>
      </c>
      <c r="J120" s="345">
        <v>36</v>
      </c>
      <c r="K120" s="347">
        <v>118.07</v>
      </c>
      <c r="L120" s="347">
        <v>119.76</v>
      </c>
      <c r="M120" s="347">
        <v>12.12</v>
      </c>
      <c r="N120" s="347">
        <v>127.01</v>
      </c>
      <c r="O120" s="348">
        <v>10854</v>
      </c>
      <c r="P120" s="345">
        <v>112.89</v>
      </c>
      <c r="Q120" s="345">
        <v>110.72</v>
      </c>
      <c r="R120" s="345">
        <v>43.75</v>
      </c>
      <c r="S120" s="345">
        <v>151.34</v>
      </c>
      <c r="T120" s="345">
        <v>1197</v>
      </c>
      <c r="U120" s="345">
        <v>171</v>
      </c>
      <c r="V120" s="345">
        <v>1000</v>
      </c>
      <c r="W120" s="345">
        <v>0</v>
      </c>
      <c r="X120" s="345">
        <v>0</v>
      </c>
      <c r="Y120" s="345">
        <v>0</v>
      </c>
      <c r="Z120" s="345">
        <v>9</v>
      </c>
      <c r="AA120" s="345">
        <v>11</v>
      </c>
      <c r="AB120" s="345">
        <v>206</v>
      </c>
      <c r="AC120" s="345">
        <v>49</v>
      </c>
      <c r="AD120" s="349">
        <v>12328</v>
      </c>
      <c r="AE120" s="349">
        <v>52</v>
      </c>
      <c r="AF120" s="349">
        <v>52</v>
      </c>
      <c r="AG120" s="349">
        <v>104</v>
      </c>
    </row>
    <row r="121" spans="1:33" x14ac:dyDescent="0.2">
      <c r="A121" s="344" t="s">
        <v>298</v>
      </c>
      <c r="B121" s="350" t="s">
        <v>299</v>
      </c>
      <c r="C121" s="346">
        <v>1707</v>
      </c>
      <c r="D121" s="346">
        <v>11</v>
      </c>
      <c r="E121" s="346">
        <v>258</v>
      </c>
      <c r="F121" s="346">
        <v>235</v>
      </c>
      <c r="G121" s="346">
        <v>368</v>
      </c>
      <c r="H121" s="346">
        <v>2579</v>
      </c>
      <c r="I121" s="345">
        <v>2211</v>
      </c>
      <c r="J121" s="345">
        <v>0</v>
      </c>
      <c r="K121" s="347">
        <v>126.46</v>
      </c>
      <c r="L121" s="347">
        <v>125.3</v>
      </c>
      <c r="M121" s="347">
        <v>7.78</v>
      </c>
      <c r="N121" s="347">
        <v>132.88999999999999</v>
      </c>
      <c r="O121" s="348">
        <v>1364</v>
      </c>
      <c r="P121" s="345">
        <v>96.47</v>
      </c>
      <c r="Q121" s="345">
        <v>93.24</v>
      </c>
      <c r="R121" s="345">
        <v>66.47</v>
      </c>
      <c r="S121" s="345">
        <v>162.94</v>
      </c>
      <c r="T121" s="345">
        <v>202</v>
      </c>
      <c r="U121" s="345">
        <v>162.78</v>
      </c>
      <c r="V121" s="345">
        <v>207</v>
      </c>
      <c r="W121" s="345">
        <v>138.21</v>
      </c>
      <c r="X121" s="345">
        <v>8</v>
      </c>
      <c r="Y121" s="345">
        <v>0</v>
      </c>
      <c r="Z121" s="345">
        <v>0</v>
      </c>
      <c r="AA121" s="345">
        <v>0</v>
      </c>
      <c r="AB121" s="345">
        <v>9</v>
      </c>
      <c r="AC121" s="345">
        <v>6</v>
      </c>
      <c r="AD121" s="349">
        <v>1559</v>
      </c>
      <c r="AE121" s="349">
        <v>6</v>
      </c>
      <c r="AF121" s="349">
        <v>1</v>
      </c>
      <c r="AG121" s="349">
        <v>7</v>
      </c>
    </row>
    <row r="122" spans="1:33" x14ac:dyDescent="0.2">
      <c r="A122" s="344" t="s">
        <v>300</v>
      </c>
      <c r="B122" s="350" t="s">
        <v>301</v>
      </c>
      <c r="C122" s="346">
        <v>20195</v>
      </c>
      <c r="D122" s="346">
        <v>532</v>
      </c>
      <c r="E122" s="346">
        <v>1592</v>
      </c>
      <c r="F122" s="346">
        <v>1665</v>
      </c>
      <c r="G122" s="346">
        <v>2597</v>
      </c>
      <c r="H122" s="346">
        <v>26581</v>
      </c>
      <c r="I122" s="345">
        <v>23984</v>
      </c>
      <c r="J122" s="345">
        <v>14</v>
      </c>
      <c r="K122" s="347">
        <v>122.84</v>
      </c>
      <c r="L122" s="347">
        <v>124.57</v>
      </c>
      <c r="M122" s="347">
        <v>11.85</v>
      </c>
      <c r="N122" s="347">
        <v>131.82</v>
      </c>
      <c r="O122" s="348">
        <v>17331</v>
      </c>
      <c r="P122" s="345">
        <v>115.2</v>
      </c>
      <c r="Q122" s="345">
        <v>110.73</v>
      </c>
      <c r="R122" s="345">
        <v>46.15</v>
      </c>
      <c r="S122" s="345">
        <v>160.15</v>
      </c>
      <c r="T122" s="345">
        <v>2762</v>
      </c>
      <c r="U122" s="345">
        <v>204.74</v>
      </c>
      <c r="V122" s="345">
        <v>1028</v>
      </c>
      <c r="W122" s="345">
        <v>206.56</v>
      </c>
      <c r="X122" s="345">
        <v>5</v>
      </c>
      <c r="Y122" s="345">
        <v>1</v>
      </c>
      <c r="Z122" s="345">
        <v>9</v>
      </c>
      <c r="AA122" s="345">
        <v>1</v>
      </c>
      <c r="AB122" s="345">
        <v>132</v>
      </c>
      <c r="AC122" s="345">
        <v>86</v>
      </c>
      <c r="AD122" s="349">
        <v>18687</v>
      </c>
      <c r="AE122" s="349">
        <v>81</v>
      </c>
      <c r="AF122" s="349">
        <v>96</v>
      </c>
      <c r="AG122" s="349">
        <v>177</v>
      </c>
    </row>
    <row r="123" spans="1:33" x14ac:dyDescent="0.2">
      <c r="A123" s="344" t="s">
        <v>302</v>
      </c>
      <c r="B123" s="350" t="s">
        <v>303</v>
      </c>
      <c r="C123" s="346">
        <v>13214</v>
      </c>
      <c r="D123" s="346">
        <v>1</v>
      </c>
      <c r="E123" s="346">
        <v>501</v>
      </c>
      <c r="F123" s="346">
        <v>500</v>
      </c>
      <c r="G123" s="346">
        <v>306</v>
      </c>
      <c r="H123" s="346">
        <v>14522</v>
      </c>
      <c r="I123" s="345">
        <v>14216</v>
      </c>
      <c r="J123" s="345">
        <v>3</v>
      </c>
      <c r="K123" s="347">
        <v>84.2</v>
      </c>
      <c r="L123" s="347">
        <v>84.05</v>
      </c>
      <c r="M123" s="347">
        <v>3.86</v>
      </c>
      <c r="N123" s="347">
        <v>87.89</v>
      </c>
      <c r="O123" s="348">
        <v>11672</v>
      </c>
      <c r="P123" s="345">
        <v>87.53</v>
      </c>
      <c r="Q123" s="345">
        <v>79.08</v>
      </c>
      <c r="R123" s="345">
        <v>30.27</v>
      </c>
      <c r="S123" s="345">
        <v>117.04</v>
      </c>
      <c r="T123" s="345">
        <v>834</v>
      </c>
      <c r="U123" s="345">
        <v>100.46</v>
      </c>
      <c r="V123" s="345">
        <v>1518</v>
      </c>
      <c r="W123" s="345">
        <v>146.66</v>
      </c>
      <c r="X123" s="345">
        <v>82</v>
      </c>
      <c r="Y123" s="345">
        <v>0</v>
      </c>
      <c r="Z123" s="345">
        <v>71</v>
      </c>
      <c r="AA123" s="345">
        <v>13</v>
      </c>
      <c r="AB123" s="345">
        <v>11</v>
      </c>
      <c r="AC123" s="345">
        <v>15</v>
      </c>
      <c r="AD123" s="349">
        <v>13214</v>
      </c>
      <c r="AE123" s="349">
        <v>72</v>
      </c>
      <c r="AF123" s="349">
        <v>43</v>
      </c>
      <c r="AG123" s="349">
        <v>115</v>
      </c>
    </row>
    <row r="124" spans="1:33" x14ac:dyDescent="0.2">
      <c r="A124" s="344" t="s">
        <v>304</v>
      </c>
      <c r="B124" s="350" t="s">
        <v>305</v>
      </c>
      <c r="C124" s="346">
        <v>4989</v>
      </c>
      <c r="D124" s="346">
        <v>0</v>
      </c>
      <c r="E124" s="346">
        <v>376</v>
      </c>
      <c r="F124" s="346">
        <v>123</v>
      </c>
      <c r="G124" s="346">
        <v>122</v>
      </c>
      <c r="H124" s="346">
        <v>5610</v>
      </c>
      <c r="I124" s="345">
        <v>5488</v>
      </c>
      <c r="J124" s="345">
        <v>2</v>
      </c>
      <c r="K124" s="347">
        <v>92.13</v>
      </c>
      <c r="L124" s="347">
        <v>93.64</v>
      </c>
      <c r="M124" s="347">
        <v>1.55</v>
      </c>
      <c r="N124" s="347">
        <v>93.49</v>
      </c>
      <c r="O124" s="348">
        <v>4730</v>
      </c>
      <c r="P124" s="345">
        <v>107.53</v>
      </c>
      <c r="Q124" s="345">
        <v>27.88</v>
      </c>
      <c r="R124" s="345">
        <v>57.74</v>
      </c>
      <c r="S124" s="345">
        <v>164.14</v>
      </c>
      <c r="T124" s="345">
        <v>355</v>
      </c>
      <c r="U124" s="345">
        <v>111.93</v>
      </c>
      <c r="V124" s="345">
        <v>111</v>
      </c>
      <c r="W124" s="345">
        <v>165.96</v>
      </c>
      <c r="X124" s="345">
        <v>101</v>
      </c>
      <c r="Y124" s="345">
        <v>0</v>
      </c>
      <c r="Z124" s="345">
        <v>5</v>
      </c>
      <c r="AA124" s="345">
        <v>1</v>
      </c>
      <c r="AB124" s="345">
        <v>0</v>
      </c>
      <c r="AC124" s="345">
        <v>14</v>
      </c>
      <c r="AD124" s="349">
        <v>4974</v>
      </c>
      <c r="AE124" s="349">
        <v>39</v>
      </c>
      <c r="AF124" s="349">
        <v>31</v>
      </c>
      <c r="AG124" s="349">
        <v>70</v>
      </c>
    </row>
    <row r="125" spans="1:33" x14ac:dyDescent="0.2">
      <c r="A125" s="344" t="s">
        <v>306</v>
      </c>
      <c r="B125" s="350" t="s">
        <v>307</v>
      </c>
      <c r="C125" s="346">
        <v>11659</v>
      </c>
      <c r="D125" s="346">
        <v>38</v>
      </c>
      <c r="E125" s="346">
        <v>1149</v>
      </c>
      <c r="F125" s="346">
        <v>572</v>
      </c>
      <c r="G125" s="346">
        <v>1150</v>
      </c>
      <c r="H125" s="346">
        <v>14568</v>
      </c>
      <c r="I125" s="345">
        <v>13418</v>
      </c>
      <c r="J125" s="345">
        <v>97</v>
      </c>
      <c r="K125" s="347">
        <v>130.06</v>
      </c>
      <c r="L125" s="347">
        <v>137.25</v>
      </c>
      <c r="M125" s="347">
        <v>11.45</v>
      </c>
      <c r="N125" s="347">
        <v>135.72</v>
      </c>
      <c r="O125" s="348">
        <v>10000</v>
      </c>
      <c r="P125" s="345">
        <v>114.49</v>
      </c>
      <c r="Q125" s="345">
        <v>112.55</v>
      </c>
      <c r="R125" s="345">
        <v>49.72</v>
      </c>
      <c r="S125" s="345">
        <v>157.69</v>
      </c>
      <c r="T125" s="345">
        <v>1251</v>
      </c>
      <c r="U125" s="345">
        <v>209.81</v>
      </c>
      <c r="V125" s="345">
        <v>910</v>
      </c>
      <c r="W125" s="345">
        <v>202.52</v>
      </c>
      <c r="X125" s="345">
        <v>72</v>
      </c>
      <c r="Y125" s="345">
        <v>24</v>
      </c>
      <c r="Z125" s="345">
        <v>0</v>
      </c>
      <c r="AA125" s="345">
        <v>11</v>
      </c>
      <c r="AB125" s="345">
        <v>16</v>
      </c>
      <c r="AC125" s="345">
        <v>41</v>
      </c>
      <c r="AD125" s="349">
        <v>11124</v>
      </c>
      <c r="AE125" s="349">
        <v>39</v>
      </c>
      <c r="AF125" s="349">
        <v>155</v>
      </c>
      <c r="AG125" s="349">
        <v>194</v>
      </c>
    </row>
    <row r="126" spans="1:33" x14ac:dyDescent="0.2">
      <c r="A126" s="344" t="s">
        <v>308</v>
      </c>
      <c r="B126" s="350" t="s">
        <v>309</v>
      </c>
      <c r="C126" s="346">
        <v>2222</v>
      </c>
      <c r="D126" s="346">
        <v>0</v>
      </c>
      <c r="E126" s="346">
        <v>76</v>
      </c>
      <c r="F126" s="346">
        <v>828</v>
      </c>
      <c r="G126" s="346">
        <v>432</v>
      </c>
      <c r="H126" s="346">
        <v>3558</v>
      </c>
      <c r="I126" s="345">
        <v>3126</v>
      </c>
      <c r="J126" s="345">
        <v>0</v>
      </c>
      <c r="K126" s="347">
        <v>90.78</v>
      </c>
      <c r="L126" s="347">
        <v>90.56</v>
      </c>
      <c r="M126" s="347">
        <v>3.31</v>
      </c>
      <c r="N126" s="347">
        <v>92.87</v>
      </c>
      <c r="O126" s="348">
        <v>1972</v>
      </c>
      <c r="P126" s="345">
        <v>85.23</v>
      </c>
      <c r="Q126" s="345">
        <v>85.74</v>
      </c>
      <c r="R126" s="345">
        <v>21.73</v>
      </c>
      <c r="S126" s="345">
        <v>106.52</v>
      </c>
      <c r="T126" s="345">
        <v>871</v>
      </c>
      <c r="U126" s="345">
        <v>112.84</v>
      </c>
      <c r="V126" s="345">
        <v>164</v>
      </c>
      <c r="W126" s="345">
        <v>118.72</v>
      </c>
      <c r="X126" s="345">
        <v>12</v>
      </c>
      <c r="Y126" s="345">
        <v>0</v>
      </c>
      <c r="Z126" s="345">
        <v>10</v>
      </c>
      <c r="AA126" s="345">
        <v>0</v>
      </c>
      <c r="AB126" s="345">
        <v>34</v>
      </c>
      <c r="AC126" s="345">
        <v>7</v>
      </c>
      <c r="AD126" s="349">
        <v>2222</v>
      </c>
      <c r="AE126" s="349">
        <v>12</v>
      </c>
      <c r="AF126" s="349">
        <v>7</v>
      </c>
      <c r="AG126" s="349">
        <v>19</v>
      </c>
    </row>
    <row r="127" spans="1:33" x14ac:dyDescent="0.2">
      <c r="A127" s="344" t="s">
        <v>310</v>
      </c>
      <c r="B127" s="350" t="s">
        <v>311</v>
      </c>
      <c r="C127" s="346">
        <v>9995</v>
      </c>
      <c r="D127" s="346">
        <v>52</v>
      </c>
      <c r="E127" s="346">
        <v>895</v>
      </c>
      <c r="F127" s="346">
        <v>928</v>
      </c>
      <c r="G127" s="346">
        <v>1566</v>
      </c>
      <c r="H127" s="346">
        <v>13436</v>
      </c>
      <c r="I127" s="345">
        <v>11870</v>
      </c>
      <c r="J127" s="345">
        <v>17</v>
      </c>
      <c r="K127" s="347">
        <v>120.67</v>
      </c>
      <c r="L127" s="347">
        <v>122.01</v>
      </c>
      <c r="M127" s="347">
        <v>10.130000000000001</v>
      </c>
      <c r="N127" s="347">
        <v>127.02</v>
      </c>
      <c r="O127" s="348">
        <v>7936</v>
      </c>
      <c r="P127" s="345">
        <v>118.62</v>
      </c>
      <c r="Q127" s="345">
        <v>102.81</v>
      </c>
      <c r="R127" s="345">
        <v>53.96</v>
      </c>
      <c r="S127" s="345">
        <v>168.04</v>
      </c>
      <c r="T127" s="345">
        <v>1248</v>
      </c>
      <c r="U127" s="345">
        <v>168.81</v>
      </c>
      <c r="V127" s="345">
        <v>514</v>
      </c>
      <c r="W127" s="345">
        <v>188.71</v>
      </c>
      <c r="X127" s="345">
        <v>4</v>
      </c>
      <c r="Y127" s="345">
        <v>0</v>
      </c>
      <c r="Z127" s="345">
        <v>6</v>
      </c>
      <c r="AA127" s="345">
        <v>8</v>
      </c>
      <c r="AB127" s="345">
        <v>37</v>
      </c>
      <c r="AC127" s="345">
        <v>81</v>
      </c>
      <c r="AD127" s="349">
        <v>8919</v>
      </c>
      <c r="AE127" s="349">
        <v>38</v>
      </c>
      <c r="AF127" s="349">
        <v>38</v>
      </c>
      <c r="AG127" s="349">
        <v>76</v>
      </c>
    </row>
    <row r="128" spans="1:33" x14ac:dyDescent="0.2">
      <c r="A128" s="344" t="s">
        <v>312</v>
      </c>
      <c r="B128" s="350" t="s">
        <v>313</v>
      </c>
      <c r="C128" s="346">
        <v>1423</v>
      </c>
      <c r="D128" s="346">
        <v>64</v>
      </c>
      <c r="E128" s="346">
        <v>234</v>
      </c>
      <c r="F128" s="346">
        <v>259</v>
      </c>
      <c r="G128" s="346">
        <v>318</v>
      </c>
      <c r="H128" s="346">
        <v>2298</v>
      </c>
      <c r="I128" s="345">
        <v>1980</v>
      </c>
      <c r="J128" s="345">
        <v>1</v>
      </c>
      <c r="K128" s="347">
        <v>103.27</v>
      </c>
      <c r="L128" s="347">
        <v>98.65</v>
      </c>
      <c r="M128" s="347">
        <v>7.84</v>
      </c>
      <c r="N128" s="347">
        <v>109.84</v>
      </c>
      <c r="O128" s="348">
        <v>1030</v>
      </c>
      <c r="P128" s="345">
        <v>93.73</v>
      </c>
      <c r="Q128" s="345">
        <v>91.44</v>
      </c>
      <c r="R128" s="345">
        <v>48.96</v>
      </c>
      <c r="S128" s="345">
        <v>142.06</v>
      </c>
      <c r="T128" s="345">
        <v>461</v>
      </c>
      <c r="U128" s="345">
        <v>149.43</v>
      </c>
      <c r="V128" s="345">
        <v>186</v>
      </c>
      <c r="W128" s="345">
        <v>0</v>
      </c>
      <c r="X128" s="345">
        <v>0</v>
      </c>
      <c r="Y128" s="345">
        <v>0</v>
      </c>
      <c r="Z128" s="345">
        <v>1</v>
      </c>
      <c r="AA128" s="345">
        <v>0</v>
      </c>
      <c r="AB128" s="345">
        <v>1</v>
      </c>
      <c r="AC128" s="345">
        <v>7</v>
      </c>
      <c r="AD128" s="349">
        <v>1420</v>
      </c>
      <c r="AE128" s="349">
        <v>4</v>
      </c>
      <c r="AF128" s="349">
        <v>2</v>
      </c>
      <c r="AG128" s="349">
        <v>6</v>
      </c>
    </row>
    <row r="129" spans="1:33" x14ac:dyDescent="0.2">
      <c r="A129" s="344" t="s">
        <v>314</v>
      </c>
      <c r="B129" s="350" t="s">
        <v>315</v>
      </c>
      <c r="C129" s="346">
        <v>2129</v>
      </c>
      <c r="D129" s="346">
        <v>27</v>
      </c>
      <c r="E129" s="346">
        <v>252</v>
      </c>
      <c r="F129" s="346">
        <v>354</v>
      </c>
      <c r="G129" s="346">
        <v>256</v>
      </c>
      <c r="H129" s="346">
        <v>3018</v>
      </c>
      <c r="I129" s="345">
        <v>2762</v>
      </c>
      <c r="J129" s="345">
        <v>2</v>
      </c>
      <c r="K129" s="347">
        <v>95.67</v>
      </c>
      <c r="L129" s="347">
        <v>95.17</v>
      </c>
      <c r="M129" s="347">
        <v>6.86</v>
      </c>
      <c r="N129" s="347">
        <v>100.14</v>
      </c>
      <c r="O129" s="348">
        <v>1590</v>
      </c>
      <c r="P129" s="345">
        <v>101.06</v>
      </c>
      <c r="Q129" s="345">
        <v>82.58</v>
      </c>
      <c r="R129" s="345">
        <v>41.43</v>
      </c>
      <c r="S129" s="345">
        <v>142.01</v>
      </c>
      <c r="T129" s="345">
        <v>435</v>
      </c>
      <c r="U129" s="345">
        <v>113.74</v>
      </c>
      <c r="V129" s="345">
        <v>388</v>
      </c>
      <c r="W129" s="345">
        <v>118.48</v>
      </c>
      <c r="X129" s="345">
        <v>9</v>
      </c>
      <c r="Y129" s="345">
        <v>0</v>
      </c>
      <c r="Z129" s="345">
        <v>0</v>
      </c>
      <c r="AA129" s="345">
        <v>0</v>
      </c>
      <c r="AB129" s="345">
        <v>0</v>
      </c>
      <c r="AC129" s="345">
        <v>2</v>
      </c>
      <c r="AD129" s="349">
        <v>1913</v>
      </c>
      <c r="AE129" s="349">
        <v>18</v>
      </c>
      <c r="AF129" s="349">
        <v>3</v>
      </c>
      <c r="AG129" s="349">
        <v>21</v>
      </c>
    </row>
    <row r="130" spans="1:33" x14ac:dyDescent="0.2">
      <c r="A130" s="344" t="s">
        <v>316</v>
      </c>
      <c r="B130" s="350" t="s">
        <v>317</v>
      </c>
      <c r="C130" s="346">
        <v>3355</v>
      </c>
      <c r="D130" s="346">
        <v>2</v>
      </c>
      <c r="E130" s="346">
        <v>289</v>
      </c>
      <c r="F130" s="346">
        <v>577</v>
      </c>
      <c r="G130" s="346">
        <v>980</v>
      </c>
      <c r="H130" s="346">
        <v>5203</v>
      </c>
      <c r="I130" s="345">
        <v>4223</v>
      </c>
      <c r="J130" s="345">
        <v>32</v>
      </c>
      <c r="K130" s="347">
        <v>134.13</v>
      </c>
      <c r="L130" s="347">
        <v>134.6</v>
      </c>
      <c r="M130" s="347">
        <v>9.82</v>
      </c>
      <c r="N130" s="347">
        <v>140.08000000000001</v>
      </c>
      <c r="O130" s="348">
        <v>2839</v>
      </c>
      <c r="P130" s="345">
        <v>96.96</v>
      </c>
      <c r="Q130" s="345">
        <v>95.12</v>
      </c>
      <c r="R130" s="345">
        <v>35.43</v>
      </c>
      <c r="S130" s="345">
        <v>124.96</v>
      </c>
      <c r="T130" s="345">
        <v>401</v>
      </c>
      <c r="U130" s="345">
        <v>181.38</v>
      </c>
      <c r="V130" s="345">
        <v>281</v>
      </c>
      <c r="W130" s="345">
        <v>186.55</v>
      </c>
      <c r="X130" s="345">
        <v>28</v>
      </c>
      <c r="Y130" s="345">
        <v>0</v>
      </c>
      <c r="Z130" s="345">
        <v>1</v>
      </c>
      <c r="AA130" s="345">
        <v>8</v>
      </c>
      <c r="AB130" s="345">
        <v>14</v>
      </c>
      <c r="AC130" s="345">
        <v>75</v>
      </c>
      <c r="AD130" s="349">
        <v>3286</v>
      </c>
      <c r="AE130" s="349">
        <v>13</v>
      </c>
      <c r="AF130" s="349">
        <v>13</v>
      </c>
      <c r="AG130" s="349">
        <v>26</v>
      </c>
    </row>
    <row r="131" spans="1:33" x14ac:dyDescent="0.2">
      <c r="A131" s="344" t="s">
        <v>318</v>
      </c>
      <c r="B131" s="350" t="s">
        <v>319</v>
      </c>
      <c r="C131" s="346">
        <v>2766</v>
      </c>
      <c r="D131" s="346">
        <v>0</v>
      </c>
      <c r="E131" s="346">
        <v>46</v>
      </c>
      <c r="F131" s="346">
        <v>321</v>
      </c>
      <c r="G131" s="346">
        <v>541</v>
      </c>
      <c r="H131" s="346">
        <v>3674</v>
      </c>
      <c r="I131" s="345">
        <v>3133</v>
      </c>
      <c r="J131" s="345">
        <v>1</v>
      </c>
      <c r="K131" s="347">
        <v>118.33</v>
      </c>
      <c r="L131" s="347">
        <v>117.76</v>
      </c>
      <c r="M131" s="347">
        <v>5.67</v>
      </c>
      <c r="N131" s="347">
        <v>120.63</v>
      </c>
      <c r="O131" s="348">
        <v>2403</v>
      </c>
      <c r="P131" s="345">
        <v>103.01</v>
      </c>
      <c r="Q131" s="345">
        <v>99.49</v>
      </c>
      <c r="R131" s="345">
        <v>27.85</v>
      </c>
      <c r="S131" s="345">
        <v>130.15</v>
      </c>
      <c r="T131" s="345">
        <v>313</v>
      </c>
      <c r="U131" s="345">
        <v>160.6</v>
      </c>
      <c r="V131" s="345">
        <v>327</v>
      </c>
      <c r="W131" s="345">
        <v>176.56</v>
      </c>
      <c r="X131" s="345">
        <v>1</v>
      </c>
      <c r="Y131" s="345">
        <v>121</v>
      </c>
      <c r="Z131" s="345">
        <v>3</v>
      </c>
      <c r="AA131" s="345">
        <v>0</v>
      </c>
      <c r="AB131" s="345">
        <v>60</v>
      </c>
      <c r="AC131" s="345">
        <v>56</v>
      </c>
      <c r="AD131" s="349">
        <v>2766</v>
      </c>
      <c r="AE131" s="349">
        <v>27</v>
      </c>
      <c r="AF131" s="349">
        <v>9</v>
      </c>
      <c r="AG131" s="349">
        <v>36</v>
      </c>
    </row>
    <row r="132" spans="1:33" x14ac:dyDescent="0.2">
      <c r="A132" s="344" t="s">
        <v>320</v>
      </c>
      <c r="B132" s="350" t="s">
        <v>321</v>
      </c>
      <c r="C132" s="346">
        <v>7811</v>
      </c>
      <c r="D132" s="346">
        <v>0</v>
      </c>
      <c r="E132" s="346">
        <v>142</v>
      </c>
      <c r="F132" s="346">
        <v>1979</v>
      </c>
      <c r="G132" s="346">
        <v>224</v>
      </c>
      <c r="H132" s="346">
        <v>10156</v>
      </c>
      <c r="I132" s="345">
        <v>9932</v>
      </c>
      <c r="J132" s="345">
        <v>18</v>
      </c>
      <c r="K132" s="347">
        <v>82.6</v>
      </c>
      <c r="L132" s="347">
        <v>82.09</v>
      </c>
      <c r="M132" s="347">
        <v>5.56</v>
      </c>
      <c r="N132" s="347">
        <v>84.84</v>
      </c>
      <c r="O132" s="348">
        <v>6737</v>
      </c>
      <c r="P132" s="345">
        <v>82.45</v>
      </c>
      <c r="Q132" s="345">
        <v>84.26</v>
      </c>
      <c r="R132" s="345">
        <v>36.03</v>
      </c>
      <c r="S132" s="345">
        <v>103.55</v>
      </c>
      <c r="T132" s="345">
        <v>2051</v>
      </c>
      <c r="U132" s="345">
        <v>93.02</v>
      </c>
      <c r="V132" s="345">
        <v>1024</v>
      </c>
      <c r="W132" s="345">
        <v>105.9</v>
      </c>
      <c r="X132" s="345">
        <v>60</v>
      </c>
      <c r="Y132" s="345">
        <v>0</v>
      </c>
      <c r="Z132" s="345">
        <v>21</v>
      </c>
      <c r="AA132" s="345">
        <v>2</v>
      </c>
      <c r="AB132" s="345">
        <v>1</v>
      </c>
      <c r="AC132" s="345">
        <v>0</v>
      </c>
      <c r="AD132" s="349">
        <v>7785</v>
      </c>
      <c r="AE132" s="349">
        <v>122</v>
      </c>
      <c r="AF132" s="349">
        <v>48</v>
      </c>
      <c r="AG132" s="349">
        <v>170</v>
      </c>
    </row>
    <row r="133" spans="1:33" x14ac:dyDescent="0.2">
      <c r="A133" s="344" t="s">
        <v>322</v>
      </c>
      <c r="B133" s="350" t="s">
        <v>323</v>
      </c>
      <c r="C133" s="346">
        <v>5023</v>
      </c>
      <c r="D133" s="346">
        <v>0</v>
      </c>
      <c r="E133" s="346">
        <v>286</v>
      </c>
      <c r="F133" s="346">
        <v>713</v>
      </c>
      <c r="G133" s="346">
        <v>187</v>
      </c>
      <c r="H133" s="346">
        <v>6209</v>
      </c>
      <c r="I133" s="345">
        <v>6022</v>
      </c>
      <c r="J133" s="345">
        <v>22</v>
      </c>
      <c r="K133" s="347">
        <v>88.79</v>
      </c>
      <c r="L133" s="347">
        <v>87.59</v>
      </c>
      <c r="M133" s="347">
        <v>6.68</v>
      </c>
      <c r="N133" s="347">
        <v>94.4</v>
      </c>
      <c r="O133" s="348">
        <v>4323</v>
      </c>
      <c r="P133" s="345">
        <v>74.95</v>
      </c>
      <c r="Q133" s="345">
        <v>72.2</v>
      </c>
      <c r="R133" s="345">
        <v>35.86</v>
      </c>
      <c r="S133" s="345">
        <v>110.67</v>
      </c>
      <c r="T133" s="345">
        <v>785</v>
      </c>
      <c r="U133" s="345">
        <v>113.63</v>
      </c>
      <c r="V133" s="345">
        <v>628</v>
      </c>
      <c r="W133" s="345">
        <v>93.57</v>
      </c>
      <c r="X133" s="345">
        <v>29</v>
      </c>
      <c r="Y133" s="345">
        <v>0</v>
      </c>
      <c r="Z133" s="345">
        <v>7</v>
      </c>
      <c r="AA133" s="345">
        <v>0</v>
      </c>
      <c r="AB133" s="345">
        <v>0</v>
      </c>
      <c r="AC133" s="345">
        <v>4</v>
      </c>
      <c r="AD133" s="349">
        <v>4954</v>
      </c>
      <c r="AE133" s="349">
        <v>4</v>
      </c>
      <c r="AF133" s="349">
        <v>12</v>
      </c>
      <c r="AG133" s="349">
        <v>16</v>
      </c>
    </row>
    <row r="134" spans="1:33" x14ac:dyDescent="0.2">
      <c r="A134" s="344" t="s">
        <v>324</v>
      </c>
      <c r="B134" s="350" t="s">
        <v>325</v>
      </c>
      <c r="C134" s="346">
        <v>4343</v>
      </c>
      <c r="D134" s="346">
        <v>0</v>
      </c>
      <c r="E134" s="346">
        <v>218</v>
      </c>
      <c r="F134" s="346">
        <v>993</v>
      </c>
      <c r="G134" s="346">
        <v>415</v>
      </c>
      <c r="H134" s="346">
        <v>5969</v>
      </c>
      <c r="I134" s="345">
        <v>5554</v>
      </c>
      <c r="J134" s="345">
        <v>0</v>
      </c>
      <c r="K134" s="347">
        <v>107.24</v>
      </c>
      <c r="L134" s="347">
        <v>103.4</v>
      </c>
      <c r="M134" s="347">
        <v>9.2899999999999991</v>
      </c>
      <c r="N134" s="347">
        <v>111.63</v>
      </c>
      <c r="O134" s="348">
        <v>3579</v>
      </c>
      <c r="P134" s="345">
        <v>98.2</v>
      </c>
      <c r="Q134" s="345">
        <v>89.53</v>
      </c>
      <c r="R134" s="345">
        <v>20.22</v>
      </c>
      <c r="S134" s="345">
        <v>116.41</v>
      </c>
      <c r="T134" s="345">
        <v>1081</v>
      </c>
      <c r="U134" s="345">
        <v>142.68</v>
      </c>
      <c r="V134" s="345">
        <v>617</v>
      </c>
      <c r="W134" s="345">
        <v>156.88999999999999</v>
      </c>
      <c r="X134" s="345">
        <v>15</v>
      </c>
      <c r="Y134" s="345">
        <v>20</v>
      </c>
      <c r="Z134" s="345">
        <v>10</v>
      </c>
      <c r="AA134" s="345">
        <v>0</v>
      </c>
      <c r="AB134" s="345">
        <v>24</v>
      </c>
      <c r="AC134" s="345">
        <v>6</v>
      </c>
      <c r="AD134" s="349">
        <v>4299</v>
      </c>
      <c r="AE134" s="349">
        <v>7</v>
      </c>
      <c r="AF134" s="349">
        <v>6</v>
      </c>
      <c r="AG134" s="349">
        <v>13</v>
      </c>
    </row>
    <row r="135" spans="1:33" x14ac:dyDescent="0.2">
      <c r="A135" s="344" t="s">
        <v>326</v>
      </c>
      <c r="B135" s="350" t="s">
        <v>327</v>
      </c>
      <c r="C135" s="346">
        <v>3583</v>
      </c>
      <c r="D135" s="346">
        <v>354</v>
      </c>
      <c r="E135" s="346">
        <v>163</v>
      </c>
      <c r="F135" s="346">
        <v>497</v>
      </c>
      <c r="G135" s="346">
        <v>806</v>
      </c>
      <c r="H135" s="346">
        <v>5403</v>
      </c>
      <c r="I135" s="345">
        <v>4597</v>
      </c>
      <c r="J135" s="345">
        <v>1</v>
      </c>
      <c r="K135" s="347">
        <v>120.93</v>
      </c>
      <c r="L135" s="347">
        <v>117.64</v>
      </c>
      <c r="M135" s="347">
        <v>10.08</v>
      </c>
      <c r="N135" s="347">
        <v>128.86000000000001</v>
      </c>
      <c r="O135" s="348">
        <v>2522</v>
      </c>
      <c r="P135" s="345">
        <v>105.19</v>
      </c>
      <c r="Q135" s="345">
        <v>101.36</v>
      </c>
      <c r="R135" s="345">
        <v>35.49</v>
      </c>
      <c r="S135" s="345">
        <v>140.05000000000001</v>
      </c>
      <c r="T135" s="345">
        <v>615</v>
      </c>
      <c r="U135" s="345">
        <v>179.9</v>
      </c>
      <c r="V135" s="345">
        <v>923</v>
      </c>
      <c r="W135" s="345">
        <v>202.03</v>
      </c>
      <c r="X135" s="345">
        <v>34</v>
      </c>
      <c r="Y135" s="345">
        <v>0</v>
      </c>
      <c r="Z135" s="345">
        <v>1</v>
      </c>
      <c r="AA135" s="345">
        <v>50</v>
      </c>
      <c r="AB135" s="345">
        <v>34</v>
      </c>
      <c r="AC135" s="345">
        <v>25</v>
      </c>
      <c r="AD135" s="349">
        <v>3555</v>
      </c>
      <c r="AE135" s="349">
        <v>11</v>
      </c>
      <c r="AF135" s="349">
        <v>55</v>
      </c>
      <c r="AG135" s="349">
        <v>66</v>
      </c>
    </row>
    <row r="136" spans="1:33" x14ac:dyDescent="0.2">
      <c r="A136" s="344" t="s">
        <v>328</v>
      </c>
      <c r="B136" s="350" t="s">
        <v>329</v>
      </c>
      <c r="C136" s="346">
        <v>9053</v>
      </c>
      <c r="D136" s="346">
        <v>0</v>
      </c>
      <c r="E136" s="346">
        <v>319</v>
      </c>
      <c r="F136" s="346">
        <v>1772</v>
      </c>
      <c r="G136" s="346">
        <v>709</v>
      </c>
      <c r="H136" s="346">
        <v>11853</v>
      </c>
      <c r="I136" s="345">
        <v>11144</v>
      </c>
      <c r="J136" s="345">
        <v>29</v>
      </c>
      <c r="K136" s="347">
        <v>90.83</v>
      </c>
      <c r="L136" s="347">
        <v>90.09</v>
      </c>
      <c r="M136" s="347">
        <v>3.81</v>
      </c>
      <c r="N136" s="347">
        <v>92.75</v>
      </c>
      <c r="O136" s="348">
        <v>8374</v>
      </c>
      <c r="P136" s="345">
        <v>83.62</v>
      </c>
      <c r="Q136" s="345">
        <v>83.1</v>
      </c>
      <c r="R136" s="345">
        <v>31.95</v>
      </c>
      <c r="S136" s="345">
        <v>108.1</v>
      </c>
      <c r="T136" s="345">
        <v>1977</v>
      </c>
      <c r="U136" s="345">
        <v>103.52</v>
      </c>
      <c r="V136" s="345">
        <v>582</v>
      </c>
      <c r="W136" s="345">
        <v>180.08</v>
      </c>
      <c r="X136" s="345">
        <v>40</v>
      </c>
      <c r="Y136" s="345">
        <v>3</v>
      </c>
      <c r="Z136" s="345">
        <v>22</v>
      </c>
      <c r="AA136" s="345">
        <v>1</v>
      </c>
      <c r="AB136" s="345">
        <v>17</v>
      </c>
      <c r="AC136" s="345">
        <v>10</v>
      </c>
      <c r="AD136" s="349">
        <v>9025</v>
      </c>
      <c r="AE136" s="349">
        <v>44</v>
      </c>
      <c r="AF136" s="349">
        <v>68</v>
      </c>
      <c r="AG136" s="349">
        <v>112</v>
      </c>
    </row>
    <row r="137" spans="1:33" x14ac:dyDescent="0.2">
      <c r="A137" s="344" t="s">
        <v>330</v>
      </c>
      <c r="B137" s="350" t="s">
        <v>331</v>
      </c>
      <c r="C137" s="346">
        <v>6256</v>
      </c>
      <c r="D137" s="346">
        <v>24</v>
      </c>
      <c r="E137" s="346">
        <v>147</v>
      </c>
      <c r="F137" s="346">
        <v>864</v>
      </c>
      <c r="G137" s="346">
        <v>433</v>
      </c>
      <c r="H137" s="346">
        <v>7724</v>
      </c>
      <c r="I137" s="345">
        <v>7291</v>
      </c>
      <c r="J137" s="345">
        <v>4</v>
      </c>
      <c r="K137" s="347">
        <v>121.8</v>
      </c>
      <c r="L137" s="347">
        <v>124.57</v>
      </c>
      <c r="M137" s="347">
        <v>8.01</v>
      </c>
      <c r="N137" s="347">
        <v>125.62</v>
      </c>
      <c r="O137" s="348">
        <v>5412</v>
      </c>
      <c r="P137" s="345">
        <v>113.05</v>
      </c>
      <c r="Q137" s="345">
        <v>111.6</v>
      </c>
      <c r="R137" s="345">
        <v>34.18</v>
      </c>
      <c r="S137" s="345">
        <v>145.75</v>
      </c>
      <c r="T137" s="345">
        <v>970</v>
      </c>
      <c r="U137" s="345">
        <v>179.13</v>
      </c>
      <c r="V137" s="345">
        <v>683</v>
      </c>
      <c r="W137" s="345">
        <v>0</v>
      </c>
      <c r="X137" s="345">
        <v>0</v>
      </c>
      <c r="Y137" s="345">
        <v>0</v>
      </c>
      <c r="Z137" s="345">
        <v>3</v>
      </c>
      <c r="AA137" s="345">
        <v>0</v>
      </c>
      <c r="AB137" s="345">
        <v>7</v>
      </c>
      <c r="AC137" s="345">
        <v>13</v>
      </c>
      <c r="AD137" s="349">
        <v>6143</v>
      </c>
      <c r="AE137" s="349">
        <v>30</v>
      </c>
      <c r="AF137" s="349">
        <v>11</v>
      </c>
      <c r="AG137" s="349">
        <v>41</v>
      </c>
    </row>
    <row r="138" spans="1:33" x14ac:dyDescent="0.2">
      <c r="A138" s="344" t="s">
        <v>332</v>
      </c>
      <c r="B138" s="350" t="s">
        <v>333</v>
      </c>
      <c r="C138" s="346">
        <v>815</v>
      </c>
      <c r="D138" s="346">
        <v>0</v>
      </c>
      <c r="E138" s="346">
        <v>52</v>
      </c>
      <c r="F138" s="346">
        <v>337</v>
      </c>
      <c r="G138" s="346">
        <v>192</v>
      </c>
      <c r="H138" s="346">
        <v>1396</v>
      </c>
      <c r="I138" s="345">
        <v>1204</v>
      </c>
      <c r="J138" s="345">
        <v>53</v>
      </c>
      <c r="K138" s="347">
        <v>97.77</v>
      </c>
      <c r="L138" s="347">
        <v>96.12</v>
      </c>
      <c r="M138" s="347">
        <v>6.63</v>
      </c>
      <c r="N138" s="347">
        <v>101.39</v>
      </c>
      <c r="O138" s="348">
        <v>747</v>
      </c>
      <c r="P138" s="345">
        <v>85.52</v>
      </c>
      <c r="Q138" s="345">
        <v>81.239999999999995</v>
      </c>
      <c r="R138" s="345">
        <v>39.21</v>
      </c>
      <c r="S138" s="345">
        <v>123.35</v>
      </c>
      <c r="T138" s="345">
        <v>369</v>
      </c>
      <c r="U138" s="345">
        <v>110.99</v>
      </c>
      <c r="V138" s="345">
        <v>50</v>
      </c>
      <c r="W138" s="345">
        <v>0</v>
      </c>
      <c r="X138" s="345">
        <v>0</v>
      </c>
      <c r="Y138" s="345">
        <v>0</v>
      </c>
      <c r="Z138" s="345">
        <v>0</v>
      </c>
      <c r="AA138" s="345">
        <v>0</v>
      </c>
      <c r="AB138" s="345">
        <v>13</v>
      </c>
      <c r="AC138" s="345">
        <v>5</v>
      </c>
      <c r="AD138" s="349">
        <v>797</v>
      </c>
      <c r="AE138" s="349">
        <v>9</v>
      </c>
      <c r="AF138" s="349">
        <v>2</v>
      </c>
      <c r="AG138" s="349">
        <v>11</v>
      </c>
    </row>
    <row r="139" spans="1:33" x14ac:dyDescent="0.2">
      <c r="A139" s="344" t="s">
        <v>334</v>
      </c>
      <c r="B139" s="350" t="s">
        <v>335</v>
      </c>
      <c r="C139" s="346">
        <v>6361</v>
      </c>
      <c r="D139" s="346">
        <v>0</v>
      </c>
      <c r="E139" s="346">
        <v>621</v>
      </c>
      <c r="F139" s="346">
        <v>499</v>
      </c>
      <c r="G139" s="346">
        <v>1171</v>
      </c>
      <c r="H139" s="346">
        <v>8652</v>
      </c>
      <c r="I139" s="345">
        <v>7481</v>
      </c>
      <c r="J139" s="345">
        <v>110</v>
      </c>
      <c r="K139" s="347">
        <v>126.02</v>
      </c>
      <c r="L139" s="347">
        <v>124.57</v>
      </c>
      <c r="M139" s="347">
        <v>10.17</v>
      </c>
      <c r="N139" s="347">
        <v>132.80000000000001</v>
      </c>
      <c r="O139" s="348">
        <v>5510</v>
      </c>
      <c r="P139" s="345">
        <v>104.66</v>
      </c>
      <c r="Q139" s="345">
        <v>103.68</v>
      </c>
      <c r="R139" s="345">
        <v>40.92</v>
      </c>
      <c r="S139" s="345">
        <v>143.76</v>
      </c>
      <c r="T139" s="345">
        <v>877</v>
      </c>
      <c r="U139" s="345">
        <v>186.52</v>
      </c>
      <c r="V139" s="345">
        <v>687</v>
      </c>
      <c r="W139" s="345">
        <v>165.23</v>
      </c>
      <c r="X139" s="345">
        <v>49</v>
      </c>
      <c r="Y139" s="345">
        <v>2</v>
      </c>
      <c r="Z139" s="345">
        <v>3</v>
      </c>
      <c r="AA139" s="345">
        <v>3</v>
      </c>
      <c r="AB139" s="345">
        <v>32</v>
      </c>
      <c r="AC139" s="345">
        <v>44</v>
      </c>
      <c r="AD139" s="349">
        <v>6227</v>
      </c>
      <c r="AE139" s="349">
        <v>15</v>
      </c>
      <c r="AF139" s="349">
        <v>11</v>
      </c>
      <c r="AG139" s="349">
        <v>26</v>
      </c>
    </row>
    <row r="140" spans="1:33" x14ac:dyDescent="0.2">
      <c r="A140" s="344" t="s">
        <v>336</v>
      </c>
      <c r="B140" s="350" t="s">
        <v>337</v>
      </c>
      <c r="C140" s="346">
        <v>1757</v>
      </c>
      <c r="D140" s="346">
        <v>0</v>
      </c>
      <c r="E140" s="346">
        <v>77</v>
      </c>
      <c r="F140" s="346">
        <v>125</v>
      </c>
      <c r="G140" s="346">
        <v>320</v>
      </c>
      <c r="H140" s="346">
        <v>2279</v>
      </c>
      <c r="I140" s="345">
        <v>1959</v>
      </c>
      <c r="J140" s="345">
        <v>4</v>
      </c>
      <c r="K140" s="347">
        <v>91.9</v>
      </c>
      <c r="L140" s="347">
        <v>89.15</v>
      </c>
      <c r="M140" s="347">
        <v>4.95</v>
      </c>
      <c r="N140" s="347">
        <v>94.53</v>
      </c>
      <c r="O140" s="348">
        <v>1458</v>
      </c>
      <c r="P140" s="345">
        <v>89.53</v>
      </c>
      <c r="Q140" s="345">
        <v>78.38</v>
      </c>
      <c r="R140" s="345">
        <v>16.66</v>
      </c>
      <c r="S140" s="345">
        <v>106.19</v>
      </c>
      <c r="T140" s="345">
        <v>191</v>
      </c>
      <c r="U140" s="345">
        <v>104.31</v>
      </c>
      <c r="V140" s="345">
        <v>267</v>
      </c>
      <c r="W140" s="345">
        <v>0</v>
      </c>
      <c r="X140" s="345">
        <v>0</v>
      </c>
      <c r="Y140" s="345">
        <v>0</v>
      </c>
      <c r="Z140" s="345">
        <v>0</v>
      </c>
      <c r="AA140" s="345">
        <v>2</v>
      </c>
      <c r="AB140" s="345">
        <v>23</v>
      </c>
      <c r="AC140" s="345">
        <v>4</v>
      </c>
      <c r="AD140" s="349">
        <v>1757</v>
      </c>
      <c r="AE140" s="349">
        <v>4</v>
      </c>
      <c r="AF140" s="349">
        <v>20</v>
      </c>
      <c r="AG140" s="349">
        <v>24</v>
      </c>
    </row>
    <row r="141" spans="1:33" x14ac:dyDescent="0.2">
      <c r="A141" s="344" t="s">
        <v>338</v>
      </c>
      <c r="B141" s="350" t="s">
        <v>339</v>
      </c>
      <c r="C141" s="346">
        <v>5582</v>
      </c>
      <c r="D141" s="346">
        <v>0</v>
      </c>
      <c r="E141" s="346">
        <v>154</v>
      </c>
      <c r="F141" s="346">
        <v>1127</v>
      </c>
      <c r="G141" s="346">
        <v>526</v>
      </c>
      <c r="H141" s="346">
        <v>7389</v>
      </c>
      <c r="I141" s="345">
        <v>6863</v>
      </c>
      <c r="J141" s="345">
        <v>4</v>
      </c>
      <c r="K141" s="347">
        <v>112.89</v>
      </c>
      <c r="L141" s="347">
        <v>112.27</v>
      </c>
      <c r="M141" s="347">
        <v>3.84</v>
      </c>
      <c r="N141" s="347">
        <v>115.2</v>
      </c>
      <c r="O141" s="348">
        <v>4642</v>
      </c>
      <c r="P141" s="345">
        <v>97.19</v>
      </c>
      <c r="Q141" s="345">
        <v>94.63</v>
      </c>
      <c r="R141" s="345">
        <v>25.58</v>
      </c>
      <c r="S141" s="345">
        <v>122.63</v>
      </c>
      <c r="T141" s="345">
        <v>1065</v>
      </c>
      <c r="U141" s="345">
        <v>159.22999999999999</v>
      </c>
      <c r="V141" s="345">
        <v>880</v>
      </c>
      <c r="W141" s="345">
        <v>189.74</v>
      </c>
      <c r="X141" s="345">
        <v>117</v>
      </c>
      <c r="Y141" s="345">
        <v>0</v>
      </c>
      <c r="Z141" s="345">
        <v>13</v>
      </c>
      <c r="AA141" s="345">
        <v>0</v>
      </c>
      <c r="AB141" s="345">
        <v>55</v>
      </c>
      <c r="AC141" s="345">
        <v>9</v>
      </c>
      <c r="AD141" s="349">
        <v>5549</v>
      </c>
      <c r="AE141" s="349">
        <v>33</v>
      </c>
      <c r="AF141" s="349">
        <v>35</v>
      </c>
      <c r="AG141" s="349">
        <v>68</v>
      </c>
    </row>
    <row r="142" spans="1:33" x14ac:dyDescent="0.2">
      <c r="A142" s="344" t="s">
        <v>340</v>
      </c>
      <c r="B142" s="350" t="s">
        <v>341</v>
      </c>
      <c r="C142" s="346">
        <v>7459</v>
      </c>
      <c r="D142" s="346">
        <v>16</v>
      </c>
      <c r="E142" s="346">
        <v>420</v>
      </c>
      <c r="F142" s="346">
        <v>183</v>
      </c>
      <c r="G142" s="346">
        <v>1900</v>
      </c>
      <c r="H142" s="346">
        <v>9978</v>
      </c>
      <c r="I142" s="345">
        <v>8078</v>
      </c>
      <c r="J142" s="345">
        <v>68</v>
      </c>
      <c r="K142" s="347">
        <v>125.32</v>
      </c>
      <c r="L142" s="347">
        <v>125.38</v>
      </c>
      <c r="M142" s="347">
        <v>9.77</v>
      </c>
      <c r="N142" s="347">
        <v>132.69999999999999</v>
      </c>
      <c r="O142" s="348">
        <v>5887</v>
      </c>
      <c r="P142" s="345">
        <v>110.92</v>
      </c>
      <c r="Q142" s="345">
        <v>109.28</v>
      </c>
      <c r="R142" s="345">
        <v>61.57</v>
      </c>
      <c r="S142" s="345">
        <v>160.55000000000001</v>
      </c>
      <c r="T142" s="345">
        <v>325</v>
      </c>
      <c r="U142" s="345">
        <v>190.71</v>
      </c>
      <c r="V142" s="345">
        <v>732</v>
      </c>
      <c r="W142" s="345">
        <v>232.23</v>
      </c>
      <c r="X142" s="345">
        <v>107</v>
      </c>
      <c r="Y142" s="345">
        <v>0</v>
      </c>
      <c r="Z142" s="345">
        <v>10</v>
      </c>
      <c r="AA142" s="345">
        <v>4</v>
      </c>
      <c r="AB142" s="345">
        <v>54</v>
      </c>
      <c r="AC142" s="345">
        <v>91</v>
      </c>
      <c r="AD142" s="349">
        <v>6930</v>
      </c>
      <c r="AE142" s="349">
        <v>31</v>
      </c>
      <c r="AF142" s="349">
        <v>27</v>
      </c>
      <c r="AG142" s="349">
        <v>58</v>
      </c>
    </row>
    <row r="143" spans="1:33" x14ac:dyDescent="0.2">
      <c r="A143" s="344" t="s">
        <v>342</v>
      </c>
      <c r="B143" s="350" t="s">
        <v>343</v>
      </c>
      <c r="C143" s="346">
        <v>8280</v>
      </c>
      <c r="D143" s="346">
        <v>0</v>
      </c>
      <c r="E143" s="346">
        <v>349</v>
      </c>
      <c r="F143" s="346">
        <v>1053</v>
      </c>
      <c r="G143" s="346">
        <v>566</v>
      </c>
      <c r="H143" s="346">
        <v>10248</v>
      </c>
      <c r="I143" s="345">
        <v>9682</v>
      </c>
      <c r="J143" s="345">
        <v>8</v>
      </c>
      <c r="K143" s="347">
        <v>96.6</v>
      </c>
      <c r="L143" s="347">
        <v>31.91</v>
      </c>
      <c r="M143" s="347">
        <v>4.01</v>
      </c>
      <c r="N143" s="347">
        <v>98.1</v>
      </c>
      <c r="O143" s="348">
        <v>7862</v>
      </c>
      <c r="P143" s="345">
        <v>95.88</v>
      </c>
      <c r="Q143" s="345">
        <v>88.16</v>
      </c>
      <c r="R143" s="345">
        <v>44.38</v>
      </c>
      <c r="S143" s="345">
        <v>139.44</v>
      </c>
      <c r="T143" s="345">
        <v>747</v>
      </c>
      <c r="U143" s="345">
        <v>122.93</v>
      </c>
      <c r="V143" s="345">
        <v>194</v>
      </c>
      <c r="W143" s="345">
        <v>211.45</v>
      </c>
      <c r="X143" s="345">
        <v>55</v>
      </c>
      <c r="Y143" s="345">
        <v>0</v>
      </c>
      <c r="Z143" s="345">
        <v>22</v>
      </c>
      <c r="AA143" s="345">
        <v>1</v>
      </c>
      <c r="AB143" s="345">
        <v>38</v>
      </c>
      <c r="AC143" s="345">
        <v>15</v>
      </c>
      <c r="AD143" s="349">
        <v>8278</v>
      </c>
      <c r="AE143" s="349">
        <v>56</v>
      </c>
      <c r="AF143" s="349">
        <v>41</v>
      </c>
      <c r="AG143" s="349">
        <v>97</v>
      </c>
    </row>
    <row r="144" spans="1:33" x14ac:dyDescent="0.2">
      <c r="A144" s="344" t="s">
        <v>344</v>
      </c>
      <c r="B144" s="350" t="s">
        <v>345</v>
      </c>
      <c r="C144" s="346">
        <v>3038</v>
      </c>
      <c r="D144" s="346">
        <v>0</v>
      </c>
      <c r="E144" s="346">
        <v>212</v>
      </c>
      <c r="F144" s="346">
        <v>1624</v>
      </c>
      <c r="G144" s="346">
        <v>40</v>
      </c>
      <c r="H144" s="346">
        <v>4914</v>
      </c>
      <c r="I144" s="345">
        <v>4874</v>
      </c>
      <c r="J144" s="345">
        <v>95</v>
      </c>
      <c r="K144" s="347">
        <v>78.19</v>
      </c>
      <c r="L144" s="347">
        <v>78.59</v>
      </c>
      <c r="M144" s="347">
        <v>2.25</v>
      </c>
      <c r="N144" s="347">
        <v>79.36</v>
      </c>
      <c r="O144" s="348">
        <v>2935</v>
      </c>
      <c r="P144" s="345">
        <v>76.2</v>
      </c>
      <c r="Q144" s="345">
        <v>72.75</v>
      </c>
      <c r="R144" s="345">
        <v>18.63</v>
      </c>
      <c r="S144" s="345">
        <v>94.66</v>
      </c>
      <c r="T144" s="345">
        <v>1783</v>
      </c>
      <c r="U144" s="345">
        <v>90.57</v>
      </c>
      <c r="V144" s="345">
        <v>102</v>
      </c>
      <c r="W144" s="345">
        <v>241.93</v>
      </c>
      <c r="X144" s="345">
        <v>12</v>
      </c>
      <c r="Y144" s="345">
        <v>0</v>
      </c>
      <c r="Z144" s="345">
        <v>14</v>
      </c>
      <c r="AA144" s="345">
        <v>4</v>
      </c>
      <c r="AB144" s="345">
        <v>0</v>
      </c>
      <c r="AC144" s="345">
        <v>1</v>
      </c>
      <c r="AD144" s="349">
        <v>3038</v>
      </c>
      <c r="AE144" s="349">
        <v>37</v>
      </c>
      <c r="AF144" s="349">
        <v>12</v>
      </c>
      <c r="AG144" s="349">
        <v>49</v>
      </c>
    </row>
    <row r="145" spans="1:33" x14ac:dyDescent="0.2">
      <c r="A145" s="344" t="s">
        <v>346</v>
      </c>
      <c r="B145" s="350" t="s">
        <v>347</v>
      </c>
      <c r="C145" s="346">
        <v>3726</v>
      </c>
      <c r="D145" s="346">
        <v>0</v>
      </c>
      <c r="E145" s="346">
        <v>601</v>
      </c>
      <c r="F145" s="346">
        <v>743</v>
      </c>
      <c r="G145" s="346">
        <v>329</v>
      </c>
      <c r="H145" s="346">
        <v>5399</v>
      </c>
      <c r="I145" s="345">
        <v>5070</v>
      </c>
      <c r="J145" s="345">
        <v>19</v>
      </c>
      <c r="K145" s="347">
        <v>89.34</v>
      </c>
      <c r="L145" s="347">
        <v>89.26</v>
      </c>
      <c r="M145" s="347">
        <v>6.46</v>
      </c>
      <c r="N145" s="347">
        <v>94.19</v>
      </c>
      <c r="O145" s="348">
        <v>3138</v>
      </c>
      <c r="P145" s="345">
        <v>80.540000000000006</v>
      </c>
      <c r="Q145" s="345">
        <v>75.099999999999994</v>
      </c>
      <c r="R145" s="345">
        <v>55.25</v>
      </c>
      <c r="S145" s="345">
        <v>135.09</v>
      </c>
      <c r="T145" s="345">
        <v>1103</v>
      </c>
      <c r="U145" s="345">
        <v>100.04</v>
      </c>
      <c r="V145" s="345">
        <v>537</v>
      </c>
      <c r="W145" s="345">
        <v>89.07</v>
      </c>
      <c r="X145" s="345">
        <v>2</v>
      </c>
      <c r="Y145" s="345">
        <v>0</v>
      </c>
      <c r="Z145" s="345">
        <v>5</v>
      </c>
      <c r="AA145" s="345">
        <v>0</v>
      </c>
      <c r="AB145" s="345">
        <v>1</v>
      </c>
      <c r="AC145" s="345">
        <v>15</v>
      </c>
      <c r="AD145" s="349">
        <v>3726</v>
      </c>
      <c r="AE145" s="349">
        <v>14</v>
      </c>
      <c r="AF145" s="349">
        <v>28</v>
      </c>
      <c r="AG145" s="349">
        <v>42</v>
      </c>
    </row>
    <row r="146" spans="1:33" x14ac:dyDescent="0.2">
      <c r="A146" s="344" t="s">
        <v>348</v>
      </c>
      <c r="B146" s="350" t="s">
        <v>349</v>
      </c>
      <c r="C146" s="346">
        <v>6557</v>
      </c>
      <c r="D146" s="346">
        <v>11</v>
      </c>
      <c r="E146" s="346">
        <v>207</v>
      </c>
      <c r="F146" s="346">
        <v>405</v>
      </c>
      <c r="G146" s="346">
        <v>269</v>
      </c>
      <c r="H146" s="346">
        <v>7449</v>
      </c>
      <c r="I146" s="345">
        <v>7180</v>
      </c>
      <c r="J146" s="345">
        <v>0</v>
      </c>
      <c r="K146" s="347">
        <v>89.27</v>
      </c>
      <c r="L146" s="347">
        <v>87.96</v>
      </c>
      <c r="M146" s="347">
        <v>8.07</v>
      </c>
      <c r="N146" s="347">
        <v>94.03</v>
      </c>
      <c r="O146" s="348">
        <v>5743</v>
      </c>
      <c r="P146" s="345">
        <v>76.08</v>
      </c>
      <c r="Q146" s="345">
        <v>68.86</v>
      </c>
      <c r="R146" s="345">
        <v>37.67</v>
      </c>
      <c r="S146" s="345">
        <v>107.68</v>
      </c>
      <c r="T146" s="345">
        <v>583</v>
      </c>
      <c r="U146" s="345">
        <v>122.03</v>
      </c>
      <c r="V146" s="345">
        <v>297</v>
      </c>
      <c r="W146" s="345">
        <v>98.17</v>
      </c>
      <c r="X146" s="345">
        <v>13</v>
      </c>
      <c r="Y146" s="345">
        <v>0</v>
      </c>
      <c r="Z146" s="345">
        <v>1</v>
      </c>
      <c r="AA146" s="345">
        <v>0</v>
      </c>
      <c r="AB146" s="345">
        <v>14</v>
      </c>
      <c r="AC146" s="345">
        <v>3</v>
      </c>
      <c r="AD146" s="349">
        <v>6115</v>
      </c>
      <c r="AE146" s="349">
        <v>23</v>
      </c>
      <c r="AF146" s="349">
        <v>5</v>
      </c>
      <c r="AG146" s="349">
        <v>28</v>
      </c>
    </row>
    <row r="147" spans="1:33" x14ac:dyDescent="0.2">
      <c r="A147" s="344" t="s">
        <v>350</v>
      </c>
      <c r="B147" s="350" t="s">
        <v>351</v>
      </c>
      <c r="C147" s="346">
        <v>54</v>
      </c>
      <c r="D147" s="346">
        <v>0</v>
      </c>
      <c r="E147" s="346">
        <v>0</v>
      </c>
      <c r="F147" s="346">
        <v>7</v>
      </c>
      <c r="G147" s="346">
        <v>0</v>
      </c>
      <c r="H147" s="346">
        <v>61</v>
      </c>
      <c r="I147" s="345">
        <v>61</v>
      </c>
      <c r="J147" s="345">
        <v>0</v>
      </c>
      <c r="K147" s="347">
        <v>103.46</v>
      </c>
      <c r="L147" s="347">
        <v>105.3</v>
      </c>
      <c r="M147" s="347">
        <v>2.57</v>
      </c>
      <c r="N147" s="347">
        <v>104.51</v>
      </c>
      <c r="O147" s="348">
        <v>27</v>
      </c>
      <c r="P147" s="345">
        <v>97.32</v>
      </c>
      <c r="Q147" s="345">
        <v>87.35</v>
      </c>
      <c r="R147" s="345">
        <v>14.28</v>
      </c>
      <c r="S147" s="345">
        <v>111.6</v>
      </c>
      <c r="T147" s="345">
        <v>7</v>
      </c>
      <c r="U147" s="345">
        <v>117.42</v>
      </c>
      <c r="V147" s="345">
        <v>2</v>
      </c>
      <c r="W147" s="345">
        <v>0</v>
      </c>
      <c r="X147" s="345">
        <v>0</v>
      </c>
      <c r="Y147" s="345">
        <v>0</v>
      </c>
      <c r="Z147" s="345">
        <v>0</v>
      </c>
      <c r="AA147" s="345">
        <v>0</v>
      </c>
      <c r="AB147" s="345">
        <v>0</v>
      </c>
      <c r="AC147" s="345">
        <v>0</v>
      </c>
      <c r="AD147" s="349">
        <v>27</v>
      </c>
      <c r="AE147" s="349">
        <v>0</v>
      </c>
      <c r="AF147" s="349">
        <v>0</v>
      </c>
      <c r="AG147" s="349">
        <v>0</v>
      </c>
    </row>
    <row r="148" spans="1:33" x14ac:dyDescent="0.2">
      <c r="A148" s="344" t="s">
        <v>352</v>
      </c>
      <c r="B148" s="350" t="s">
        <v>353</v>
      </c>
      <c r="C148" s="346">
        <v>13529</v>
      </c>
      <c r="D148" s="346">
        <v>255</v>
      </c>
      <c r="E148" s="346">
        <v>1330</v>
      </c>
      <c r="F148" s="346">
        <v>789</v>
      </c>
      <c r="G148" s="346">
        <v>1389</v>
      </c>
      <c r="H148" s="346">
        <v>17292</v>
      </c>
      <c r="I148" s="345">
        <v>15903</v>
      </c>
      <c r="J148" s="345">
        <v>54</v>
      </c>
      <c r="K148" s="347">
        <v>126.78</v>
      </c>
      <c r="L148" s="347">
        <v>134.59</v>
      </c>
      <c r="M148" s="347">
        <v>11.08</v>
      </c>
      <c r="N148" s="347">
        <v>135.22999999999999</v>
      </c>
      <c r="O148" s="348">
        <v>11628</v>
      </c>
      <c r="P148" s="345">
        <v>120.04</v>
      </c>
      <c r="Q148" s="345">
        <v>120.52</v>
      </c>
      <c r="R148" s="345">
        <v>49.64</v>
      </c>
      <c r="S148" s="345">
        <v>165.25</v>
      </c>
      <c r="T148" s="345">
        <v>1670</v>
      </c>
      <c r="U148" s="345">
        <v>184.83</v>
      </c>
      <c r="V148" s="345">
        <v>542</v>
      </c>
      <c r="W148" s="345">
        <v>176.5</v>
      </c>
      <c r="X148" s="345">
        <v>2</v>
      </c>
      <c r="Y148" s="345">
        <v>9</v>
      </c>
      <c r="Z148" s="345">
        <v>4</v>
      </c>
      <c r="AA148" s="345">
        <v>0</v>
      </c>
      <c r="AB148" s="345">
        <v>28</v>
      </c>
      <c r="AC148" s="345">
        <v>75</v>
      </c>
      <c r="AD148" s="349">
        <v>12525</v>
      </c>
      <c r="AE148" s="349">
        <v>47</v>
      </c>
      <c r="AF148" s="349">
        <v>66</v>
      </c>
      <c r="AG148" s="349">
        <v>113</v>
      </c>
    </row>
    <row r="149" spans="1:33" x14ac:dyDescent="0.2">
      <c r="A149" s="344" t="s">
        <v>354</v>
      </c>
      <c r="B149" s="350" t="s">
        <v>355</v>
      </c>
      <c r="C149" s="346">
        <v>10769</v>
      </c>
      <c r="D149" s="346">
        <v>20</v>
      </c>
      <c r="E149" s="346">
        <v>976</v>
      </c>
      <c r="F149" s="346">
        <v>959</v>
      </c>
      <c r="G149" s="346">
        <v>564</v>
      </c>
      <c r="H149" s="346">
        <v>13288</v>
      </c>
      <c r="I149" s="345">
        <v>12724</v>
      </c>
      <c r="J149" s="345">
        <v>59</v>
      </c>
      <c r="K149" s="347">
        <v>125.92</v>
      </c>
      <c r="L149" s="347">
        <v>144.41999999999999</v>
      </c>
      <c r="M149" s="347">
        <v>11.56</v>
      </c>
      <c r="N149" s="347">
        <v>133.43</v>
      </c>
      <c r="O149" s="348">
        <v>9404</v>
      </c>
      <c r="P149" s="345">
        <v>119.87</v>
      </c>
      <c r="Q149" s="345">
        <v>123.74</v>
      </c>
      <c r="R149" s="345">
        <v>51.61</v>
      </c>
      <c r="S149" s="345">
        <v>162.44999999999999</v>
      </c>
      <c r="T149" s="345">
        <v>1453</v>
      </c>
      <c r="U149" s="345">
        <v>214.62</v>
      </c>
      <c r="V149" s="345">
        <v>535</v>
      </c>
      <c r="W149" s="345">
        <v>207.31</v>
      </c>
      <c r="X149" s="345">
        <v>27</v>
      </c>
      <c r="Y149" s="345">
        <v>0</v>
      </c>
      <c r="Z149" s="345">
        <v>0</v>
      </c>
      <c r="AA149" s="345">
        <v>0</v>
      </c>
      <c r="AB149" s="345">
        <v>25</v>
      </c>
      <c r="AC149" s="345">
        <v>11</v>
      </c>
      <c r="AD149" s="349">
        <v>9956</v>
      </c>
      <c r="AE149" s="349">
        <v>41</v>
      </c>
      <c r="AF149" s="349">
        <v>200</v>
      </c>
      <c r="AG149" s="349">
        <v>241</v>
      </c>
    </row>
    <row r="150" spans="1:33" x14ac:dyDescent="0.2">
      <c r="A150" s="344" t="s">
        <v>356</v>
      </c>
      <c r="B150" s="350" t="s">
        <v>357</v>
      </c>
      <c r="C150" s="346">
        <v>8411</v>
      </c>
      <c r="D150" s="346">
        <v>0</v>
      </c>
      <c r="E150" s="346">
        <v>362</v>
      </c>
      <c r="F150" s="346">
        <v>940</v>
      </c>
      <c r="G150" s="346">
        <v>203</v>
      </c>
      <c r="H150" s="346">
        <v>9916</v>
      </c>
      <c r="I150" s="345">
        <v>9713</v>
      </c>
      <c r="J150" s="345">
        <v>25</v>
      </c>
      <c r="K150" s="347">
        <v>84.44</v>
      </c>
      <c r="L150" s="347">
        <v>84.37</v>
      </c>
      <c r="M150" s="347">
        <v>3.62</v>
      </c>
      <c r="N150" s="347">
        <v>85.59</v>
      </c>
      <c r="O150" s="348">
        <v>7772</v>
      </c>
      <c r="P150" s="345">
        <v>83.19</v>
      </c>
      <c r="Q150" s="345">
        <v>80.25</v>
      </c>
      <c r="R150" s="345">
        <v>28.26</v>
      </c>
      <c r="S150" s="345">
        <v>109.11</v>
      </c>
      <c r="T150" s="345">
        <v>1275</v>
      </c>
      <c r="U150" s="345">
        <v>103.16</v>
      </c>
      <c r="V150" s="345">
        <v>597</v>
      </c>
      <c r="W150" s="345">
        <v>96.86</v>
      </c>
      <c r="X150" s="345">
        <v>10</v>
      </c>
      <c r="Y150" s="345">
        <v>0</v>
      </c>
      <c r="Z150" s="345">
        <v>24</v>
      </c>
      <c r="AA150" s="345">
        <v>1</v>
      </c>
      <c r="AB150" s="345">
        <v>3</v>
      </c>
      <c r="AC150" s="345">
        <v>9</v>
      </c>
      <c r="AD150" s="349">
        <v>8403</v>
      </c>
      <c r="AE150" s="349">
        <v>30</v>
      </c>
      <c r="AF150" s="349">
        <v>78</v>
      </c>
      <c r="AG150" s="349">
        <v>108</v>
      </c>
    </row>
    <row r="151" spans="1:33" x14ac:dyDescent="0.2">
      <c r="A151" s="344" t="s">
        <v>358</v>
      </c>
      <c r="B151" s="350" t="s">
        <v>359</v>
      </c>
      <c r="C151" s="346">
        <v>5780</v>
      </c>
      <c r="D151" s="346">
        <v>7</v>
      </c>
      <c r="E151" s="346">
        <v>926</v>
      </c>
      <c r="F151" s="346">
        <v>2148</v>
      </c>
      <c r="G151" s="346">
        <v>178</v>
      </c>
      <c r="H151" s="346">
        <v>9039</v>
      </c>
      <c r="I151" s="345">
        <v>8861</v>
      </c>
      <c r="J151" s="345">
        <v>4</v>
      </c>
      <c r="K151" s="347">
        <v>79.23</v>
      </c>
      <c r="L151" s="347">
        <v>79.86</v>
      </c>
      <c r="M151" s="347">
        <v>5.3</v>
      </c>
      <c r="N151" s="347">
        <v>83.23</v>
      </c>
      <c r="O151" s="348">
        <v>5093</v>
      </c>
      <c r="P151" s="345">
        <v>83.33</v>
      </c>
      <c r="Q151" s="345">
        <v>76.58</v>
      </c>
      <c r="R151" s="345">
        <v>33.53</v>
      </c>
      <c r="S151" s="345">
        <v>116.32</v>
      </c>
      <c r="T151" s="345">
        <v>2624</v>
      </c>
      <c r="U151" s="345">
        <v>96.15</v>
      </c>
      <c r="V151" s="345">
        <v>534</v>
      </c>
      <c r="W151" s="345">
        <v>183.2</v>
      </c>
      <c r="X151" s="345">
        <v>38</v>
      </c>
      <c r="Y151" s="345">
        <v>38</v>
      </c>
      <c r="Z151" s="345">
        <v>9</v>
      </c>
      <c r="AA151" s="345">
        <v>0</v>
      </c>
      <c r="AB151" s="345">
        <v>7</v>
      </c>
      <c r="AC151" s="345">
        <v>1</v>
      </c>
      <c r="AD151" s="349">
        <v>5634</v>
      </c>
      <c r="AE151" s="349">
        <v>32</v>
      </c>
      <c r="AF151" s="349">
        <v>23</v>
      </c>
      <c r="AG151" s="349">
        <v>55</v>
      </c>
    </row>
    <row r="152" spans="1:33" x14ac:dyDescent="0.2">
      <c r="A152" s="344" t="s">
        <v>360</v>
      </c>
      <c r="B152" s="350" t="s">
        <v>361</v>
      </c>
      <c r="C152" s="346">
        <v>2121</v>
      </c>
      <c r="D152" s="346">
        <v>15</v>
      </c>
      <c r="E152" s="346">
        <v>355</v>
      </c>
      <c r="F152" s="346">
        <v>219</v>
      </c>
      <c r="G152" s="346">
        <v>301</v>
      </c>
      <c r="H152" s="346">
        <v>3011</v>
      </c>
      <c r="I152" s="345">
        <v>2710</v>
      </c>
      <c r="J152" s="345">
        <v>27</v>
      </c>
      <c r="K152" s="347">
        <v>131.19999999999999</v>
      </c>
      <c r="L152" s="347">
        <v>132.69</v>
      </c>
      <c r="M152" s="347">
        <v>9.59</v>
      </c>
      <c r="N152" s="347">
        <v>139.61000000000001</v>
      </c>
      <c r="O152" s="348">
        <v>1549</v>
      </c>
      <c r="P152" s="345">
        <v>124.65</v>
      </c>
      <c r="Q152" s="345">
        <v>103.51</v>
      </c>
      <c r="R152" s="345">
        <v>39.54</v>
      </c>
      <c r="S152" s="345">
        <v>163.66</v>
      </c>
      <c r="T152" s="345">
        <v>369</v>
      </c>
      <c r="U152" s="345">
        <v>223.2</v>
      </c>
      <c r="V152" s="345">
        <v>311</v>
      </c>
      <c r="W152" s="345">
        <v>0</v>
      </c>
      <c r="X152" s="345">
        <v>0</v>
      </c>
      <c r="Y152" s="345">
        <v>126</v>
      </c>
      <c r="Z152" s="345">
        <v>0</v>
      </c>
      <c r="AA152" s="345">
        <v>0</v>
      </c>
      <c r="AB152" s="345">
        <v>1</v>
      </c>
      <c r="AC152" s="345">
        <v>9</v>
      </c>
      <c r="AD152" s="349">
        <v>1860</v>
      </c>
      <c r="AE152" s="349">
        <v>5</v>
      </c>
      <c r="AF152" s="349">
        <v>4</v>
      </c>
      <c r="AG152" s="349">
        <v>9</v>
      </c>
    </row>
    <row r="153" spans="1:33" x14ac:dyDescent="0.2">
      <c r="A153" s="344" t="s">
        <v>362</v>
      </c>
      <c r="B153" s="350" t="s">
        <v>363</v>
      </c>
      <c r="C153" s="346">
        <v>4098</v>
      </c>
      <c r="D153" s="346">
        <v>45</v>
      </c>
      <c r="E153" s="346">
        <v>452</v>
      </c>
      <c r="F153" s="346">
        <v>1248</v>
      </c>
      <c r="G153" s="346">
        <v>279</v>
      </c>
      <c r="H153" s="346">
        <v>6122</v>
      </c>
      <c r="I153" s="345">
        <v>5843</v>
      </c>
      <c r="J153" s="345">
        <v>37</v>
      </c>
      <c r="K153" s="347">
        <v>85.94</v>
      </c>
      <c r="L153" s="347">
        <v>84.42</v>
      </c>
      <c r="M153" s="347">
        <v>5.73</v>
      </c>
      <c r="N153" s="347">
        <v>90.29</v>
      </c>
      <c r="O153" s="348">
        <v>3488</v>
      </c>
      <c r="P153" s="345">
        <v>78.61</v>
      </c>
      <c r="Q153" s="345">
        <v>75.78</v>
      </c>
      <c r="R153" s="345">
        <v>32.020000000000003</v>
      </c>
      <c r="S153" s="345">
        <v>109.71</v>
      </c>
      <c r="T153" s="345">
        <v>1487</v>
      </c>
      <c r="U153" s="345">
        <v>97.36</v>
      </c>
      <c r="V153" s="345">
        <v>464</v>
      </c>
      <c r="W153" s="345">
        <v>106.64</v>
      </c>
      <c r="X153" s="345">
        <v>36</v>
      </c>
      <c r="Y153" s="345">
        <v>0</v>
      </c>
      <c r="Z153" s="345">
        <v>4</v>
      </c>
      <c r="AA153" s="345">
        <v>4</v>
      </c>
      <c r="AB153" s="345">
        <v>8</v>
      </c>
      <c r="AC153" s="345">
        <v>11</v>
      </c>
      <c r="AD153" s="349">
        <v>4090</v>
      </c>
      <c r="AE153" s="349">
        <v>31</v>
      </c>
      <c r="AF153" s="349">
        <v>16</v>
      </c>
      <c r="AG153" s="349">
        <v>47</v>
      </c>
    </row>
    <row r="154" spans="1:33" x14ac:dyDescent="0.2">
      <c r="A154" s="344" t="s">
        <v>364</v>
      </c>
      <c r="B154" s="350" t="s">
        <v>365</v>
      </c>
      <c r="C154" s="346">
        <v>16118</v>
      </c>
      <c r="D154" s="346">
        <v>9</v>
      </c>
      <c r="E154" s="346">
        <v>619</v>
      </c>
      <c r="F154" s="346">
        <v>1304</v>
      </c>
      <c r="G154" s="346">
        <v>272</v>
      </c>
      <c r="H154" s="346">
        <v>18322</v>
      </c>
      <c r="I154" s="345">
        <v>18050</v>
      </c>
      <c r="J154" s="345">
        <v>6</v>
      </c>
      <c r="K154" s="347">
        <v>85.41</v>
      </c>
      <c r="L154" s="347">
        <v>85.32</v>
      </c>
      <c r="M154" s="347">
        <v>11.01</v>
      </c>
      <c r="N154" s="347">
        <v>87.92</v>
      </c>
      <c r="O154" s="348">
        <v>14922</v>
      </c>
      <c r="P154" s="345">
        <v>85.89</v>
      </c>
      <c r="Q154" s="345">
        <v>85.16</v>
      </c>
      <c r="R154" s="345">
        <v>31.09</v>
      </c>
      <c r="S154" s="345">
        <v>112.23</v>
      </c>
      <c r="T154" s="345">
        <v>1631</v>
      </c>
      <c r="U154" s="345">
        <v>108.84</v>
      </c>
      <c r="V154" s="345">
        <v>919</v>
      </c>
      <c r="W154" s="345">
        <v>138.81</v>
      </c>
      <c r="X154" s="345">
        <v>142</v>
      </c>
      <c r="Y154" s="345">
        <v>0</v>
      </c>
      <c r="Z154" s="345">
        <v>143</v>
      </c>
      <c r="AA154" s="345">
        <v>3</v>
      </c>
      <c r="AB154" s="345">
        <v>17</v>
      </c>
      <c r="AC154" s="345">
        <v>1</v>
      </c>
      <c r="AD154" s="349">
        <v>15869</v>
      </c>
      <c r="AE154" s="349">
        <v>277</v>
      </c>
      <c r="AF154" s="349">
        <v>96</v>
      </c>
      <c r="AG154" s="349">
        <v>373</v>
      </c>
    </row>
    <row r="155" spans="1:33" x14ac:dyDescent="0.2">
      <c r="A155" s="344" t="s">
        <v>366</v>
      </c>
      <c r="B155" s="350" t="s">
        <v>367</v>
      </c>
      <c r="C155" s="346">
        <v>20756</v>
      </c>
      <c r="D155" s="346">
        <v>62</v>
      </c>
      <c r="E155" s="346">
        <v>1778</v>
      </c>
      <c r="F155" s="346">
        <v>1453</v>
      </c>
      <c r="G155" s="346">
        <v>2115</v>
      </c>
      <c r="H155" s="346">
        <v>26164</v>
      </c>
      <c r="I155" s="345">
        <v>24049</v>
      </c>
      <c r="J155" s="345">
        <v>124</v>
      </c>
      <c r="K155" s="347">
        <v>118.65</v>
      </c>
      <c r="L155" s="347">
        <v>124.92</v>
      </c>
      <c r="M155" s="347">
        <v>12.49</v>
      </c>
      <c r="N155" s="347">
        <v>129.02000000000001</v>
      </c>
      <c r="O155" s="348">
        <v>18283</v>
      </c>
      <c r="P155" s="345">
        <v>111.89</v>
      </c>
      <c r="Q155" s="345">
        <v>112.26</v>
      </c>
      <c r="R155" s="345">
        <v>47</v>
      </c>
      <c r="S155" s="345">
        <v>154.72999999999999</v>
      </c>
      <c r="T155" s="345">
        <v>2827</v>
      </c>
      <c r="U155" s="345">
        <v>186.35</v>
      </c>
      <c r="V155" s="345">
        <v>995</v>
      </c>
      <c r="W155" s="345">
        <v>201.59</v>
      </c>
      <c r="X155" s="345">
        <v>10</v>
      </c>
      <c r="Y155" s="345">
        <v>19</v>
      </c>
      <c r="Z155" s="345">
        <v>23</v>
      </c>
      <c r="AA155" s="345">
        <v>3</v>
      </c>
      <c r="AB155" s="345">
        <v>115</v>
      </c>
      <c r="AC155" s="345">
        <v>81</v>
      </c>
      <c r="AD155" s="349">
        <v>19610</v>
      </c>
      <c r="AE155" s="349">
        <v>71</v>
      </c>
      <c r="AF155" s="349">
        <v>109</v>
      </c>
      <c r="AG155" s="349">
        <v>180</v>
      </c>
    </row>
    <row r="156" spans="1:33" x14ac:dyDescent="0.2">
      <c r="A156" s="344" t="s">
        <v>368</v>
      </c>
      <c r="B156" s="350" t="s">
        <v>369</v>
      </c>
      <c r="C156" s="346">
        <v>1868</v>
      </c>
      <c r="D156" s="346">
        <v>4</v>
      </c>
      <c r="E156" s="346">
        <v>360</v>
      </c>
      <c r="F156" s="346">
        <v>449</v>
      </c>
      <c r="G156" s="346">
        <v>140</v>
      </c>
      <c r="H156" s="346">
        <v>2821</v>
      </c>
      <c r="I156" s="345">
        <v>2681</v>
      </c>
      <c r="J156" s="345">
        <v>0</v>
      </c>
      <c r="K156" s="347">
        <v>83.88</v>
      </c>
      <c r="L156" s="347">
        <v>81.260000000000005</v>
      </c>
      <c r="M156" s="347">
        <v>5.49</v>
      </c>
      <c r="N156" s="347">
        <v>88.52</v>
      </c>
      <c r="O156" s="348">
        <v>1326</v>
      </c>
      <c r="P156" s="345">
        <v>84.5</v>
      </c>
      <c r="Q156" s="345">
        <v>74.38</v>
      </c>
      <c r="R156" s="345">
        <v>47.37</v>
      </c>
      <c r="S156" s="345">
        <v>130.79</v>
      </c>
      <c r="T156" s="345">
        <v>707</v>
      </c>
      <c r="U156" s="345">
        <v>104.14</v>
      </c>
      <c r="V156" s="345">
        <v>482</v>
      </c>
      <c r="W156" s="345">
        <v>138.27000000000001</v>
      </c>
      <c r="X156" s="345">
        <v>9</v>
      </c>
      <c r="Y156" s="345">
        <v>40</v>
      </c>
      <c r="Z156" s="345">
        <v>0</v>
      </c>
      <c r="AA156" s="345">
        <v>1</v>
      </c>
      <c r="AB156" s="345">
        <v>25</v>
      </c>
      <c r="AC156" s="345">
        <v>4</v>
      </c>
      <c r="AD156" s="349">
        <v>1831</v>
      </c>
      <c r="AE156" s="349">
        <v>14</v>
      </c>
      <c r="AF156" s="349">
        <v>5</v>
      </c>
      <c r="AG156" s="349">
        <v>19</v>
      </c>
    </row>
    <row r="157" spans="1:33" x14ac:dyDescent="0.2">
      <c r="A157" s="344" t="s">
        <v>370</v>
      </c>
      <c r="B157" s="350" t="s">
        <v>371</v>
      </c>
      <c r="C157" s="346">
        <v>12763</v>
      </c>
      <c r="D157" s="346">
        <v>63</v>
      </c>
      <c r="E157" s="346">
        <v>1424</v>
      </c>
      <c r="F157" s="346">
        <v>2790</v>
      </c>
      <c r="G157" s="346">
        <v>1098</v>
      </c>
      <c r="H157" s="346">
        <v>18138</v>
      </c>
      <c r="I157" s="345">
        <v>17040</v>
      </c>
      <c r="J157" s="345">
        <v>89</v>
      </c>
      <c r="K157" s="347">
        <v>84.46</v>
      </c>
      <c r="L157" s="347">
        <v>83.55</v>
      </c>
      <c r="M157" s="347">
        <v>6.82</v>
      </c>
      <c r="N157" s="347">
        <v>88.8</v>
      </c>
      <c r="O157" s="348">
        <v>10803</v>
      </c>
      <c r="P157" s="345">
        <v>90.51</v>
      </c>
      <c r="Q157" s="345">
        <v>78</v>
      </c>
      <c r="R157" s="345">
        <v>46.13</v>
      </c>
      <c r="S157" s="345">
        <v>135.82</v>
      </c>
      <c r="T157" s="345">
        <v>3312</v>
      </c>
      <c r="U157" s="345">
        <v>103.71</v>
      </c>
      <c r="V157" s="345">
        <v>1070</v>
      </c>
      <c r="W157" s="345">
        <v>93.55</v>
      </c>
      <c r="X157" s="345">
        <v>20</v>
      </c>
      <c r="Y157" s="345">
        <v>2</v>
      </c>
      <c r="Z157" s="345">
        <v>9</v>
      </c>
      <c r="AA157" s="345">
        <v>0</v>
      </c>
      <c r="AB157" s="345">
        <v>82</v>
      </c>
      <c r="AC157" s="345">
        <v>54</v>
      </c>
      <c r="AD157" s="349">
        <v>12401</v>
      </c>
      <c r="AE157" s="349">
        <v>68</v>
      </c>
      <c r="AF157" s="349">
        <v>61</v>
      </c>
      <c r="AG157" s="349">
        <v>129</v>
      </c>
    </row>
    <row r="158" spans="1:33" x14ac:dyDescent="0.2">
      <c r="A158" s="344" t="s">
        <v>372</v>
      </c>
      <c r="B158" s="350" t="s">
        <v>373</v>
      </c>
      <c r="C158" s="346">
        <v>8934</v>
      </c>
      <c r="D158" s="346">
        <v>0</v>
      </c>
      <c r="E158" s="346">
        <v>881</v>
      </c>
      <c r="F158" s="346">
        <v>935</v>
      </c>
      <c r="G158" s="346">
        <v>525</v>
      </c>
      <c r="H158" s="346">
        <v>11275</v>
      </c>
      <c r="I158" s="345">
        <v>10750</v>
      </c>
      <c r="J158" s="345">
        <v>52</v>
      </c>
      <c r="K158" s="347">
        <v>84.74</v>
      </c>
      <c r="L158" s="347">
        <v>82.32</v>
      </c>
      <c r="M158" s="347">
        <v>8.17</v>
      </c>
      <c r="N158" s="347">
        <v>90.05</v>
      </c>
      <c r="O158" s="348">
        <v>7322</v>
      </c>
      <c r="P158" s="345">
        <v>81.489999999999995</v>
      </c>
      <c r="Q158" s="345">
        <v>79.510000000000005</v>
      </c>
      <c r="R158" s="345">
        <v>50.72</v>
      </c>
      <c r="S158" s="345">
        <v>131.58000000000001</v>
      </c>
      <c r="T158" s="345">
        <v>1516</v>
      </c>
      <c r="U158" s="345">
        <v>106.53</v>
      </c>
      <c r="V158" s="345">
        <v>730</v>
      </c>
      <c r="W158" s="345">
        <v>129.62</v>
      </c>
      <c r="X158" s="345">
        <v>77</v>
      </c>
      <c r="Y158" s="345">
        <v>47</v>
      </c>
      <c r="Z158" s="345">
        <v>8</v>
      </c>
      <c r="AA158" s="345">
        <v>15</v>
      </c>
      <c r="AB158" s="345">
        <v>6</v>
      </c>
      <c r="AC158" s="345">
        <v>30</v>
      </c>
      <c r="AD158" s="349">
        <v>8223</v>
      </c>
      <c r="AE158" s="349">
        <v>26</v>
      </c>
      <c r="AF158" s="349">
        <v>38</v>
      </c>
      <c r="AG158" s="349">
        <v>64</v>
      </c>
    </row>
    <row r="159" spans="1:33" x14ac:dyDescent="0.2">
      <c r="A159" s="344" t="s">
        <v>374</v>
      </c>
      <c r="B159" s="350" t="s">
        <v>375</v>
      </c>
      <c r="C159" s="346">
        <v>1106</v>
      </c>
      <c r="D159" s="346">
        <v>0</v>
      </c>
      <c r="E159" s="346">
        <v>157</v>
      </c>
      <c r="F159" s="346">
        <v>325</v>
      </c>
      <c r="G159" s="346">
        <v>246</v>
      </c>
      <c r="H159" s="346">
        <v>1834</v>
      </c>
      <c r="I159" s="345">
        <v>1588</v>
      </c>
      <c r="J159" s="345">
        <v>0</v>
      </c>
      <c r="K159" s="347">
        <v>93.17</v>
      </c>
      <c r="L159" s="347">
        <v>92.38</v>
      </c>
      <c r="M159" s="347">
        <v>9.25</v>
      </c>
      <c r="N159" s="347">
        <v>101.19</v>
      </c>
      <c r="O159" s="348">
        <v>951</v>
      </c>
      <c r="P159" s="345">
        <v>85.77</v>
      </c>
      <c r="Q159" s="345">
        <v>81.41</v>
      </c>
      <c r="R159" s="345">
        <v>58.74</v>
      </c>
      <c r="S159" s="345">
        <v>143.06</v>
      </c>
      <c r="T159" s="345">
        <v>201</v>
      </c>
      <c r="U159" s="345">
        <v>152.76</v>
      </c>
      <c r="V159" s="345">
        <v>135</v>
      </c>
      <c r="W159" s="345">
        <v>136.63999999999999</v>
      </c>
      <c r="X159" s="345">
        <v>9</v>
      </c>
      <c r="Y159" s="345">
        <v>0</v>
      </c>
      <c r="Z159" s="345">
        <v>0</v>
      </c>
      <c r="AA159" s="345">
        <v>0</v>
      </c>
      <c r="AB159" s="345">
        <v>10</v>
      </c>
      <c r="AC159" s="345">
        <v>9</v>
      </c>
      <c r="AD159" s="349">
        <v>1094</v>
      </c>
      <c r="AE159" s="349">
        <v>4</v>
      </c>
      <c r="AF159" s="349">
        <v>1</v>
      </c>
      <c r="AG159" s="349">
        <v>5</v>
      </c>
    </row>
    <row r="160" spans="1:33" x14ac:dyDescent="0.2">
      <c r="A160" s="344" t="s">
        <v>376</v>
      </c>
      <c r="B160" s="350" t="s">
        <v>377</v>
      </c>
      <c r="C160" s="346">
        <v>20823</v>
      </c>
      <c r="D160" s="346">
        <v>184</v>
      </c>
      <c r="E160" s="346">
        <v>1217</v>
      </c>
      <c r="F160" s="346">
        <v>652</v>
      </c>
      <c r="G160" s="346">
        <v>1721</v>
      </c>
      <c r="H160" s="346">
        <v>24597</v>
      </c>
      <c r="I160" s="345">
        <v>22876</v>
      </c>
      <c r="J160" s="345">
        <v>101</v>
      </c>
      <c r="K160" s="347">
        <v>110.48</v>
      </c>
      <c r="L160" s="347">
        <v>114.97</v>
      </c>
      <c r="M160" s="347">
        <v>9.51</v>
      </c>
      <c r="N160" s="347">
        <v>116.15</v>
      </c>
      <c r="O160" s="348">
        <v>18482</v>
      </c>
      <c r="P160" s="345">
        <v>107.85</v>
      </c>
      <c r="Q160" s="345">
        <v>107.81</v>
      </c>
      <c r="R160" s="345">
        <v>53.3</v>
      </c>
      <c r="S160" s="345">
        <v>155.97999999999999</v>
      </c>
      <c r="T160" s="345">
        <v>1608</v>
      </c>
      <c r="U160" s="345">
        <v>168.42</v>
      </c>
      <c r="V160" s="345">
        <v>1216</v>
      </c>
      <c r="W160" s="345">
        <v>271.87</v>
      </c>
      <c r="X160" s="345">
        <v>64</v>
      </c>
      <c r="Y160" s="345">
        <v>0</v>
      </c>
      <c r="Z160" s="345">
        <v>32</v>
      </c>
      <c r="AA160" s="345">
        <v>14</v>
      </c>
      <c r="AB160" s="345">
        <v>108</v>
      </c>
      <c r="AC160" s="345">
        <v>29</v>
      </c>
      <c r="AD160" s="349">
        <v>19943</v>
      </c>
      <c r="AE160" s="349">
        <v>79</v>
      </c>
      <c r="AF160" s="349">
        <v>61</v>
      </c>
      <c r="AG160" s="349">
        <v>140</v>
      </c>
    </row>
    <row r="161" spans="1:33" x14ac:dyDescent="0.2">
      <c r="A161" s="344" t="s">
        <v>378</v>
      </c>
      <c r="B161" s="350" t="s">
        <v>379</v>
      </c>
      <c r="C161" s="346">
        <v>5286</v>
      </c>
      <c r="D161" s="346">
        <v>16</v>
      </c>
      <c r="E161" s="346">
        <v>129</v>
      </c>
      <c r="F161" s="346">
        <v>272</v>
      </c>
      <c r="G161" s="346">
        <v>203</v>
      </c>
      <c r="H161" s="346">
        <v>5906</v>
      </c>
      <c r="I161" s="345">
        <v>5703</v>
      </c>
      <c r="J161" s="345">
        <v>4</v>
      </c>
      <c r="K161" s="347">
        <v>89.34</v>
      </c>
      <c r="L161" s="347">
        <v>89.06</v>
      </c>
      <c r="M161" s="347">
        <v>2.75</v>
      </c>
      <c r="N161" s="347">
        <v>91.36</v>
      </c>
      <c r="O161" s="348">
        <v>4933</v>
      </c>
      <c r="P161" s="345">
        <v>98.16</v>
      </c>
      <c r="Q161" s="345">
        <v>94.99</v>
      </c>
      <c r="R161" s="345">
        <v>32.31</v>
      </c>
      <c r="S161" s="345">
        <v>129.34</v>
      </c>
      <c r="T161" s="345">
        <v>401</v>
      </c>
      <c r="U161" s="345">
        <v>110.1</v>
      </c>
      <c r="V161" s="345">
        <v>339</v>
      </c>
      <c r="W161" s="345">
        <v>0</v>
      </c>
      <c r="X161" s="345">
        <v>0</v>
      </c>
      <c r="Y161" s="345">
        <v>0</v>
      </c>
      <c r="Z161" s="345">
        <v>7</v>
      </c>
      <c r="AA161" s="345">
        <v>17</v>
      </c>
      <c r="AB161" s="345">
        <v>1</v>
      </c>
      <c r="AC161" s="345">
        <v>1</v>
      </c>
      <c r="AD161" s="349">
        <v>5284</v>
      </c>
      <c r="AE161" s="349">
        <v>5</v>
      </c>
      <c r="AF161" s="349">
        <v>21</v>
      </c>
      <c r="AG161" s="349">
        <v>26</v>
      </c>
    </row>
    <row r="162" spans="1:33" x14ac:dyDescent="0.2">
      <c r="A162" s="344" t="s">
        <v>380</v>
      </c>
      <c r="B162" s="350" t="s">
        <v>381</v>
      </c>
      <c r="C162" s="346">
        <v>1292</v>
      </c>
      <c r="D162" s="346">
        <v>0</v>
      </c>
      <c r="E162" s="346">
        <v>440</v>
      </c>
      <c r="F162" s="346">
        <v>169</v>
      </c>
      <c r="G162" s="346">
        <v>230</v>
      </c>
      <c r="H162" s="346">
        <v>2131</v>
      </c>
      <c r="I162" s="345">
        <v>1901</v>
      </c>
      <c r="J162" s="345">
        <v>12</v>
      </c>
      <c r="K162" s="347">
        <v>80.42</v>
      </c>
      <c r="L162" s="347">
        <v>80.3</v>
      </c>
      <c r="M162" s="347">
        <v>6.97</v>
      </c>
      <c r="N162" s="347">
        <v>86.36</v>
      </c>
      <c r="O162" s="348">
        <v>960</v>
      </c>
      <c r="P162" s="345">
        <v>90.63</v>
      </c>
      <c r="Q162" s="345">
        <v>83.76</v>
      </c>
      <c r="R162" s="345">
        <v>44.87</v>
      </c>
      <c r="S162" s="345">
        <v>129.97999999999999</v>
      </c>
      <c r="T162" s="345">
        <v>211</v>
      </c>
      <c r="U162" s="345">
        <v>97.19</v>
      </c>
      <c r="V162" s="345">
        <v>154</v>
      </c>
      <c r="W162" s="345">
        <v>241.5</v>
      </c>
      <c r="X162" s="345">
        <v>16</v>
      </c>
      <c r="Y162" s="345">
        <v>0</v>
      </c>
      <c r="Z162" s="345">
        <v>1</v>
      </c>
      <c r="AA162" s="345">
        <v>0</v>
      </c>
      <c r="AB162" s="345">
        <v>12</v>
      </c>
      <c r="AC162" s="345">
        <v>11</v>
      </c>
      <c r="AD162" s="349">
        <v>1265</v>
      </c>
      <c r="AE162" s="349">
        <v>4</v>
      </c>
      <c r="AF162" s="349">
        <v>4</v>
      </c>
      <c r="AG162" s="349">
        <v>8</v>
      </c>
    </row>
    <row r="163" spans="1:33" x14ac:dyDescent="0.2">
      <c r="A163" s="344" t="s">
        <v>382</v>
      </c>
      <c r="B163" s="350" t="s">
        <v>383</v>
      </c>
      <c r="C163" s="346">
        <v>52348</v>
      </c>
      <c r="D163" s="346">
        <v>12</v>
      </c>
      <c r="E163" s="346">
        <v>2045</v>
      </c>
      <c r="F163" s="346">
        <v>3953</v>
      </c>
      <c r="G163" s="346">
        <v>723</v>
      </c>
      <c r="H163" s="346">
        <v>59081</v>
      </c>
      <c r="I163" s="345">
        <v>58358</v>
      </c>
      <c r="J163" s="345">
        <v>36</v>
      </c>
      <c r="K163" s="347">
        <v>84.7</v>
      </c>
      <c r="L163" s="347">
        <v>84.3</v>
      </c>
      <c r="M163" s="347">
        <v>9.2799999999999994</v>
      </c>
      <c r="N163" s="347">
        <v>87.2</v>
      </c>
      <c r="O163" s="348">
        <v>44874</v>
      </c>
      <c r="P163" s="345">
        <v>83.53</v>
      </c>
      <c r="Q163" s="345">
        <v>80.33</v>
      </c>
      <c r="R163" s="345">
        <v>42.45</v>
      </c>
      <c r="S163" s="345">
        <v>124.65</v>
      </c>
      <c r="T163" s="345">
        <v>5133</v>
      </c>
      <c r="U163" s="345">
        <v>102.33</v>
      </c>
      <c r="V163" s="345">
        <v>4879</v>
      </c>
      <c r="W163" s="345">
        <v>131.82</v>
      </c>
      <c r="X163" s="345">
        <v>123</v>
      </c>
      <c r="Y163" s="345">
        <v>0</v>
      </c>
      <c r="Z163" s="345">
        <v>309</v>
      </c>
      <c r="AA163" s="345">
        <v>195</v>
      </c>
      <c r="AB163" s="345">
        <v>34</v>
      </c>
      <c r="AC163" s="345">
        <v>27</v>
      </c>
      <c r="AD163" s="349">
        <v>49900</v>
      </c>
      <c r="AE163" s="349">
        <v>340</v>
      </c>
      <c r="AF163" s="349">
        <v>445</v>
      </c>
      <c r="AG163" s="349">
        <v>785</v>
      </c>
    </row>
    <row r="164" spans="1:33" x14ac:dyDescent="0.2">
      <c r="A164" s="344" t="s">
        <v>384</v>
      </c>
      <c r="B164" s="350" t="s">
        <v>385</v>
      </c>
      <c r="C164" s="346">
        <v>3595</v>
      </c>
      <c r="D164" s="346">
        <v>5</v>
      </c>
      <c r="E164" s="346">
        <v>294</v>
      </c>
      <c r="F164" s="346">
        <v>330</v>
      </c>
      <c r="G164" s="346">
        <v>200</v>
      </c>
      <c r="H164" s="346">
        <v>4424</v>
      </c>
      <c r="I164" s="345">
        <v>4224</v>
      </c>
      <c r="J164" s="345">
        <v>5</v>
      </c>
      <c r="K164" s="347">
        <v>102.91</v>
      </c>
      <c r="L164" s="347">
        <v>101.55</v>
      </c>
      <c r="M164" s="347">
        <v>6.31</v>
      </c>
      <c r="N164" s="347">
        <v>107.44</v>
      </c>
      <c r="O164" s="348">
        <v>2846</v>
      </c>
      <c r="P164" s="345">
        <v>101.51</v>
      </c>
      <c r="Q164" s="345">
        <v>98.05</v>
      </c>
      <c r="R164" s="345">
        <v>36.61</v>
      </c>
      <c r="S164" s="345">
        <v>136.80000000000001</v>
      </c>
      <c r="T164" s="345">
        <v>417</v>
      </c>
      <c r="U164" s="345">
        <v>128.57</v>
      </c>
      <c r="V164" s="345">
        <v>302</v>
      </c>
      <c r="W164" s="345">
        <v>0</v>
      </c>
      <c r="X164" s="345">
        <v>0</v>
      </c>
      <c r="Y164" s="345">
        <v>0</v>
      </c>
      <c r="Z164" s="345">
        <v>2</v>
      </c>
      <c r="AA164" s="345">
        <v>1</v>
      </c>
      <c r="AB164" s="345">
        <v>18</v>
      </c>
      <c r="AC164" s="345">
        <v>8</v>
      </c>
      <c r="AD164" s="349">
        <v>3236</v>
      </c>
      <c r="AE164" s="349">
        <v>7</v>
      </c>
      <c r="AF164" s="349">
        <v>6</v>
      </c>
      <c r="AG164" s="349">
        <v>13</v>
      </c>
    </row>
    <row r="165" spans="1:33" x14ac:dyDescent="0.2">
      <c r="A165" s="344" t="s">
        <v>386</v>
      </c>
      <c r="B165" s="350" t="s">
        <v>387</v>
      </c>
      <c r="C165" s="346">
        <v>7574</v>
      </c>
      <c r="D165" s="346">
        <v>0</v>
      </c>
      <c r="E165" s="346">
        <v>260</v>
      </c>
      <c r="F165" s="346">
        <v>1132</v>
      </c>
      <c r="G165" s="346">
        <v>694</v>
      </c>
      <c r="H165" s="346">
        <v>9660</v>
      </c>
      <c r="I165" s="345">
        <v>8966</v>
      </c>
      <c r="J165" s="345">
        <v>3</v>
      </c>
      <c r="K165" s="347">
        <v>97.37</v>
      </c>
      <c r="L165" s="347">
        <v>100.72</v>
      </c>
      <c r="M165" s="347">
        <v>5.43</v>
      </c>
      <c r="N165" s="347">
        <v>101.54</v>
      </c>
      <c r="O165" s="348">
        <v>6102</v>
      </c>
      <c r="P165" s="345">
        <v>87.6</v>
      </c>
      <c r="Q165" s="345">
        <v>90.36</v>
      </c>
      <c r="R165" s="345">
        <v>16.739999999999998</v>
      </c>
      <c r="S165" s="345">
        <v>104.22</v>
      </c>
      <c r="T165" s="345">
        <v>1244</v>
      </c>
      <c r="U165" s="345">
        <v>157.43</v>
      </c>
      <c r="V165" s="345">
        <v>1117</v>
      </c>
      <c r="W165" s="345">
        <v>213.73</v>
      </c>
      <c r="X165" s="345">
        <v>63</v>
      </c>
      <c r="Y165" s="345">
        <v>2</v>
      </c>
      <c r="Z165" s="345">
        <v>15</v>
      </c>
      <c r="AA165" s="345">
        <v>1</v>
      </c>
      <c r="AB165" s="345">
        <v>42</v>
      </c>
      <c r="AC165" s="345">
        <v>20</v>
      </c>
      <c r="AD165" s="349">
        <v>7160</v>
      </c>
      <c r="AE165" s="349">
        <v>6</v>
      </c>
      <c r="AF165" s="349">
        <v>30</v>
      </c>
      <c r="AG165" s="349">
        <v>36</v>
      </c>
    </row>
    <row r="166" spans="1:33" x14ac:dyDescent="0.2">
      <c r="A166" s="344" t="s">
        <v>388</v>
      </c>
      <c r="B166" s="350" t="s">
        <v>389</v>
      </c>
      <c r="C166" s="346">
        <v>2178</v>
      </c>
      <c r="D166" s="346">
        <v>0</v>
      </c>
      <c r="E166" s="346">
        <v>28</v>
      </c>
      <c r="F166" s="346">
        <v>811</v>
      </c>
      <c r="G166" s="346">
        <v>59</v>
      </c>
      <c r="H166" s="346">
        <v>3076</v>
      </c>
      <c r="I166" s="345">
        <v>3017</v>
      </c>
      <c r="J166" s="345">
        <v>0</v>
      </c>
      <c r="K166" s="347">
        <v>104.27</v>
      </c>
      <c r="L166" s="347">
        <v>100.47</v>
      </c>
      <c r="M166" s="347">
        <v>4.5999999999999996</v>
      </c>
      <c r="N166" s="347">
        <v>107.34</v>
      </c>
      <c r="O166" s="348">
        <v>1947</v>
      </c>
      <c r="P166" s="345">
        <v>88.34</v>
      </c>
      <c r="Q166" s="345">
        <v>84.75</v>
      </c>
      <c r="R166" s="345">
        <v>13.46</v>
      </c>
      <c r="S166" s="345">
        <v>101.69</v>
      </c>
      <c r="T166" s="345">
        <v>765</v>
      </c>
      <c r="U166" s="345">
        <v>133.4</v>
      </c>
      <c r="V166" s="345">
        <v>223</v>
      </c>
      <c r="W166" s="345">
        <v>115.07</v>
      </c>
      <c r="X166" s="345">
        <v>1</v>
      </c>
      <c r="Y166" s="345">
        <v>0</v>
      </c>
      <c r="Z166" s="345">
        <v>0</v>
      </c>
      <c r="AA166" s="345">
        <v>0</v>
      </c>
      <c r="AB166" s="345">
        <v>0</v>
      </c>
      <c r="AC166" s="345">
        <v>1</v>
      </c>
      <c r="AD166" s="349">
        <v>2178</v>
      </c>
      <c r="AE166" s="349">
        <v>11</v>
      </c>
      <c r="AF166" s="349">
        <v>5</v>
      </c>
      <c r="AG166" s="349">
        <v>16</v>
      </c>
    </row>
    <row r="167" spans="1:33" x14ac:dyDescent="0.2">
      <c r="A167" s="344" t="s">
        <v>390</v>
      </c>
      <c r="B167" s="350" t="s">
        <v>391</v>
      </c>
      <c r="C167" s="346">
        <v>4101</v>
      </c>
      <c r="D167" s="346">
        <v>0</v>
      </c>
      <c r="E167" s="346">
        <v>62</v>
      </c>
      <c r="F167" s="346">
        <v>590</v>
      </c>
      <c r="G167" s="346">
        <v>321</v>
      </c>
      <c r="H167" s="346">
        <v>5074</v>
      </c>
      <c r="I167" s="345">
        <v>4753</v>
      </c>
      <c r="J167" s="345">
        <v>7</v>
      </c>
      <c r="K167" s="347">
        <v>97.5</v>
      </c>
      <c r="L167" s="347">
        <v>97.35</v>
      </c>
      <c r="M167" s="347">
        <v>3.55</v>
      </c>
      <c r="N167" s="347">
        <v>100.72</v>
      </c>
      <c r="O167" s="348">
        <v>3796</v>
      </c>
      <c r="P167" s="345">
        <v>91.2</v>
      </c>
      <c r="Q167" s="345">
        <v>93.23</v>
      </c>
      <c r="R167" s="345">
        <v>25.56</v>
      </c>
      <c r="S167" s="345">
        <v>116.5</v>
      </c>
      <c r="T167" s="345">
        <v>604</v>
      </c>
      <c r="U167" s="345">
        <v>115.23</v>
      </c>
      <c r="V167" s="345">
        <v>231</v>
      </c>
      <c r="W167" s="345">
        <v>160.91999999999999</v>
      </c>
      <c r="X167" s="345">
        <v>45</v>
      </c>
      <c r="Y167" s="345">
        <v>0</v>
      </c>
      <c r="Z167" s="345">
        <v>5</v>
      </c>
      <c r="AA167" s="345">
        <v>0</v>
      </c>
      <c r="AB167" s="345">
        <v>17</v>
      </c>
      <c r="AC167" s="345">
        <v>6</v>
      </c>
      <c r="AD167" s="349">
        <v>4100</v>
      </c>
      <c r="AE167" s="349">
        <v>2</v>
      </c>
      <c r="AF167" s="349">
        <v>11</v>
      </c>
      <c r="AG167" s="349">
        <v>13</v>
      </c>
    </row>
    <row r="168" spans="1:33" x14ac:dyDescent="0.2">
      <c r="A168" s="344" t="s">
        <v>392</v>
      </c>
      <c r="B168" s="350" t="s">
        <v>393</v>
      </c>
      <c r="C168" s="346">
        <v>46492</v>
      </c>
      <c r="D168" s="346">
        <v>47</v>
      </c>
      <c r="E168" s="346">
        <v>1551</v>
      </c>
      <c r="F168" s="346">
        <v>3264</v>
      </c>
      <c r="G168" s="346">
        <v>1196</v>
      </c>
      <c r="H168" s="346">
        <v>52550</v>
      </c>
      <c r="I168" s="345">
        <v>51354</v>
      </c>
      <c r="J168" s="345">
        <v>5</v>
      </c>
      <c r="K168" s="347">
        <v>82.54</v>
      </c>
      <c r="L168" s="347">
        <v>83.38</v>
      </c>
      <c r="M168" s="347">
        <v>4.53</v>
      </c>
      <c r="N168" s="347">
        <v>84.19</v>
      </c>
      <c r="O168" s="348">
        <v>43236</v>
      </c>
      <c r="P168" s="345">
        <v>82.7</v>
      </c>
      <c r="Q168" s="345">
        <v>74.41</v>
      </c>
      <c r="R168" s="345">
        <v>37.07</v>
      </c>
      <c r="S168" s="345">
        <v>117.25</v>
      </c>
      <c r="T168" s="345">
        <v>4348</v>
      </c>
      <c r="U168" s="345">
        <v>107.45</v>
      </c>
      <c r="V168" s="345">
        <v>2269</v>
      </c>
      <c r="W168" s="345">
        <v>137.29</v>
      </c>
      <c r="X168" s="345">
        <v>1</v>
      </c>
      <c r="Y168" s="345">
        <v>202</v>
      </c>
      <c r="Z168" s="345">
        <v>222</v>
      </c>
      <c r="AA168" s="345">
        <v>9</v>
      </c>
      <c r="AB168" s="345">
        <v>64</v>
      </c>
      <c r="AC168" s="345">
        <v>48</v>
      </c>
      <c r="AD168" s="349">
        <v>45601</v>
      </c>
      <c r="AE168" s="349">
        <v>120</v>
      </c>
      <c r="AF168" s="349">
        <v>191</v>
      </c>
      <c r="AG168" s="349">
        <v>311</v>
      </c>
    </row>
    <row r="169" spans="1:33" x14ac:dyDescent="0.2">
      <c r="A169" s="344" t="s">
        <v>394</v>
      </c>
      <c r="B169" s="350" t="s">
        <v>395</v>
      </c>
      <c r="C169" s="346">
        <v>1737</v>
      </c>
      <c r="D169" s="346">
        <v>0</v>
      </c>
      <c r="E169" s="346">
        <v>373</v>
      </c>
      <c r="F169" s="346">
        <v>81</v>
      </c>
      <c r="G169" s="346">
        <v>89</v>
      </c>
      <c r="H169" s="346">
        <v>2280</v>
      </c>
      <c r="I169" s="345">
        <v>2191</v>
      </c>
      <c r="J169" s="345">
        <v>1</v>
      </c>
      <c r="K169" s="347">
        <v>82.3</v>
      </c>
      <c r="L169" s="347">
        <v>80.430000000000007</v>
      </c>
      <c r="M169" s="347">
        <v>6.22</v>
      </c>
      <c r="N169" s="347">
        <v>85.28</v>
      </c>
      <c r="O169" s="348">
        <v>1671</v>
      </c>
      <c r="P169" s="345">
        <v>98.79</v>
      </c>
      <c r="Q169" s="345">
        <v>74.97</v>
      </c>
      <c r="R169" s="345">
        <v>50.35</v>
      </c>
      <c r="S169" s="345">
        <v>147.01</v>
      </c>
      <c r="T169" s="345">
        <v>308</v>
      </c>
      <c r="U169" s="345">
        <v>92.98</v>
      </c>
      <c r="V169" s="345">
        <v>53</v>
      </c>
      <c r="W169" s="345">
        <v>0</v>
      </c>
      <c r="X169" s="345">
        <v>0</v>
      </c>
      <c r="Y169" s="345">
        <v>0</v>
      </c>
      <c r="Z169" s="345">
        <v>11</v>
      </c>
      <c r="AA169" s="345">
        <v>13</v>
      </c>
      <c r="AB169" s="345">
        <v>4</v>
      </c>
      <c r="AC169" s="345">
        <v>4</v>
      </c>
      <c r="AD169" s="349">
        <v>1723</v>
      </c>
      <c r="AE169" s="349">
        <v>5</v>
      </c>
      <c r="AF169" s="349">
        <v>17</v>
      </c>
      <c r="AG169" s="349">
        <v>22</v>
      </c>
    </row>
    <row r="170" spans="1:33" x14ac:dyDescent="0.2">
      <c r="A170" s="344" t="s">
        <v>396</v>
      </c>
      <c r="B170" s="350" t="s">
        <v>397</v>
      </c>
      <c r="C170" s="346">
        <v>3971</v>
      </c>
      <c r="D170" s="346">
        <v>0</v>
      </c>
      <c r="E170" s="346">
        <v>382</v>
      </c>
      <c r="F170" s="346">
        <v>678</v>
      </c>
      <c r="G170" s="346">
        <v>1131</v>
      </c>
      <c r="H170" s="346">
        <v>6162</v>
      </c>
      <c r="I170" s="345">
        <v>5031</v>
      </c>
      <c r="J170" s="345">
        <v>2</v>
      </c>
      <c r="K170" s="347">
        <v>100.98</v>
      </c>
      <c r="L170" s="347">
        <v>98.12</v>
      </c>
      <c r="M170" s="347">
        <v>7.14</v>
      </c>
      <c r="N170" s="347">
        <v>106.66</v>
      </c>
      <c r="O170" s="348">
        <v>2994</v>
      </c>
      <c r="P170" s="345">
        <v>92.37</v>
      </c>
      <c r="Q170" s="345">
        <v>88.17</v>
      </c>
      <c r="R170" s="345">
        <v>36.840000000000003</v>
      </c>
      <c r="S170" s="345">
        <v>128.88999999999999</v>
      </c>
      <c r="T170" s="345">
        <v>791</v>
      </c>
      <c r="U170" s="345">
        <v>127.3</v>
      </c>
      <c r="V170" s="345">
        <v>595</v>
      </c>
      <c r="W170" s="345">
        <v>163.53</v>
      </c>
      <c r="X170" s="345">
        <v>61</v>
      </c>
      <c r="Y170" s="345">
        <v>30</v>
      </c>
      <c r="Z170" s="345">
        <v>4</v>
      </c>
      <c r="AA170" s="345">
        <v>2</v>
      </c>
      <c r="AB170" s="345">
        <v>21</v>
      </c>
      <c r="AC170" s="345">
        <v>33</v>
      </c>
      <c r="AD170" s="349">
        <v>3606</v>
      </c>
      <c r="AE170" s="349">
        <v>14</v>
      </c>
      <c r="AF170" s="349">
        <v>12</v>
      </c>
      <c r="AG170" s="349">
        <v>26</v>
      </c>
    </row>
    <row r="171" spans="1:33" x14ac:dyDescent="0.2">
      <c r="A171" s="344" t="s">
        <v>398</v>
      </c>
      <c r="B171" s="350" t="s">
        <v>399</v>
      </c>
      <c r="C171" s="346">
        <v>513</v>
      </c>
      <c r="D171" s="346">
        <v>0</v>
      </c>
      <c r="E171" s="346">
        <v>66</v>
      </c>
      <c r="F171" s="346">
        <v>76</v>
      </c>
      <c r="G171" s="346">
        <v>159</v>
      </c>
      <c r="H171" s="346">
        <v>814</v>
      </c>
      <c r="I171" s="345">
        <v>655</v>
      </c>
      <c r="J171" s="345">
        <v>3</v>
      </c>
      <c r="K171" s="347">
        <v>93.04</v>
      </c>
      <c r="L171" s="347">
        <v>89.62</v>
      </c>
      <c r="M171" s="347">
        <v>3.04</v>
      </c>
      <c r="N171" s="347">
        <v>95.24</v>
      </c>
      <c r="O171" s="348">
        <v>426</v>
      </c>
      <c r="P171" s="345">
        <v>80.06</v>
      </c>
      <c r="Q171" s="345">
        <v>80.53</v>
      </c>
      <c r="R171" s="345">
        <v>60.26</v>
      </c>
      <c r="S171" s="345">
        <v>139.9</v>
      </c>
      <c r="T171" s="345">
        <v>142</v>
      </c>
      <c r="U171" s="345">
        <v>101.74</v>
      </c>
      <c r="V171" s="345">
        <v>65</v>
      </c>
      <c r="W171" s="345">
        <v>0</v>
      </c>
      <c r="X171" s="345">
        <v>0</v>
      </c>
      <c r="Y171" s="345">
        <v>0</v>
      </c>
      <c r="Z171" s="345">
        <v>3</v>
      </c>
      <c r="AA171" s="345">
        <v>0</v>
      </c>
      <c r="AB171" s="345">
        <v>7</v>
      </c>
      <c r="AC171" s="345">
        <v>2</v>
      </c>
      <c r="AD171" s="349">
        <v>512</v>
      </c>
      <c r="AE171" s="349">
        <v>9</v>
      </c>
      <c r="AF171" s="349">
        <v>1</v>
      </c>
      <c r="AG171" s="349">
        <v>10</v>
      </c>
    </row>
    <row r="172" spans="1:33" x14ac:dyDescent="0.2">
      <c r="A172" s="344" t="s">
        <v>400</v>
      </c>
      <c r="B172" s="350" t="s">
        <v>401</v>
      </c>
      <c r="C172" s="346">
        <v>4993</v>
      </c>
      <c r="D172" s="346">
        <v>0</v>
      </c>
      <c r="E172" s="346">
        <v>434</v>
      </c>
      <c r="F172" s="346">
        <v>921</v>
      </c>
      <c r="G172" s="346">
        <v>372</v>
      </c>
      <c r="H172" s="346">
        <v>6720</v>
      </c>
      <c r="I172" s="345">
        <v>6348</v>
      </c>
      <c r="J172" s="345">
        <v>0</v>
      </c>
      <c r="K172" s="347">
        <v>94.28</v>
      </c>
      <c r="L172" s="347">
        <v>93.73</v>
      </c>
      <c r="M172" s="347">
        <v>3.43</v>
      </c>
      <c r="N172" s="347">
        <v>95.94</v>
      </c>
      <c r="O172" s="348">
        <v>4155</v>
      </c>
      <c r="P172" s="345">
        <v>86.24</v>
      </c>
      <c r="Q172" s="345">
        <v>80.72</v>
      </c>
      <c r="R172" s="345">
        <v>23.4</v>
      </c>
      <c r="S172" s="345">
        <v>108.26</v>
      </c>
      <c r="T172" s="345">
        <v>1167</v>
      </c>
      <c r="U172" s="345">
        <v>114.78</v>
      </c>
      <c r="V172" s="345">
        <v>700</v>
      </c>
      <c r="W172" s="345">
        <v>114.73</v>
      </c>
      <c r="X172" s="345">
        <v>31</v>
      </c>
      <c r="Y172" s="345">
        <v>0</v>
      </c>
      <c r="Z172" s="345">
        <v>10</v>
      </c>
      <c r="AA172" s="345">
        <v>0</v>
      </c>
      <c r="AB172" s="345">
        <v>21</v>
      </c>
      <c r="AC172" s="345">
        <v>5</v>
      </c>
      <c r="AD172" s="349">
        <v>4862</v>
      </c>
      <c r="AE172" s="349">
        <v>6</v>
      </c>
      <c r="AF172" s="349">
        <v>17</v>
      </c>
      <c r="AG172" s="349">
        <v>23</v>
      </c>
    </row>
    <row r="173" spans="1:33" x14ac:dyDescent="0.2">
      <c r="A173" s="344" t="s">
        <v>402</v>
      </c>
      <c r="B173" s="350" t="s">
        <v>403</v>
      </c>
      <c r="C173" s="346">
        <v>10078</v>
      </c>
      <c r="D173" s="346">
        <v>4</v>
      </c>
      <c r="E173" s="346">
        <v>420</v>
      </c>
      <c r="F173" s="346">
        <v>808</v>
      </c>
      <c r="G173" s="346">
        <v>642</v>
      </c>
      <c r="H173" s="346">
        <v>11952</v>
      </c>
      <c r="I173" s="345">
        <v>11310</v>
      </c>
      <c r="J173" s="345">
        <v>27</v>
      </c>
      <c r="K173" s="347">
        <v>115.12</v>
      </c>
      <c r="L173" s="347">
        <v>114.82</v>
      </c>
      <c r="M173" s="347">
        <v>6.51</v>
      </c>
      <c r="N173" s="347">
        <v>121.34</v>
      </c>
      <c r="O173" s="348">
        <v>8808</v>
      </c>
      <c r="P173" s="345">
        <v>108.46</v>
      </c>
      <c r="Q173" s="345">
        <v>106.47</v>
      </c>
      <c r="R173" s="345">
        <v>30.62</v>
      </c>
      <c r="S173" s="345">
        <v>138.97999999999999</v>
      </c>
      <c r="T173" s="345">
        <v>931</v>
      </c>
      <c r="U173" s="345">
        <v>148.74</v>
      </c>
      <c r="V173" s="345">
        <v>1122</v>
      </c>
      <c r="W173" s="345">
        <v>271.95999999999998</v>
      </c>
      <c r="X173" s="345">
        <v>27</v>
      </c>
      <c r="Y173" s="345">
        <v>0</v>
      </c>
      <c r="Z173" s="345">
        <v>54</v>
      </c>
      <c r="AA173" s="345">
        <v>0</v>
      </c>
      <c r="AB173" s="345">
        <v>22</v>
      </c>
      <c r="AC173" s="345">
        <v>14</v>
      </c>
      <c r="AD173" s="349">
        <v>9998</v>
      </c>
      <c r="AE173" s="349">
        <v>16</v>
      </c>
      <c r="AF173" s="349">
        <v>37</v>
      </c>
      <c r="AG173" s="349">
        <v>53</v>
      </c>
    </row>
    <row r="174" spans="1:33" x14ac:dyDescent="0.2">
      <c r="A174" s="344" t="s">
        <v>404</v>
      </c>
      <c r="B174" s="350" t="s">
        <v>405</v>
      </c>
      <c r="C174" s="346">
        <v>984</v>
      </c>
      <c r="D174" s="346">
        <v>0</v>
      </c>
      <c r="E174" s="346">
        <v>38</v>
      </c>
      <c r="F174" s="346">
        <v>284</v>
      </c>
      <c r="G174" s="346">
        <v>221</v>
      </c>
      <c r="H174" s="346">
        <v>1527</v>
      </c>
      <c r="I174" s="345">
        <v>1306</v>
      </c>
      <c r="J174" s="345">
        <v>0</v>
      </c>
      <c r="K174" s="347">
        <v>88.3</v>
      </c>
      <c r="L174" s="347">
        <v>85.67</v>
      </c>
      <c r="M174" s="347">
        <v>7.07</v>
      </c>
      <c r="N174" s="347">
        <v>94.41</v>
      </c>
      <c r="O174" s="348">
        <v>768</v>
      </c>
      <c r="P174" s="345">
        <v>80.53</v>
      </c>
      <c r="Q174" s="345">
        <v>75.69</v>
      </c>
      <c r="R174" s="345">
        <v>38.17</v>
      </c>
      <c r="S174" s="345">
        <v>118.21</v>
      </c>
      <c r="T174" s="345">
        <v>156</v>
      </c>
      <c r="U174" s="345">
        <v>115.14</v>
      </c>
      <c r="V174" s="345">
        <v>121</v>
      </c>
      <c r="W174" s="345">
        <v>0</v>
      </c>
      <c r="X174" s="345">
        <v>0</v>
      </c>
      <c r="Y174" s="345">
        <v>22</v>
      </c>
      <c r="Z174" s="345">
        <v>0</v>
      </c>
      <c r="AA174" s="345">
        <v>0</v>
      </c>
      <c r="AB174" s="345">
        <v>7</v>
      </c>
      <c r="AC174" s="345">
        <v>2</v>
      </c>
      <c r="AD174" s="349">
        <v>887</v>
      </c>
      <c r="AE174" s="349">
        <v>1</v>
      </c>
      <c r="AF174" s="349">
        <v>5</v>
      </c>
      <c r="AG174" s="349">
        <v>6</v>
      </c>
    </row>
    <row r="175" spans="1:33" x14ac:dyDescent="0.2">
      <c r="A175" s="344" t="s">
        <v>406</v>
      </c>
      <c r="B175" s="350" t="s">
        <v>407</v>
      </c>
      <c r="C175" s="346">
        <v>1256</v>
      </c>
      <c r="D175" s="346">
        <v>0</v>
      </c>
      <c r="E175" s="346">
        <v>115</v>
      </c>
      <c r="F175" s="346">
        <v>210</v>
      </c>
      <c r="G175" s="346">
        <v>284</v>
      </c>
      <c r="H175" s="346">
        <v>1865</v>
      </c>
      <c r="I175" s="345">
        <v>1581</v>
      </c>
      <c r="J175" s="345">
        <v>3</v>
      </c>
      <c r="K175" s="347">
        <v>94.59</v>
      </c>
      <c r="L175" s="347">
        <v>94.21</v>
      </c>
      <c r="M175" s="347">
        <v>4.13</v>
      </c>
      <c r="N175" s="347">
        <v>97.43</v>
      </c>
      <c r="O175" s="348">
        <v>908</v>
      </c>
      <c r="P175" s="345">
        <v>86.45</v>
      </c>
      <c r="Q175" s="345">
        <v>80.150000000000006</v>
      </c>
      <c r="R175" s="345">
        <v>34.47</v>
      </c>
      <c r="S175" s="345">
        <v>120.68</v>
      </c>
      <c r="T175" s="345">
        <v>291</v>
      </c>
      <c r="U175" s="345">
        <v>111.16</v>
      </c>
      <c r="V175" s="345">
        <v>314</v>
      </c>
      <c r="W175" s="345">
        <v>116.8</v>
      </c>
      <c r="X175" s="345">
        <v>1</v>
      </c>
      <c r="Y175" s="345">
        <v>0</v>
      </c>
      <c r="Z175" s="345">
        <v>0</v>
      </c>
      <c r="AA175" s="345">
        <v>0</v>
      </c>
      <c r="AB175" s="345">
        <v>0</v>
      </c>
      <c r="AC175" s="345">
        <v>1</v>
      </c>
      <c r="AD175" s="349">
        <v>1247</v>
      </c>
      <c r="AE175" s="349">
        <v>3</v>
      </c>
      <c r="AF175" s="349">
        <v>3</v>
      </c>
      <c r="AG175" s="349">
        <v>6</v>
      </c>
    </row>
    <row r="176" spans="1:33" x14ac:dyDescent="0.2">
      <c r="A176" s="344" t="s">
        <v>408</v>
      </c>
      <c r="B176" s="350" t="s">
        <v>409</v>
      </c>
      <c r="C176" s="346">
        <v>5672</v>
      </c>
      <c r="D176" s="346">
        <v>3</v>
      </c>
      <c r="E176" s="346">
        <v>141</v>
      </c>
      <c r="F176" s="346">
        <v>864</v>
      </c>
      <c r="G176" s="346">
        <v>625</v>
      </c>
      <c r="H176" s="346">
        <v>7305</v>
      </c>
      <c r="I176" s="345">
        <v>6680</v>
      </c>
      <c r="J176" s="345">
        <v>7</v>
      </c>
      <c r="K176" s="347">
        <v>117.85</v>
      </c>
      <c r="L176" s="347">
        <v>117.62</v>
      </c>
      <c r="M176" s="347">
        <v>5.87</v>
      </c>
      <c r="N176" s="347">
        <v>122.03</v>
      </c>
      <c r="O176" s="348">
        <v>4176</v>
      </c>
      <c r="P176" s="345">
        <v>103.12</v>
      </c>
      <c r="Q176" s="345">
        <v>100.97</v>
      </c>
      <c r="R176" s="345">
        <v>44.11</v>
      </c>
      <c r="S176" s="345">
        <v>141.96</v>
      </c>
      <c r="T176" s="345">
        <v>830</v>
      </c>
      <c r="U176" s="345">
        <v>162.36000000000001</v>
      </c>
      <c r="V176" s="345">
        <v>1149</v>
      </c>
      <c r="W176" s="345">
        <v>0</v>
      </c>
      <c r="X176" s="345">
        <v>0</v>
      </c>
      <c r="Y176" s="345">
        <v>0</v>
      </c>
      <c r="Z176" s="345">
        <v>4</v>
      </c>
      <c r="AA176" s="345">
        <v>0</v>
      </c>
      <c r="AB176" s="345">
        <v>52</v>
      </c>
      <c r="AC176" s="345">
        <v>24</v>
      </c>
      <c r="AD176" s="349">
        <v>5375</v>
      </c>
      <c r="AE176" s="349">
        <v>50</v>
      </c>
      <c r="AF176" s="349">
        <v>31</v>
      </c>
      <c r="AG176" s="349">
        <v>81</v>
      </c>
    </row>
    <row r="177" spans="1:33" x14ac:dyDescent="0.2">
      <c r="A177" s="344" t="s">
        <v>410</v>
      </c>
      <c r="B177" s="350" t="s">
        <v>411</v>
      </c>
      <c r="C177" s="346">
        <v>13164</v>
      </c>
      <c r="D177" s="346">
        <v>7</v>
      </c>
      <c r="E177" s="346">
        <v>526</v>
      </c>
      <c r="F177" s="346">
        <v>1517</v>
      </c>
      <c r="G177" s="346">
        <v>260</v>
      </c>
      <c r="H177" s="346">
        <v>15474</v>
      </c>
      <c r="I177" s="345">
        <v>15214</v>
      </c>
      <c r="J177" s="345">
        <v>45</v>
      </c>
      <c r="K177" s="347">
        <v>86.76</v>
      </c>
      <c r="L177" s="347">
        <v>85.81</v>
      </c>
      <c r="M177" s="347">
        <v>7.8</v>
      </c>
      <c r="N177" s="347">
        <v>89.18</v>
      </c>
      <c r="O177" s="348">
        <v>12516</v>
      </c>
      <c r="P177" s="345">
        <v>87.71</v>
      </c>
      <c r="Q177" s="345">
        <v>84.34</v>
      </c>
      <c r="R177" s="345">
        <v>51.81</v>
      </c>
      <c r="S177" s="345">
        <v>127.93</v>
      </c>
      <c r="T177" s="345">
        <v>1926</v>
      </c>
      <c r="U177" s="345">
        <v>94.98</v>
      </c>
      <c r="V177" s="345">
        <v>485</v>
      </c>
      <c r="W177" s="345">
        <v>159.86000000000001</v>
      </c>
      <c r="X177" s="345">
        <v>98</v>
      </c>
      <c r="Y177" s="345">
        <v>0</v>
      </c>
      <c r="Z177" s="345">
        <v>58</v>
      </c>
      <c r="AA177" s="345">
        <v>15</v>
      </c>
      <c r="AB177" s="345">
        <v>0</v>
      </c>
      <c r="AC177" s="345">
        <v>2</v>
      </c>
      <c r="AD177" s="349">
        <v>13135</v>
      </c>
      <c r="AE177" s="349">
        <v>163</v>
      </c>
      <c r="AF177" s="349">
        <v>55</v>
      </c>
      <c r="AG177" s="349">
        <v>218</v>
      </c>
    </row>
    <row r="178" spans="1:33" x14ac:dyDescent="0.2">
      <c r="A178" s="344" t="s">
        <v>412</v>
      </c>
      <c r="B178" s="350" t="s">
        <v>413</v>
      </c>
      <c r="C178" s="346">
        <v>8023</v>
      </c>
      <c r="D178" s="346">
        <v>48</v>
      </c>
      <c r="E178" s="346">
        <v>448</v>
      </c>
      <c r="F178" s="346">
        <v>587</v>
      </c>
      <c r="G178" s="346">
        <v>4891</v>
      </c>
      <c r="H178" s="346">
        <v>13997</v>
      </c>
      <c r="I178" s="345">
        <v>9106</v>
      </c>
      <c r="J178" s="345">
        <v>39</v>
      </c>
      <c r="K178" s="347">
        <v>99.38</v>
      </c>
      <c r="L178" s="347">
        <v>96.98</v>
      </c>
      <c r="M178" s="347">
        <v>5.76</v>
      </c>
      <c r="N178" s="347">
        <v>103.21</v>
      </c>
      <c r="O178" s="348">
        <v>6238</v>
      </c>
      <c r="P178" s="345">
        <v>103.54</v>
      </c>
      <c r="Q178" s="345">
        <v>97.73</v>
      </c>
      <c r="R178" s="345">
        <v>40.229999999999997</v>
      </c>
      <c r="S178" s="345">
        <v>141.78</v>
      </c>
      <c r="T178" s="345">
        <v>870</v>
      </c>
      <c r="U178" s="345">
        <v>131.72999999999999</v>
      </c>
      <c r="V178" s="345">
        <v>932</v>
      </c>
      <c r="W178" s="345">
        <v>125.32</v>
      </c>
      <c r="X178" s="345">
        <v>9</v>
      </c>
      <c r="Y178" s="345">
        <v>4</v>
      </c>
      <c r="Z178" s="345">
        <v>5</v>
      </c>
      <c r="AA178" s="345">
        <v>0</v>
      </c>
      <c r="AB178" s="345">
        <v>154</v>
      </c>
      <c r="AC178" s="345">
        <v>69</v>
      </c>
      <c r="AD178" s="349">
        <v>7827</v>
      </c>
      <c r="AE178" s="349">
        <v>25</v>
      </c>
      <c r="AF178" s="349">
        <v>29</v>
      </c>
      <c r="AG178" s="349">
        <v>54</v>
      </c>
    </row>
    <row r="179" spans="1:33" x14ac:dyDescent="0.2">
      <c r="A179" s="344" t="s">
        <v>414</v>
      </c>
      <c r="B179" s="350" t="s">
        <v>415</v>
      </c>
      <c r="C179" s="346">
        <v>3562</v>
      </c>
      <c r="D179" s="346">
        <v>11</v>
      </c>
      <c r="E179" s="346">
        <v>178</v>
      </c>
      <c r="F179" s="346">
        <v>624</v>
      </c>
      <c r="G179" s="346">
        <v>288</v>
      </c>
      <c r="H179" s="346">
        <v>4663</v>
      </c>
      <c r="I179" s="345">
        <v>4375</v>
      </c>
      <c r="J179" s="345">
        <v>0</v>
      </c>
      <c r="K179" s="347">
        <v>113.34</v>
      </c>
      <c r="L179" s="347">
        <v>112.96</v>
      </c>
      <c r="M179" s="347">
        <v>3.54</v>
      </c>
      <c r="N179" s="347">
        <v>116.77</v>
      </c>
      <c r="O179" s="348">
        <v>3080</v>
      </c>
      <c r="P179" s="345">
        <v>97.58</v>
      </c>
      <c r="Q179" s="345">
        <v>96.36</v>
      </c>
      <c r="R179" s="345">
        <v>26.12</v>
      </c>
      <c r="S179" s="345">
        <v>123.71</v>
      </c>
      <c r="T179" s="345">
        <v>650</v>
      </c>
      <c r="U179" s="345">
        <v>152.28</v>
      </c>
      <c r="V179" s="345">
        <v>444</v>
      </c>
      <c r="W179" s="345">
        <v>0</v>
      </c>
      <c r="X179" s="345">
        <v>0</v>
      </c>
      <c r="Y179" s="345">
        <v>0</v>
      </c>
      <c r="Z179" s="345">
        <v>13</v>
      </c>
      <c r="AA179" s="345">
        <v>1</v>
      </c>
      <c r="AB179" s="345">
        <v>0</v>
      </c>
      <c r="AC179" s="345">
        <v>15</v>
      </c>
      <c r="AD179" s="349">
        <v>3529</v>
      </c>
      <c r="AE179" s="349">
        <v>35</v>
      </c>
      <c r="AF179" s="349">
        <v>16</v>
      </c>
      <c r="AG179" s="349">
        <v>51</v>
      </c>
    </row>
    <row r="180" spans="1:33" x14ac:dyDescent="0.2">
      <c r="A180" s="344" t="s">
        <v>416</v>
      </c>
      <c r="B180" s="350" t="s">
        <v>417</v>
      </c>
      <c r="C180" s="346">
        <v>2735</v>
      </c>
      <c r="D180" s="346">
        <v>8</v>
      </c>
      <c r="E180" s="346">
        <v>288</v>
      </c>
      <c r="F180" s="346">
        <v>385</v>
      </c>
      <c r="G180" s="346">
        <v>337</v>
      </c>
      <c r="H180" s="346">
        <v>3753</v>
      </c>
      <c r="I180" s="345">
        <v>3416</v>
      </c>
      <c r="J180" s="345">
        <v>0</v>
      </c>
      <c r="K180" s="347">
        <v>0</v>
      </c>
      <c r="L180" s="347">
        <v>113.02</v>
      </c>
      <c r="M180" s="347">
        <v>0</v>
      </c>
      <c r="N180" s="347">
        <v>0</v>
      </c>
      <c r="O180" s="348">
        <v>2382</v>
      </c>
      <c r="P180" s="345">
        <v>0</v>
      </c>
      <c r="Q180" s="345">
        <v>91.12</v>
      </c>
      <c r="R180" s="345">
        <v>0</v>
      </c>
      <c r="S180" s="345">
        <v>0</v>
      </c>
      <c r="T180" s="345">
        <v>476</v>
      </c>
      <c r="U180" s="345">
        <v>143.06</v>
      </c>
      <c r="V180" s="345">
        <v>227</v>
      </c>
      <c r="W180" s="345">
        <v>138.37</v>
      </c>
      <c r="X180" s="345">
        <v>3</v>
      </c>
      <c r="Y180" s="345">
        <v>111</v>
      </c>
      <c r="Z180" s="345">
        <v>0</v>
      </c>
      <c r="AA180" s="345">
        <v>0</v>
      </c>
      <c r="AB180" s="345">
        <v>37</v>
      </c>
      <c r="AC180" s="345">
        <v>13</v>
      </c>
      <c r="AD180" s="349">
        <v>2688</v>
      </c>
      <c r="AE180" s="349">
        <v>8</v>
      </c>
      <c r="AF180" s="349">
        <v>3</v>
      </c>
      <c r="AG180" s="349">
        <v>11</v>
      </c>
    </row>
    <row r="181" spans="1:33" x14ac:dyDescent="0.2">
      <c r="A181" s="344" t="s">
        <v>418</v>
      </c>
      <c r="B181" s="350" t="s">
        <v>419</v>
      </c>
      <c r="C181" s="346">
        <v>1754</v>
      </c>
      <c r="D181" s="346">
        <v>13</v>
      </c>
      <c r="E181" s="346">
        <v>300</v>
      </c>
      <c r="F181" s="346">
        <v>362</v>
      </c>
      <c r="G181" s="346">
        <v>274</v>
      </c>
      <c r="H181" s="346">
        <v>2703</v>
      </c>
      <c r="I181" s="345">
        <v>2429</v>
      </c>
      <c r="J181" s="345">
        <v>0</v>
      </c>
      <c r="K181" s="347">
        <v>88.01</v>
      </c>
      <c r="L181" s="347">
        <v>84.09</v>
      </c>
      <c r="M181" s="347">
        <v>4.43</v>
      </c>
      <c r="N181" s="347">
        <v>90.44</v>
      </c>
      <c r="O181" s="348">
        <v>1507</v>
      </c>
      <c r="P181" s="345">
        <v>101.08</v>
      </c>
      <c r="Q181" s="345">
        <v>72.040000000000006</v>
      </c>
      <c r="R181" s="345">
        <v>38.56</v>
      </c>
      <c r="S181" s="345">
        <v>138.19</v>
      </c>
      <c r="T181" s="345">
        <v>478</v>
      </c>
      <c r="U181" s="345">
        <v>94.7</v>
      </c>
      <c r="V181" s="345">
        <v>201</v>
      </c>
      <c r="W181" s="345">
        <v>0</v>
      </c>
      <c r="X181" s="345">
        <v>0</v>
      </c>
      <c r="Y181" s="345">
        <v>24</v>
      </c>
      <c r="Z181" s="345">
        <v>1</v>
      </c>
      <c r="AA181" s="345">
        <v>0</v>
      </c>
      <c r="AB181" s="345">
        <v>13</v>
      </c>
      <c r="AC181" s="345">
        <v>2</v>
      </c>
      <c r="AD181" s="349">
        <v>1754</v>
      </c>
      <c r="AE181" s="349">
        <v>31</v>
      </c>
      <c r="AF181" s="349">
        <v>22</v>
      </c>
      <c r="AG181" s="349">
        <v>53</v>
      </c>
    </row>
    <row r="182" spans="1:33" x14ac:dyDescent="0.2">
      <c r="A182" s="344" t="s">
        <v>420</v>
      </c>
      <c r="B182" s="350" t="s">
        <v>421</v>
      </c>
      <c r="C182" s="346">
        <v>7043</v>
      </c>
      <c r="D182" s="346">
        <v>242</v>
      </c>
      <c r="E182" s="346">
        <v>1253</v>
      </c>
      <c r="F182" s="346">
        <v>1483</v>
      </c>
      <c r="G182" s="346">
        <v>298</v>
      </c>
      <c r="H182" s="346">
        <v>10319</v>
      </c>
      <c r="I182" s="345">
        <v>10021</v>
      </c>
      <c r="J182" s="345">
        <v>120</v>
      </c>
      <c r="K182" s="347">
        <v>77.97</v>
      </c>
      <c r="L182" s="347">
        <v>77.680000000000007</v>
      </c>
      <c r="M182" s="347">
        <v>11.34</v>
      </c>
      <c r="N182" s="347">
        <v>87.15</v>
      </c>
      <c r="O182" s="348">
        <v>5918</v>
      </c>
      <c r="P182" s="345">
        <v>85.56</v>
      </c>
      <c r="Q182" s="345">
        <v>76.23</v>
      </c>
      <c r="R182" s="345">
        <v>54.93</v>
      </c>
      <c r="S182" s="345">
        <v>137.11000000000001</v>
      </c>
      <c r="T182" s="345">
        <v>2216</v>
      </c>
      <c r="U182" s="345">
        <v>99.16</v>
      </c>
      <c r="V182" s="345">
        <v>805</v>
      </c>
      <c r="W182" s="345">
        <v>204.57</v>
      </c>
      <c r="X182" s="345">
        <v>199</v>
      </c>
      <c r="Y182" s="345">
        <v>25</v>
      </c>
      <c r="Z182" s="345">
        <v>6</v>
      </c>
      <c r="AA182" s="345">
        <v>1</v>
      </c>
      <c r="AB182" s="345">
        <v>29</v>
      </c>
      <c r="AC182" s="345">
        <v>9</v>
      </c>
      <c r="AD182" s="349">
        <v>6557</v>
      </c>
      <c r="AE182" s="349">
        <v>45</v>
      </c>
      <c r="AF182" s="349">
        <v>50</v>
      </c>
      <c r="AG182" s="349">
        <v>95</v>
      </c>
    </row>
    <row r="183" spans="1:33" x14ac:dyDescent="0.2">
      <c r="A183" s="344" t="s">
        <v>422</v>
      </c>
      <c r="B183" s="350" t="s">
        <v>423</v>
      </c>
      <c r="C183" s="346">
        <v>8927</v>
      </c>
      <c r="D183" s="346">
        <v>3</v>
      </c>
      <c r="E183" s="346">
        <v>123</v>
      </c>
      <c r="F183" s="346">
        <v>874</v>
      </c>
      <c r="G183" s="346">
        <v>211</v>
      </c>
      <c r="H183" s="346">
        <v>10138</v>
      </c>
      <c r="I183" s="345">
        <v>9927</v>
      </c>
      <c r="J183" s="345">
        <v>0</v>
      </c>
      <c r="K183" s="347">
        <v>78.08</v>
      </c>
      <c r="L183" s="347">
        <v>78.400000000000006</v>
      </c>
      <c r="M183" s="347">
        <v>3.69</v>
      </c>
      <c r="N183" s="347">
        <v>81.59</v>
      </c>
      <c r="O183" s="348">
        <v>8500</v>
      </c>
      <c r="P183" s="345">
        <v>77.47</v>
      </c>
      <c r="Q183" s="345">
        <v>74.45</v>
      </c>
      <c r="R183" s="345">
        <v>23.78</v>
      </c>
      <c r="S183" s="345">
        <v>100.44</v>
      </c>
      <c r="T183" s="345">
        <v>818</v>
      </c>
      <c r="U183" s="345">
        <v>94.71</v>
      </c>
      <c r="V183" s="345">
        <v>393</v>
      </c>
      <c r="W183" s="345">
        <v>200.9</v>
      </c>
      <c r="X183" s="345">
        <v>92</v>
      </c>
      <c r="Y183" s="345">
        <v>0</v>
      </c>
      <c r="Z183" s="345">
        <v>25</v>
      </c>
      <c r="AA183" s="345">
        <v>2</v>
      </c>
      <c r="AB183" s="345">
        <v>1</v>
      </c>
      <c r="AC183" s="345">
        <v>5</v>
      </c>
      <c r="AD183" s="349">
        <v>8912</v>
      </c>
      <c r="AE183" s="349">
        <v>4</v>
      </c>
      <c r="AF183" s="349">
        <v>41</v>
      </c>
      <c r="AG183" s="349">
        <v>45</v>
      </c>
    </row>
    <row r="184" spans="1:33" x14ac:dyDescent="0.2">
      <c r="A184" s="344" t="s">
        <v>424</v>
      </c>
      <c r="B184" s="350" t="s">
        <v>425</v>
      </c>
      <c r="C184" s="346">
        <v>12412</v>
      </c>
      <c r="D184" s="346">
        <v>42</v>
      </c>
      <c r="E184" s="346">
        <v>956</v>
      </c>
      <c r="F184" s="346">
        <v>833</v>
      </c>
      <c r="G184" s="346">
        <v>2053</v>
      </c>
      <c r="H184" s="346">
        <v>16296</v>
      </c>
      <c r="I184" s="345">
        <v>14243</v>
      </c>
      <c r="J184" s="345">
        <v>39</v>
      </c>
      <c r="K184" s="347">
        <v>139.87</v>
      </c>
      <c r="L184" s="347">
        <v>119.09</v>
      </c>
      <c r="M184" s="347">
        <v>9.49</v>
      </c>
      <c r="N184" s="347">
        <v>144.52000000000001</v>
      </c>
      <c r="O184" s="348">
        <v>10350</v>
      </c>
      <c r="P184" s="345">
        <v>105.43</v>
      </c>
      <c r="Q184" s="345">
        <v>101.35</v>
      </c>
      <c r="R184" s="345">
        <v>66.23</v>
      </c>
      <c r="S184" s="345">
        <v>165.45</v>
      </c>
      <c r="T184" s="345">
        <v>1597</v>
      </c>
      <c r="U184" s="345">
        <v>184.39</v>
      </c>
      <c r="V184" s="345">
        <v>748</v>
      </c>
      <c r="W184" s="345">
        <v>219.45</v>
      </c>
      <c r="X184" s="345">
        <v>39</v>
      </c>
      <c r="Y184" s="345">
        <v>6</v>
      </c>
      <c r="Z184" s="345">
        <v>12</v>
      </c>
      <c r="AA184" s="345">
        <v>33</v>
      </c>
      <c r="AB184" s="345">
        <v>147</v>
      </c>
      <c r="AC184" s="345">
        <v>38</v>
      </c>
      <c r="AD184" s="349">
        <v>11857</v>
      </c>
      <c r="AE184" s="349">
        <v>33</v>
      </c>
      <c r="AF184" s="349">
        <v>46</v>
      </c>
      <c r="AG184" s="349">
        <v>79</v>
      </c>
    </row>
    <row r="185" spans="1:33" x14ac:dyDescent="0.2">
      <c r="A185" s="344" t="s">
        <v>426</v>
      </c>
      <c r="B185" s="350" t="s">
        <v>427</v>
      </c>
      <c r="C185" s="346">
        <v>3679</v>
      </c>
      <c r="D185" s="346">
        <v>0</v>
      </c>
      <c r="E185" s="346">
        <v>48</v>
      </c>
      <c r="F185" s="346">
        <v>786</v>
      </c>
      <c r="G185" s="346">
        <v>240</v>
      </c>
      <c r="H185" s="346">
        <v>4753</v>
      </c>
      <c r="I185" s="345">
        <v>4513</v>
      </c>
      <c r="J185" s="345">
        <v>5</v>
      </c>
      <c r="K185" s="347">
        <v>85.6</v>
      </c>
      <c r="L185" s="347">
        <v>85</v>
      </c>
      <c r="M185" s="347">
        <v>3.48</v>
      </c>
      <c r="N185" s="347">
        <v>87.74</v>
      </c>
      <c r="O185" s="348">
        <v>3236</v>
      </c>
      <c r="P185" s="345">
        <v>76.540000000000006</v>
      </c>
      <c r="Q185" s="345">
        <v>74.599999999999994</v>
      </c>
      <c r="R185" s="345">
        <v>17.3</v>
      </c>
      <c r="S185" s="345">
        <v>93.42</v>
      </c>
      <c r="T185" s="345">
        <v>780</v>
      </c>
      <c r="U185" s="345">
        <v>115.41</v>
      </c>
      <c r="V185" s="345">
        <v>420</v>
      </c>
      <c r="W185" s="345">
        <v>0</v>
      </c>
      <c r="X185" s="345">
        <v>0</v>
      </c>
      <c r="Y185" s="345">
        <v>63</v>
      </c>
      <c r="Z185" s="345">
        <v>10</v>
      </c>
      <c r="AA185" s="345">
        <v>2</v>
      </c>
      <c r="AB185" s="345">
        <v>29</v>
      </c>
      <c r="AC185" s="345">
        <v>7</v>
      </c>
      <c r="AD185" s="349">
        <v>3679</v>
      </c>
      <c r="AE185" s="349">
        <v>2</v>
      </c>
      <c r="AF185" s="349">
        <v>42</v>
      </c>
      <c r="AG185" s="349">
        <v>44</v>
      </c>
    </row>
    <row r="186" spans="1:33" x14ac:dyDescent="0.2">
      <c r="A186" s="344" t="s">
        <v>428</v>
      </c>
      <c r="B186" s="350" t="s">
        <v>429</v>
      </c>
      <c r="C186" s="346">
        <v>771</v>
      </c>
      <c r="D186" s="346">
        <v>0</v>
      </c>
      <c r="E186" s="346">
        <v>69</v>
      </c>
      <c r="F186" s="346">
        <v>143</v>
      </c>
      <c r="G186" s="346">
        <v>107</v>
      </c>
      <c r="H186" s="346">
        <v>1090</v>
      </c>
      <c r="I186" s="345">
        <v>983</v>
      </c>
      <c r="J186" s="345">
        <v>7</v>
      </c>
      <c r="K186" s="347">
        <v>91.07</v>
      </c>
      <c r="L186" s="347">
        <v>90.05</v>
      </c>
      <c r="M186" s="347">
        <v>4.74</v>
      </c>
      <c r="N186" s="347">
        <v>93.42</v>
      </c>
      <c r="O186" s="348">
        <v>583</v>
      </c>
      <c r="P186" s="345">
        <v>93.82</v>
      </c>
      <c r="Q186" s="345">
        <v>79.69</v>
      </c>
      <c r="R186" s="345">
        <v>37.35</v>
      </c>
      <c r="S186" s="345">
        <v>128.29</v>
      </c>
      <c r="T186" s="345">
        <v>207</v>
      </c>
      <c r="U186" s="345">
        <v>100.86</v>
      </c>
      <c r="V186" s="345">
        <v>155</v>
      </c>
      <c r="W186" s="345">
        <v>0</v>
      </c>
      <c r="X186" s="345">
        <v>0</v>
      </c>
      <c r="Y186" s="345">
        <v>0</v>
      </c>
      <c r="Z186" s="345">
        <v>3</v>
      </c>
      <c r="AA186" s="345">
        <v>0</v>
      </c>
      <c r="AB186" s="345">
        <v>6</v>
      </c>
      <c r="AC186" s="345">
        <v>7</v>
      </c>
      <c r="AD186" s="349">
        <v>668</v>
      </c>
      <c r="AE186" s="349">
        <v>3</v>
      </c>
      <c r="AF186" s="349">
        <v>2</v>
      </c>
      <c r="AG186" s="349">
        <v>5</v>
      </c>
    </row>
    <row r="187" spans="1:33" x14ac:dyDescent="0.2">
      <c r="A187" s="344" t="s">
        <v>430</v>
      </c>
      <c r="B187" s="350" t="s">
        <v>431</v>
      </c>
      <c r="C187" s="346">
        <v>8537</v>
      </c>
      <c r="D187" s="346">
        <v>2</v>
      </c>
      <c r="E187" s="346">
        <v>412</v>
      </c>
      <c r="F187" s="346">
        <v>1295</v>
      </c>
      <c r="G187" s="346">
        <v>197</v>
      </c>
      <c r="H187" s="346">
        <v>10443</v>
      </c>
      <c r="I187" s="345">
        <v>10246</v>
      </c>
      <c r="J187" s="345">
        <v>105</v>
      </c>
      <c r="K187" s="347">
        <v>78.47</v>
      </c>
      <c r="L187" s="347">
        <v>78.38</v>
      </c>
      <c r="M187" s="347">
        <v>2.04</v>
      </c>
      <c r="N187" s="347">
        <v>80.23</v>
      </c>
      <c r="O187" s="348">
        <v>8486</v>
      </c>
      <c r="P187" s="345">
        <v>85.12</v>
      </c>
      <c r="Q187" s="345">
        <v>68.319999999999993</v>
      </c>
      <c r="R187" s="345">
        <v>28.2</v>
      </c>
      <c r="S187" s="345">
        <v>110.14</v>
      </c>
      <c r="T187" s="345">
        <v>1540</v>
      </c>
      <c r="U187" s="345">
        <v>90.77</v>
      </c>
      <c r="V187" s="345">
        <v>31</v>
      </c>
      <c r="W187" s="345">
        <v>0</v>
      </c>
      <c r="X187" s="345">
        <v>0</v>
      </c>
      <c r="Y187" s="345">
        <v>0</v>
      </c>
      <c r="Z187" s="345">
        <v>26</v>
      </c>
      <c r="AA187" s="345">
        <v>0</v>
      </c>
      <c r="AB187" s="345">
        <v>4</v>
      </c>
      <c r="AC187" s="345">
        <v>2</v>
      </c>
      <c r="AD187" s="349">
        <v>8537</v>
      </c>
      <c r="AE187" s="349">
        <v>123</v>
      </c>
      <c r="AF187" s="349">
        <v>657</v>
      </c>
      <c r="AG187" s="349">
        <v>780</v>
      </c>
    </row>
    <row r="188" spans="1:33" x14ac:dyDescent="0.2">
      <c r="A188" s="344" t="s">
        <v>432</v>
      </c>
      <c r="B188" s="350" t="s">
        <v>433</v>
      </c>
      <c r="C188" s="346">
        <v>9470</v>
      </c>
      <c r="D188" s="346">
        <v>0</v>
      </c>
      <c r="E188" s="346">
        <v>257</v>
      </c>
      <c r="F188" s="346">
        <v>977</v>
      </c>
      <c r="G188" s="346">
        <v>431</v>
      </c>
      <c r="H188" s="346">
        <v>11135</v>
      </c>
      <c r="I188" s="345">
        <v>10704</v>
      </c>
      <c r="J188" s="345">
        <v>612</v>
      </c>
      <c r="K188" s="347">
        <v>109.52</v>
      </c>
      <c r="L188" s="347">
        <v>109.57</v>
      </c>
      <c r="M188" s="347">
        <v>5.17</v>
      </c>
      <c r="N188" s="347">
        <v>111.14</v>
      </c>
      <c r="O188" s="348">
        <v>9221</v>
      </c>
      <c r="P188" s="345">
        <v>95.93</v>
      </c>
      <c r="Q188" s="345">
        <v>96.53</v>
      </c>
      <c r="R188" s="345">
        <v>26.5</v>
      </c>
      <c r="S188" s="345">
        <v>119.89</v>
      </c>
      <c r="T188" s="345">
        <v>1212</v>
      </c>
      <c r="U188" s="345">
        <v>134.94999999999999</v>
      </c>
      <c r="V188" s="345">
        <v>175</v>
      </c>
      <c r="W188" s="345">
        <v>0</v>
      </c>
      <c r="X188" s="345">
        <v>0</v>
      </c>
      <c r="Y188" s="345">
        <v>0</v>
      </c>
      <c r="Z188" s="345">
        <v>35</v>
      </c>
      <c r="AA188" s="345">
        <v>1</v>
      </c>
      <c r="AB188" s="345">
        <v>38</v>
      </c>
      <c r="AC188" s="345">
        <v>44</v>
      </c>
      <c r="AD188" s="349">
        <v>9419</v>
      </c>
      <c r="AE188" s="349">
        <v>41</v>
      </c>
      <c r="AF188" s="349">
        <v>15</v>
      </c>
      <c r="AG188" s="349">
        <v>56</v>
      </c>
    </row>
    <row r="189" spans="1:33" x14ac:dyDescent="0.2">
      <c r="A189" s="344" t="s">
        <v>434</v>
      </c>
      <c r="B189" s="350" t="s">
        <v>435</v>
      </c>
      <c r="C189" s="346">
        <v>969</v>
      </c>
      <c r="D189" s="346">
        <v>0</v>
      </c>
      <c r="E189" s="346">
        <v>88</v>
      </c>
      <c r="F189" s="346">
        <v>152</v>
      </c>
      <c r="G189" s="346">
        <v>277</v>
      </c>
      <c r="H189" s="346">
        <v>1486</v>
      </c>
      <c r="I189" s="345">
        <v>1209</v>
      </c>
      <c r="J189" s="345">
        <v>0</v>
      </c>
      <c r="K189" s="347">
        <v>88.26</v>
      </c>
      <c r="L189" s="347">
        <v>86.85</v>
      </c>
      <c r="M189" s="347">
        <v>4.34</v>
      </c>
      <c r="N189" s="347">
        <v>91.78</v>
      </c>
      <c r="O189" s="348">
        <v>749</v>
      </c>
      <c r="P189" s="345">
        <v>99.73</v>
      </c>
      <c r="Q189" s="345">
        <v>88.29</v>
      </c>
      <c r="R189" s="345">
        <v>31.13</v>
      </c>
      <c r="S189" s="345">
        <v>127.06</v>
      </c>
      <c r="T189" s="345">
        <v>213</v>
      </c>
      <c r="U189" s="345">
        <v>97.43</v>
      </c>
      <c r="V189" s="345">
        <v>144</v>
      </c>
      <c r="W189" s="345">
        <v>0</v>
      </c>
      <c r="X189" s="345">
        <v>0</v>
      </c>
      <c r="Y189" s="345">
        <v>0</v>
      </c>
      <c r="Z189" s="345">
        <v>0</v>
      </c>
      <c r="AA189" s="345">
        <v>0</v>
      </c>
      <c r="AB189" s="345">
        <v>25</v>
      </c>
      <c r="AC189" s="345">
        <v>5</v>
      </c>
      <c r="AD189" s="349">
        <v>912</v>
      </c>
      <c r="AE189" s="349">
        <v>7</v>
      </c>
      <c r="AF189" s="349">
        <v>1</v>
      </c>
      <c r="AG189" s="349">
        <v>8</v>
      </c>
    </row>
    <row r="190" spans="1:33" x14ac:dyDescent="0.2">
      <c r="A190" s="344" t="s">
        <v>436</v>
      </c>
      <c r="B190" s="350" t="s">
        <v>437</v>
      </c>
      <c r="C190" s="346">
        <v>10846</v>
      </c>
      <c r="D190" s="346">
        <v>0</v>
      </c>
      <c r="E190" s="346">
        <v>157</v>
      </c>
      <c r="F190" s="346">
        <v>317</v>
      </c>
      <c r="G190" s="346">
        <v>71</v>
      </c>
      <c r="H190" s="346">
        <v>11391</v>
      </c>
      <c r="I190" s="345">
        <v>11320</v>
      </c>
      <c r="J190" s="345">
        <v>0</v>
      </c>
      <c r="K190" s="347">
        <v>80.680000000000007</v>
      </c>
      <c r="L190" s="347">
        <v>80.510000000000005</v>
      </c>
      <c r="M190" s="347">
        <v>3.14</v>
      </c>
      <c r="N190" s="347">
        <v>81.92</v>
      </c>
      <c r="O190" s="348">
        <v>10470</v>
      </c>
      <c r="P190" s="345">
        <v>95.64</v>
      </c>
      <c r="Q190" s="345">
        <v>79.650000000000006</v>
      </c>
      <c r="R190" s="345">
        <v>51.18</v>
      </c>
      <c r="S190" s="345">
        <v>142.57</v>
      </c>
      <c r="T190" s="345">
        <v>434</v>
      </c>
      <c r="U190" s="345">
        <v>94.33</v>
      </c>
      <c r="V190" s="345">
        <v>315</v>
      </c>
      <c r="W190" s="345">
        <v>113.86</v>
      </c>
      <c r="X190" s="345">
        <v>10</v>
      </c>
      <c r="Y190" s="345">
        <v>10</v>
      </c>
      <c r="Z190" s="345">
        <v>42</v>
      </c>
      <c r="AA190" s="345">
        <v>0</v>
      </c>
      <c r="AB190" s="345">
        <v>3</v>
      </c>
      <c r="AC190" s="345">
        <v>1</v>
      </c>
      <c r="AD190" s="349">
        <v>10806</v>
      </c>
      <c r="AE190" s="349">
        <v>109</v>
      </c>
      <c r="AF190" s="349">
        <v>23</v>
      </c>
      <c r="AG190" s="349">
        <v>132</v>
      </c>
    </row>
    <row r="191" spans="1:33" x14ac:dyDescent="0.2">
      <c r="A191" s="344" t="s">
        <v>438</v>
      </c>
      <c r="B191" s="350" t="s">
        <v>439</v>
      </c>
      <c r="C191" s="346">
        <v>5469</v>
      </c>
      <c r="D191" s="346">
        <v>0</v>
      </c>
      <c r="E191" s="346">
        <v>159</v>
      </c>
      <c r="F191" s="346">
        <v>658</v>
      </c>
      <c r="G191" s="346">
        <v>135</v>
      </c>
      <c r="H191" s="346">
        <v>6421</v>
      </c>
      <c r="I191" s="345">
        <v>6286</v>
      </c>
      <c r="J191" s="345">
        <v>14</v>
      </c>
      <c r="K191" s="347">
        <v>89.53</v>
      </c>
      <c r="L191" s="347">
        <v>88.83</v>
      </c>
      <c r="M191" s="347">
        <v>2.27</v>
      </c>
      <c r="N191" s="347">
        <v>91.1</v>
      </c>
      <c r="O191" s="348">
        <v>5016</v>
      </c>
      <c r="P191" s="345">
        <v>88.94</v>
      </c>
      <c r="Q191" s="345">
        <v>80.08</v>
      </c>
      <c r="R191" s="345">
        <v>22.53</v>
      </c>
      <c r="S191" s="345">
        <v>110.81</v>
      </c>
      <c r="T191" s="345">
        <v>785</v>
      </c>
      <c r="U191" s="345">
        <v>104.7</v>
      </c>
      <c r="V191" s="345">
        <v>429</v>
      </c>
      <c r="W191" s="345">
        <v>97.11</v>
      </c>
      <c r="X191" s="345">
        <v>28</v>
      </c>
      <c r="Y191" s="345">
        <v>0</v>
      </c>
      <c r="Z191" s="345">
        <v>24</v>
      </c>
      <c r="AA191" s="345">
        <v>1</v>
      </c>
      <c r="AB191" s="345">
        <v>4</v>
      </c>
      <c r="AC191" s="345">
        <v>0</v>
      </c>
      <c r="AD191" s="349">
        <v>5458</v>
      </c>
      <c r="AE191" s="349">
        <v>18</v>
      </c>
      <c r="AF191" s="349">
        <v>45</v>
      </c>
      <c r="AG191" s="349">
        <v>63</v>
      </c>
    </row>
    <row r="192" spans="1:33" x14ac:dyDescent="0.2">
      <c r="A192" s="344" t="s">
        <v>799</v>
      </c>
      <c r="B192" s="350" t="s">
        <v>797</v>
      </c>
      <c r="C192" s="346">
        <v>13319</v>
      </c>
      <c r="D192" s="346">
        <v>82</v>
      </c>
      <c r="E192" s="346">
        <v>687</v>
      </c>
      <c r="F192" s="346">
        <v>961</v>
      </c>
      <c r="G192" s="346">
        <v>1182</v>
      </c>
      <c r="H192" s="346">
        <v>16231</v>
      </c>
      <c r="I192" s="345">
        <v>15049</v>
      </c>
      <c r="J192" s="345">
        <v>21</v>
      </c>
      <c r="K192" s="347">
        <v>90.85</v>
      </c>
      <c r="L192" s="347">
        <v>90.23</v>
      </c>
      <c r="M192" s="347">
        <v>5.28</v>
      </c>
      <c r="N192" s="347">
        <v>93.32</v>
      </c>
      <c r="O192" s="348">
        <v>11394</v>
      </c>
      <c r="P192" s="345">
        <v>87.62</v>
      </c>
      <c r="Q192" s="345">
        <v>82.45</v>
      </c>
      <c r="R192" s="345">
        <v>38.53</v>
      </c>
      <c r="S192" s="345">
        <v>125.07</v>
      </c>
      <c r="T192" s="345">
        <v>1530</v>
      </c>
      <c r="U192" s="345">
        <v>105.39</v>
      </c>
      <c r="V192" s="345">
        <v>1005</v>
      </c>
      <c r="W192" s="345">
        <v>161.63999999999999</v>
      </c>
      <c r="X192" s="345">
        <v>7</v>
      </c>
      <c r="Y192" s="345">
        <v>25</v>
      </c>
      <c r="Z192" s="345">
        <v>37</v>
      </c>
      <c r="AA192" s="345">
        <v>4</v>
      </c>
      <c r="AB192" s="345">
        <v>130</v>
      </c>
      <c r="AC192" s="345">
        <v>35</v>
      </c>
      <c r="AD192" s="349">
        <v>12592</v>
      </c>
      <c r="AE192" s="349">
        <v>54</v>
      </c>
      <c r="AF192" s="349">
        <v>45</v>
      </c>
      <c r="AG192" s="349">
        <v>99</v>
      </c>
    </row>
    <row r="193" spans="1:33" x14ac:dyDescent="0.2">
      <c r="A193" s="344" t="s">
        <v>440</v>
      </c>
      <c r="B193" s="350" t="s">
        <v>441</v>
      </c>
      <c r="C193" s="346">
        <v>8164</v>
      </c>
      <c r="D193" s="346">
        <v>81</v>
      </c>
      <c r="E193" s="346">
        <v>408</v>
      </c>
      <c r="F193" s="346">
        <v>633</v>
      </c>
      <c r="G193" s="346">
        <v>444</v>
      </c>
      <c r="H193" s="346">
        <v>9730</v>
      </c>
      <c r="I193" s="345">
        <v>9286</v>
      </c>
      <c r="J193" s="345">
        <v>12</v>
      </c>
      <c r="K193" s="347">
        <v>95.24</v>
      </c>
      <c r="L193" s="347">
        <v>91.63</v>
      </c>
      <c r="M193" s="347">
        <v>5.85</v>
      </c>
      <c r="N193" s="347">
        <v>98.58</v>
      </c>
      <c r="O193" s="348">
        <v>7318</v>
      </c>
      <c r="P193" s="345">
        <v>100.56</v>
      </c>
      <c r="Q193" s="345">
        <v>88.95</v>
      </c>
      <c r="R193" s="345">
        <v>43.55</v>
      </c>
      <c r="S193" s="345">
        <v>143.78</v>
      </c>
      <c r="T193" s="345">
        <v>789</v>
      </c>
      <c r="U193" s="345">
        <v>126.27</v>
      </c>
      <c r="V193" s="345">
        <v>763</v>
      </c>
      <c r="W193" s="345">
        <v>153.26</v>
      </c>
      <c r="X193" s="345">
        <v>75</v>
      </c>
      <c r="Y193" s="345">
        <v>0</v>
      </c>
      <c r="Z193" s="345">
        <v>23</v>
      </c>
      <c r="AA193" s="345">
        <v>0</v>
      </c>
      <c r="AB193" s="345">
        <v>29</v>
      </c>
      <c r="AC193" s="345">
        <v>25</v>
      </c>
      <c r="AD193" s="349">
        <v>8069</v>
      </c>
      <c r="AE193" s="349">
        <v>38</v>
      </c>
      <c r="AF193" s="349">
        <v>9</v>
      </c>
      <c r="AG193" s="349">
        <v>47</v>
      </c>
    </row>
    <row r="194" spans="1:33" x14ac:dyDescent="0.2">
      <c r="A194" s="344" t="s">
        <v>442</v>
      </c>
      <c r="B194" s="350" t="s">
        <v>443</v>
      </c>
      <c r="C194" s="346">
        <v>4028</v>
      </c>
      <c r="D194" s="346">
        <v>63</v>
      </c>
      <c r="E194" s="346">
        <v>443</v>
      </c>
      <c r="F194" s="346">
        <v>1270</v>
      </c>
      <c r="G194" s="346">
        <v>271</v>
      </c>
      <c r="H194" s="346">
        <v>6075</v>
      </c>
      <c r="I194" s="345">
        <v>5804</v>
      </c>
      <c r="J194" s="345">
        <v>0</v>
      </c>
      <c r="K194" s="347">
        <v>81.819999999999993</v>
      </c>
      <c r="L194" s="347">
        <v>80.59</v>
      </c>
      <c r="M194" s="347">
        <v>8.5399999999999991</v>
      </c>
      <c r="N194" s="347">
        <v>88.48</v>
      </c>
      <c r="O194" s="348">
        <v>3367</v>
      </c>
      <c r="P194" s="345">
        <v>88.95</v>
      </c>
      <c r="Q194" s="345">
        <v>80.239999999999995</v>
      </c>
      <c r="R194" s="345">
        <v>43.48</v>
      </c>
      <c r="S194" s="345">
        <v>131.71</v>
      </c>
      <c r="T194" s="345">
        <v>1452</v>
      </c>
      <c r="U194" s="345">
        <v>97.46</v>
      </c>
      <c r="V194" s="345">
        <v>549</v>
      </c>
      <c r="W194" s="345">
        <v>166.55</v>
      </c>
      <c r="X194" s="345">
        <v>111</v>
      </c>
      <c r="Y194" s="345">
        <v>0</v>
      </c>
      <c r="Z194" s="345">
        <v>3</v>
      </c>
      <c r="AA194" s="345">
        <v>0</v>
      </c>
      <c r="AB194" s="345">
        <v>9</v>
      </c>
      <c r="AC194" s="345">
        <v>9</v>
      </c>
      <c r="AD194" s="349">
        <v>3870</v>
      </c>
      <c r="AE194" s="349">
        <v>28</v>
      </c>
      <c r="AF194" s="349">
        <v>20</v>
      </c>
      <c r="AG194" s="349">
        <v>48</v>
      </c>
    </row>
    <row r="195" spans="1:33" x14ac:dyDescent="0.2">
      <c r="A195" s="344" t="s">
        <v>444</v>
      </c>
      <c r="B195" s="350" t="s">
        <v>445</v>
      </c>
      <c r="C195" s="346">
        <v>1029</v>
      </c>
      <c r="D195" s="346">
        <v>2</v>
      </c>
      <c r="E195" s="346">
        <v>13</v>
      </c>
      <c r="F195" s="346">
        <v>49</v>
      </c>
      <c r="G195" s="346">
        <v>185</v>
      </c>
      <c r="H195" s="346">
        <v>1278</v>
      </c>
      <c r="I195" s="345">
        <v>1093</v>
      </c>
      <c r="J195" s="345">
        <v>4</v>
      </c>
      <c r="K195" s="347">
        <v>99.02</v>
      </c>
      <c r="L195" s="347">
        <v>96.95</v>
      </c>
      <c r="M195" s="347">
        <v>4.5</v>
      </c>
      <c r="N195" s="347">
        <v>101.56</v>
      </c>
      <c r="O195" s="348">
        <v>875</v>
      </c>
      <c r="P195" s="345">
        <v>90.79</v>
      </c>
      <c r="Q195" s="345">
        <v>90.78</v>
      </c>
      <c r="R195" s="345">
        <v>35.03</v>
      </c>
      <c r="S195" s="345">
        <v>120.19</v>
      </c>
      <c r="T195" s="345">
        <v>56</v>
      </c>
      <c r="U195" s="345">
        <v>110.08</v>
      </c>
      <c r="V195" s="345">
        <v>155</v>
      </c>
      <c r="W195" s="345">
        <v>0</v>
      </c>
      <c r="X195" s="345">
        <v>0</v>
      </c>
      <c r="Y195" s="345">
        <v>0</v>
      </c>
      <c r="Z195" s="345">
        <v>0</v>
      </c>
      <c r="AA195" s="345">
        <v>1</v>
      </c>
      <c r="AB195" s="345">
        <v>22</v>
      </c>
      <c r="AC195" s="345">
        <v>5</v>
      </c>
      <c r="AD195" s="349">
        <v>1029</v>
      </c>
      <c r="AE195" s="349">
        <v>4</v>
      </c>
      <c r="AF195" s="349">
        <v>4</v>
      </c>
      <c r="AG195" s="349">
        <v>8</v>
      </c>
    </row>
    <row r="196" spans="1:33" x14ac:dyDescent="0.2">
      <c r="A196" s="344" t="s">
        <v>446</v>
      </c>
      <c r="B196" s="350" t="s">
        <v>447</v>
      </c>
      <c r="C196" s="346">
        <v>1691</v>
      </c>
      <c r="D196" s="346">
        <v>0</v>
      </c>
      <c r="E196" s="346">
        <v>52</v>
      </c>
      <c r="F196" s="346">
        <v>203</v>
      </c>
      <c r="G196" s="346">
        <v>372</v>
      </c>
      <c r="H196" s="346">
        <v>2318</v>
      </c>
      <c r="I196" s="345">
        <v>1946</v>
      </c>
      <c r="J196" s="345">
        <v>0</v>
      </c>
      <c r="K196" s="347">
        <v>88.5</v>
      </c>
      <c r="L196" s="347">
        <v>88.13</v>
      </c>
      <c r="M196" s="347">
        <v>5.63</v>
      </c>
      <c r="N196" s="347">
        <v>92.95</v>
      </c>
      <c r="O196" s="348">
        <v>1374</v>
      </c>
      <c r="P196" s="345">
        <v>87.73</v>
      </c>
      <c r="Q196" s="345">
        <v>91.45</v>
      </c>
      <c r="R196" s="345">
        <v>39.29</v>
      </c>
      <c r="S196" s="345">
        <v>125.13</v>
      </c>
      <c r="T196" s="345">
        <v>250</v>
      </c>
      <c r="U196" s="345">
        <v>98.48</v>
      </c>
      <c r="V196" s="345">
        <v>288</v>
      </c>
      <c r="W196" s="345">
        <v>0</v>
      </c>
      <c r="X196" s="345">
        <v>0</v>
      </c>
      <c r="Y196" s="345">
        <v>0</v>
      </c>
      <c r="Z196" s="345">
        <v>2</v>
      </c>
      <c r="AA196" s="345">
        <v>0</v>
      </c>
      <c r="AB196" s="345">
        <v>22</v>
      </c>
      <c r="AC196" s="345">
        <v>13</v>
      </c>
      <c r="AD196" s="349">
        <v>1681</v>
      </c>
      <c r="AE196" s="349">
        <v>19</v>
      </c>
      <c r="AF196" s="349">
        <v>0</v>
      </c>
      <c r="AG196" s="349">
        <v>19</v>
      </c>
    </row>
    <row r="197" spans="1:33" x14ac:dyDescent="0.2">
      <c r="A197" s="344" t="s">
        <v>448</v>
      </c>
      <c r="B197" s="350" t="s">
        <v>449</v>
      </c>
      <c r="C197" s="346">
        <v>14100</v>
      </c>
      <c r="D197" s="346">
        <v>45</v>
      </c>
      <c r="E197" s="346">
        <v>313</v>
      </c>
      <c r="F197" s="346">
        <v>3216</v>
      </c>
      <c r="G197" s="346">
        <v>429</v>
      </c>
      <c r="H197" s="346">
        <v>18103</v>
      </c>
      <c r="I197" s="345">
        <v>17674</v>
      </c>
      <c r="J197" s="345">
        <v>18</v>
      </c>
      <c r="K197" s="347">
        <v>76.489999999999995</v>
      </c>
      <c r="L197" s="347">
        <v>75.55</v>
      </c>
      <c r="M197" s="347">
        <v>3.86</v>
      </c>
      <c r="N197" s="347">
        <v>78.45</v>
      </c>
      <c r="O197" s="348">
        <v>12946</v>
      </c>
      <c r="P197" s="345">
        <v>72.48</v>
      </c>
      <c r="Q197" s="345">
        <v>68.41</v>
      </c>
      <c r="R197" s="345">
        <v>19.96</v>
      </c>
      <c r="S197" s="345">
        <v>91.43</v>
      </c>
      <c r="T197" s="345">
        <v>3442</v>
      </c>
      <c r="U197" s="345">
        <v>98.57</v>
      </c>
      <c r="V197" s="345">
        <v>987</v>
      </c>
      <c r="W197" s="345">
        <v>125.95</v>
      </c>
      <c r="X197" s="345">
        <v>11</v>
      </c>
      <c r="Y197" s="345">
        <v>21</v>
      </c>
      <c r="Z197" s="345">
        <v>58</v>
      </c>
      <c r="AA197" s="345">
        <v>21</v>
      </c>
      <c r="AB197" s="345">
        <v>13</v>
      </c>
      <c r="AC197" s="345">
        <v>37</v>
      </c>
      <c r="AD197" s="349">
        <v>13889</v>
      </c>
      <c r="AE197" s="349">
        <v>124</v>
      </c>
      <c r="AF197" s="349">
        <v>40</v>
      </c>
      <c r="AG197" s="349">
        <v>164</v>
      </c>
    </row>
    <row r="198" spans="1:33" x14ac:dyDescent="0.2">
      <c r="A198" s="344" t="s">
        <v>450</v>
      </c>
      <c r="B198" s="350" t="s">
        <v>451</v>
      </c>
      <c r="C198" s="346">
        <v>3792</v>
      </c>
      <c r="D198" s="346">
        <v>0</v>
      </c>
      <c r="E198" s="346">
        <v>528</v>
      </c>
      <c r="F198" s="346">
        <v>1122</v>
      </c>
      <c r="G198" s="346">
        <v>282</v>
      </c>
      <c r="H198" s="346">
        <v>5724</v>
      </c>
      <c r="I198" s="345">
        <v>5442</v>
      </c>
      <c r="J198" s="345">
        <v>2</v>
      </c>
      <c r="K198" s="347">
        <v>89.63</v>
      </c>
      <c r="L198" s="347">
        <v>89.3</v>
      </c>
      <c r="M198" s="347">
        <v>6.29</v>
      </c>
      <c r="N198" s="347">
        <v>94.52</v>
      </c>
      <c r="O198" s="348">
        <v>3437</v>
      </c>
      <c r="P198" s="345">
        <v>87.84</v>
      </c>
      <c r="Q198" s="345">
        <v>83.25</v>
      </c>
      <c r="R198" s="345">
        <v>42.92</v>
      </c>
      <c r="S198" s="345">
        <v>129.32</v>
      </c>
      <c r="T198" s="345">
        <v>984</v>
      </c>
      <c r="U198" s="345">
        <v>106.1</v>
      </c>
      <c r="V198" s="345">
        <v>259</v>
      </c>
      <c r="W198" s="345">
        <v>0</v>
      </c>
      <c r="X198" s="345">
        <v>0</v>
      </c>
      <c r="Y198" s="345">
        <v>0</v>
      </c>
      <c r="Z198" s="345">
        <v>0</v>
      </c>
      <c r="AA198" s="345">
        <v>0</v>
      </c>
      <c r="AB198" s="345">
        <v>0</v>
      </c>
      <c r="AC198" s="345">
        <v>15</v>
      </c>
      <c r="AD198" s="349">
        <v>3775</v>
      </c>
      <c r="AE198" s="349">
        <v>7</v>
      </c>
      <c r="AF198" s="349">
        <v>4</v>
      </c>
      <c r="AG198" s="349">
        <v>11</v>
      </c>
    </row>
    <row r="199" spans="1:33" x14ac:dyDescent="0.2">
      <c r="A199" s="344" t="s">
        <v>452</v>
      </c>
      <c r="B199" s="350" t="s">
        <v>453</v>
      </c>
      <c r="C199" s="346">
        <v>6517</v>
      </c>
      <c r="D199" s="346">
        <v>8</v>
      </c>
      <c r="E199" s="346">
        <v>1107</v>
      </c>
      <c r="F199" s="346">
        <v>2358</v>
      </c>
      <c r="G199" s="346">
        <v>323</v>
      </c>
      <c r="H199" s="346">
        <v>10313</v>
      </c>
      <c r="I199" s="345">
        <v>9990</v>
      </c>
      <c r="J199" s="345">
        <v>25</v>
      </c>
      <c r="K199" s="347">
        <v>85.39</v>
      </c>
      <c r="L199" s="347">
        <v>83.76</v>
      </c>
      <c r="M199" s="347">
        <v>5.74</v>
      </c>
      <c r="N199" s="347">
        <v>88.93</v>
      </c>
      <c r="O199" s="348">
        <v>5691</v>
      </c>
      <c r="P199" s="345">
        <v>86.52</v>
      </c>
      <c r="Q199" s="345">
        <v>78.319999999999993</v>
      </c>
      <c r="R199" s="345">
        <v>39.659999999999997</v>
      </c>
      <c r="S199" s="345">
        <v>123.44</v>
      </c>
      <c r="T199" s="345">
        <v>2555</v>
      </c>
      <c r="U199" s="345">
        <v>99.81</v>
      </c>
      <c r="V199" s="345">
        <v>351</v>
      </c>
      <c r="W199" s="345">
        <v>157.55000000000001</v>
      </c>
      <c r="X199" s="345">
        <v>159</v>
      </c>
      <c r="Y199" s="345">
        <v>122</v>
      </c>
      <c r="Z199" s="345">
        <v>0</v>
      </c>
      <c r="AA199" s="345">
        <v>0</v>
      </c>
      <c r="AB199" s="345">
        <v>12</v>
      </c>
      <c r="AC199" s="345">
        <v>33</v>
      </c>
      <c r="AD199" s="349">
        <v>6486</v>
      </c>
      <c r="AE199" s="349">
        <v>42</v>
      </c>
      <c r="AF199" s="349">
        <v>57</v>
      </c>
      <c r="AG199" s="349">
        <v>99</v>
      </c>
    </row>
    <row r="200" spans="1:33" x14ac:dyDescent="0.2">
      <c r="A200" s="344" t="s">
        <v>454</v>
      </c>
      <c r="B200" s="350" t="s">
        <v>455</v>
      </c>
      <c r="C200" s="346">
        <v>2032</v>
      </c>
      <c r="D200" s="346">
        <v>5</v>
      </c>
      <c r="E200" s="346">
        <v>214</v>
      </c>
      <c r="F200" s="346">
        <v>365</v>
      </c>
      <c r="G200" s="346">
        <v>283</v>
      </c>
      <c r="H200" s="346">
        <v>2899</v>
      </c>
      <c r="I200" s="345">
        <v>2616</v>
      </c>
      <c r="J200" s="345">
        <v>26</v>
      </c>
      <c r="K200" s="347">
        <v>97.22</v>
      </c>
      <c r="L200" s="347">
        <v>94.53</v>
      </c>
      <c r="M200" s="347">
        <v>6.08</v>
      </c>
      <c r="N200" s="347">
        <v>102.29</v>
      </c>
      <c r="O200" s="348">
        <v>1704</v>
      </c>
      <c r="P200" s="345">
        <v>99.17</v>
      </c>
      <c r="Q200" s="345">
        <v>86.02</v>
      </c>
      <c r="R200" s="345">
        <v>39.65</v>
      </c>
      <c r="S200" s="345">
        <v>135.47999999999999</v>
      </c>
      <c r="T200" s="345">
        <v>356</v>
      </c>
      <c r="U200" s="345">
        <v>113.95</v>
      </c>
      <c r="V200" s="345">
        <v>287</v>
      </c>
      <c r="W200" s="345">
        <v>186.31</v>
      </c>
      <c r="X200" s="345">
        <v>60</v>
      </c>
      <c r="Y200" s="345">
        <v>0</v>
      </c>
      <c r="Z200" s="345">
        <v>1</v>
      </c>
      <c r="AA200" s="345">
        <v>0</v>
      </c>
      <c r="AB200" s="345">
        <v>10</v>
      </c>
      <c r="AC200" s="345">
        <v>12</v>
      </c>
      <c r="AD200" s="349">
        <v>2019</v>
      </c>
      <c r="AE200" s="349">
        <v>4</v>
      </c>
      <c r="AF200" s="349">
        <v>4</v>
      </c>
      <c r="AG200" s="349">
        <v>8</v>
      </c>
    </row>
    <row r="201" spans="1:33" x14ac:dyDescent="0.2">
      <c r="A201" s="344" t="s">
        <v>456</v>
      </c>
      <c r="B201" s="350" t="s">
        <v>457</v>
      </c>
      <c r="C201" s="346">
        <v>472</v>
      </c>
      <c r="D201" s="346">
        <v>0</v>
      </c>
      <c r="E201" s="346">
        <v>54</v>
      </c>
      <c r="F201" s="346">
        <v>94</v>
      </c>
      <c r="G201" s="346">
        <v>118</v>
      </c>
      <c r="H201" s="346">
        <v>738</v>
      </c>
      <c r="I201" s="345">
        <v>620</v>
      </c>
      <c r="J201" s="345">
        <v>0</v>
      </c>
      <c r="K201" s="347">
        <v>93.27</v>
      </c>
      <c r="L201" s="347">
        <v>90.78</v>
      </c>
      <c r="M201" s="347">
        <v>5.17</v>
      </c>
      <c r="N201" s="347">
        <v>96.17</v>
      </c>
      <c r="O201" s="348">
        <v>297</v>
      </c>
      <c r="P201" s="345">
        <v>103.62</v>
      </c>
      <c r="Q201" s="345">
        <v>78.14</v>
      </c>
      <c r="R201" s="345">
        <v>29.45</v>
      </c>
      <c r="S201" s="345">
        <v>133.07</v>
      </c>
      <c r="T201" s="345">
        <v>132</v>
      </c>
      <c r="U201" s="345">
        <v>104.69</v>
      </c>
      <c r="V201" s="345">
        <v>93</v>
      </c>
      <c r="W201" s="345">
        <v>0</v>
      </c>
      <c r="X201" s="345">
        <v>0</v>
      </c>
      <c r="Y201" s="345">
        <v>0</v>
      </c>
      <c r="Z201" s="345">
        <v>0</v>
      </c>
      <c r="AA201" s="345">
        <v>0</v>
      </c>
      <c r="AB201" s="345">
        <v>18</v>
      </c>
      <c r="AC201" s="345">
        <v>6</v>
      </c>
      <c r="AD201" s="349">
        <v>437</v>
      </c>
      <c r="AE201" s="349">
        <v>5</v>
      </c>
      <c r="AF201" s="349">
        <v>0</v>
      </c>
      <c r="AG201" s="349">
        <v>5</v>
      </c>
    </row>
    <row r="202" spans="1:33" x14ac:dyDescent="0.2">
      <c r="A202" s="344" t="s">
        <v>458</v>
      </c>
      <c r="B202" s="350" t="s">
        <v>459</v>
      </c>
      <c r="C202" s="346">
        <v>17517</v>
      </c>
      <c r="D202" s="346">
        <v>1</v>
      </c>
      <c r="E202" s="346">
        <v>519</v>
      </c>
      <c r="F202" s="346">
        <v>677</v>
      </c>
      <c r="G202" s="346">
        <v>203</v>
      </c>
      <c r="H202" s="346">
        <v>18917</v>
      </c>
      <c r="I202" s="345">
        <v>18714</v>
      </c>
      <c r="J202" s="345">
        <v>0</v>
      </c>
      <c r="K202" s="347">
        <v>77.95</v>
      </c>
      <c r="L202" s="347">
        <v>77.010000000000005</v>
      </c>
      <c r="M202" s="347">
        <v>2.5</v>
      </c>
      <c r="N202" s="347">
        <v>79.239999999999995</v>
      </c>
      <c r="O202" s="348">
        <v>15748</v>
      </c>
      <c r="P202" s="345">
        <v>79.290000000000006</v>
      </c>
      <c r="Q202" s="345">
        <v>73.709999999999994</v>
      </c>
      <c r="R202" s="345">
        <v>29.48</v>
      </c>
      <c r="S202" s="345">
        <v>105.09</v>
      </c>
      <c r="T202" s="345">
        <v>1170</v>
      </c>
      <c r="U202" s="345">
        <v>98.35</v>
      </c>
      <c r="V202" s="345">
        <v>1308</v>
      </c>
      <c r="W202" s="345">
        <v>0</v>
      </c>
      <c r="X202" s="345">
        <v>0</v>
      </c>
      <c r="Y202" s="345">
        <v>38</v>
      </c>
      <c r="Z202" s="345">
        <v>105</v>
      </c>
      <c r="AA202" s="345">
        <v>14</v>
      </c>
      <c r="AB202" s="345">
        <v>21</v>
      </c>
      <c r="AC202" s="345">
        <v>9</v>
      </c>
      <c r="AD202" s="349">
        <v>16922</v>
      </c>
      <c r="AE202" s="349">
        <v>44</v>
      </c>
      <c r="AF202" s="349">
        <v>117</v>
      </c>
      <c r="AG202" s="349">
        <v>161</v>
      </c>
    </row>
    <row r="203" spans="1:33" x14ac:dyDescent="0.2">
      <c r="A203" s="344" t="s">
        <v>460</v>
      </c>
      <c r="B203" s="350" t="s">
        <v>461</v>
      </c>
      <c r="C203" s="346">
        <v>2938</v>
      </c>
      <c r="D203" s="346">
        <v>99</v>
      </c>
      <c r="E203" s="346">
        <v>448</v>
      </c>
      <c r="F203" s="346">
        <v>852</v>
      </c>
      <c r="G203" s="346">
        <v>647</v>
      </c>
      <c r="H203" s="346">
        <v>4984</v>
      </c>
      <c r="I203" s="345">
        <v>4337</v>
      </c>
      <c r="J203" s="345">
        <v>8</v>
      </c>
      <c r="K203" s="347">
        <v>113.63</v>
      </c>
      <c r="L203" s="347">
        <v>110.38</v>
      </c>
      <c r="M203" s="347">
        <v>7.92</v>
      </c>
      <c r="N203" s="347">
        <v>119.86</v>
      </c>
      <c r="O203" s="348">
        <v>2956</v>
      </c>
      <c r="P203" s="345">
        <v>105.86</v>
      </c>
      <c r="Q203" s="345">
        <v>94.29</v>
      </c>
      <c r="R203" s="345">
        <v>39.86</v>
      </c>
      <c r="S203" s="345">
        <v>141.84</v>
      </c>
      <c r="T203" s="345">
        <v>1253</v>
      </c>
      <c r="U203" s="345">
        <v>165.41</v>
      </c>
      <c r="V203" s="345">
        <v>57</v>
      </c>
      <c r="W203" s="345">
        <v>0</v>
      </c>
      <c r="X203" s="345">
        <v>0</v>
      </c>
      <c r="Y203" s="345">
        <v>0</v>
      </c>
      <c r="Z203" s="345">
        <v>1</v>
      </c>
      <c r="AA203" s="345">
        <v>53</v>
      </c>
      <c r="AB203" s="345">
        <v>20</v>
      </c>
      <c r="AC203" s="345">
        <v>12</v>
      </c>
      <c r="AD203" s="349">
        <v>2937</v>
      </c>
      <c r="AE203" s="349">
        <v>13</v>
      </c>
      <c r="AF203" s="349">
        <v>5</v>
      </c>
      <c r="AG203" s="349">
        <v>18</v>
      </c>
    </row>
    <row r="204" spans="1:33" x14ac:dyDescent="0.2">
      <c r="A204" s="344" t="s">
        <v>462</v>
      </c>
      <c r="B204" s="350" t="s">
        <v>463</v>
      </c>
      <c r="C204" s="346">
        <v>4177</v>
      </c>
      <c r="D204" s="346">
        <v>1</v>
      </c>
      <c r="E204" s="346">
        <v>161</v>
      </c>
      <c r="F204" s="346">
        <v>286</v>
      </c>
      <c r="G204" s="346">
        <v>6</v>
      </c>
      <c r="H204" s="346">
        <v>4631</v>
      </c>
      <c r="I204" s="345">
        <v>4625</v>
      </c>
      <c r="J204" s="345">
        <v>12</v>
      </c>
      <c r="K204" s="347">
        <v>74.89</v>
      </c>
      <c r="L204" s="347">
        <v>74.41</v>
      </c>
      <c r="M204" s="347">
        <v>2.4700000000000002</v>
      </c>
      <c r="N204" s="347">
        <v>77.08</v>
      </c>
      <c r="O204" s="348">
        <v>3841</v>
      </c>
      <c r="P204" s="345">
        <v>86.47</v>
      </c>
      <c r="Q204" s="345">
        <v>72.02</v>
      </c>
      <c r="R204" s="345">
        <v>27.32</v>
      </c>
      <c r="S204" s="345">
        <v>113.12</v>
      </c>
      <c r="T204" s="345">
        <v>370</v>
      </c>
      <c r="U204" s="345">
        <v>93.03</v>
      </c>
      <c r="V204" s="345">
        <v>326</v>
      </c>
      <c r="W204" s="345">
        <v>0</v>
      </c>
      <c r="X204" s="345">
        <v>0</v>
      </c>
      <c r="Y204" s="345">
        <v>3</v>
      </c>
      <c r="Z204" s="345">
        <v>27</v>
      </c>
      <c r="AA204" s="345">
        <v>1</v>
      </c>
      <c r="AB204" s="345">
        <v>5</v>
      </c>
      <c r="AC204" s="345">
        <v>0</v>
      </c>
      <c r="AD204" s="349">
        <v>4177</v>
      </c>
      <c r="AE204" s="349">
        <v>27</v>
      </c>
      <c r="AF204" s="349">
        <v>13</v>
      </c>
      <c r="AG204" s="349">
        <v>40</v>
      </c>
    </row>
    <row r="205" spans="1:33" x14ac:dyDescent="0.2">
      <c r="A205" s="344" t="s">
        <v>464</v>
      </c>
      <c r="B205" s="350" t="s">
        <v>465</v>
      </c>
      <c r="C205" s="346">
        <v>12939</v>
      </c>
      <c r="D205" s="346">
        <v>40</v>
      </c>
      <c r="E205" s="346">
        <v>683</v>
      </c>
      <c r="F205" s="346">
        <v>2091</v>
      </c>
      <c r="G205" s="346">
        <v>871</v>
      </c>
      <c r="H205" s="346">
        <v>16624</v>
      </c>
      <c r="I205" s="345">
        <v>15753</v>
      </c>
      <c r="J205" s="345">
        <v>54</v>
      </c>
      <c r="K205" s="347">
        <v>87.51</v>
      </c>
      <c r="L205" s="347">
        <v>87.12</v>
      </c>
      <c r="M205" s="347">
        <v>5.29</v>
      </c>
      <c r="N205" s="347">
        <v>90.15</v>
      </c>
      <c r="O205" s="348">
        <v>11313</v>
      </c>
      <c r="P205" s="345">
        <v>88.98</v>
      </c>
      <c r="Q205" s="345">
        <v>86</v>
      </c>
      <c r="R205" s="345">
        <v>34.24</v>
      </c>
      <c r="S205" s="345">
        <v>121.74</v>
      </c>
      <c r="T205" s="345">
        <v>2518</v>
      </c>
      <c r="U205" s="345">
        <v>104.95</v>
      </c>
      <c r="V205" s="345">
        <v>1340</v>
      </c>
      <c r="W205" s="345">
        <v>193.85</v>
      </c>
      <c r="X205" s="345">
        <v>100</v>
      </c>
      <c r="Y205" s="345">
        <v>0</v>
      </c>
      <c r="Z205" s="345">
        <v>58</v>
      </c>
      <c r="AA205" s="345">
        <v>11</v>
      </c>
      <c r="AB205" s="345">
        <v>65</v>
      </c>
      <c r="AC205" s="345">
        <v>8</v>
      </c>
      <c r="AD205" s="349">
        <v>12939</v>
      </c>
      <c r="AE205" s="349">
        <v>47</v>
      </c>
      <c r="AF205" s="349">
        <v>32</v>
      </c>
      <c r="AG205" s="349">
        <v>79</v>
      </c>
    </row>
    <row r="206" spans="1:33" x14ac:dyDescent="0.2">
      <c r="A206" s="344" t="s">
        <v>466</v>
      </c>
      <c r="B206" s="350" t="s">
        <v>467</v>
      </c>
      <c r="C206" s="346">
        <v>18931</v>
      </c>
      <c r="D206" s="346">
        <v>0</v>
      </c>
      <c r="E206" s="346">
        <v>2391</v>
      </c>
      <c r="F206" s="346">
        <v>1073</v>
      </c>
      <c r="G206" s="346">
        <v>988</v>
      </c>
      <c r="H206" s="346">
        <v>23383</v>
      </c>
      <c r="I206" s="345">
        <v>22395</v>
      </c>
      <c r="J206" s="345">
        <v>4</v>
      </c>
      <c r="K206" s="347">
        <v>76.06</v>
      </c>
      <c r="L206" s="347">
        <v>75.959999999999994</v>
      </c>
      <c r="M206" s="347">
        <v>7.3</v>
      </c>
      <c r="N206" s="347">
        <v>80.52</v>
      </c>
      <c r="O206" s="348">
        <v>16016</v>
      </c>
      <c r="P206" s="345">
        <v>72.2</v>
      </c>
      <c r="Q206" s="345">
        <v>68.78</v>
      </c>
      <c r="R206" s="345">
        <v>25.74</v>
      </c>
      <c r="S206" s="345">
        <v>96.6</v>
      </c>
      <c r="T206" s="345">
        <v>3066</v>
      </c>
      <c r="U206" s="345">
        <v>106.22</v>
      </c>
      <c r="V206" s="345">
        <v>2451</v>
      </c>
      <c r="W206" s="345">
        <v>99.17</v>
      </c>
      <c r="X206" s="345">
        <v>210</v>
      </c>
      <c r="Y206" s="345">
        <v>92</v>
      </c>
      <c r="Z206" s="345">
        <v>111</v>
      </c>
      <c r="AA206" s="345">
        <v>14</v>
      </c>
      <c r="AB206" s="345">
        <v>54</v>
      </c>
      <c r="AC206" s="345">
        <v>26</v>
      </c>
      <c r="AD206" s="349">
        <v>18464</v>
      </c>
      <c r="AE206" s="349">
        <v>65</v>
      </c>
      <c r="AF206" s="349">
        <v>180</v>
      </c>
      <c r="AG206" s="349">
        <v>245</v>
      </c>
    </row>
    <row r="207" spans="1:33" x14ac:dyDescent="0.2">
      <c r="A207" s="344" t="s">
        <v>468</v>
      </c>
      <c r="B207" s="350" t="s">
        <v>469</v>
      </c>
      <c r="C207" s="346">
        <v>5184</v>
      </c>
      <c r="D207" s="346">
        <v>0</v>
      </c>
      <c r="E207" s="346">
        <v>451</v>
      </c>
      <c r="F207" s="346">
        <v>648</v>
      </c>
      <c r="G207" s="346">
        <v>721</v>
      </c>
      <c r="H207" s="346">
        <v>7004</v>
      </c>
      <c r="I207" s="345">
        <v>6283</v>
      </c>
      <c r="J207" s="345">
        <v>3</v>
      </c>
      <c r="K207" s="347">
        <v>99.13</v>
      </c>
      <c r="L207" s="347">
        <v>98.65</v>
      </c>
      <c r="M207" s="347">
        <v>9.1199999999999992</v>
      </c>
      <c r="N207" s="347">
        <v>106.3</v>
      </c>
      <c r="O207" s="348">
        <v>3827</v>
      </c>
      <c r="P207" s="345">
        <v>89.66</v>
      </c>
      <c r="Q207" s="345">
        <v>86.45</v>
      </c>
      <c r="R207" s="345">
        <v>31.46</v>
      </c>
      <c r="S207" s="345">
        <v>117.79</v>
      </c>
      <c r="T207" s="345">
        <v>491</v>
      </c>
      <c r="U207" s="345">
        <v>128.32</v>
      </c>
      <c r="V207" s="345">
        <v>806</v>
      </c>
      <c r="W207" s="345">
        <v>170.52</v>
      </c>
      <c r="X207" s="345">
        <v>264</v>
      </c>
      <c r="Y207" s="345">
        <v>159</v>
      </c>
      <c r="Z207" s="345">
        <v>0</v>
      </c>
      <c r="AA207" s="345">
        <v>3</v>
      </c>
      <c r="AB207" s="345">
        <v>50</v>
      </c>
      <c r="AC207" s="345">
        <v>21</v>
      </c>
      <c r="AD207" s="349">
        <v>4852</v>
      </c>
      <c r="AE207" s="349">
        <v>25</v>
      </c>
      <c r="AF207" s="349">
        <v>38</v>
      </c>
      <c r="AG207" s="349">
        <v>63</v>
      </c>
    </row>
    <row r="208" spans="1:33" x14ac:dyDescent="0.2">
      <c r="A208" s="344" t="s">
        <v>470</v>
      </c>
      <c r="B208" s="350" t="s">
        <v>471</v>
      </c>
      <c r="C208" s="346">
        <v>9988</v>
      </c>
      <c r="D208" s="346">
        <v>20</v>
      </c>
      <c r="E208" s="346">
        <v>407</v>
      </c>
      <c r="F208" s="346">
        <v>972</v>
      </c>
      <c r="G208" s="346">
        <v>226</v>
      </c>
      <c r="H208" s="346">
        <v>11613</v>
      </c>
      <c r="I208" s="345">
        <v>11387</v>
      </c>
      <c r="J208" s="345">
        <v>8</v>
      </c>
      <c r="K208" s="347">
        <v>78.739999999999995</v>
      </c>
      <c r="L208" s="347">
        <v>78.7</v>
      </c>
      <c r="M208" s="347">
        <v>6.58</v>
      </c>
      <c r="N208" s="347">
        <v>81.48</v>
      </c>
      <c r="O208" s="348">
        <v>9320</v>
      </c>
      <c r="P208" s="345">
        <v>81.02</v>
      </c>
      <c r="Q208" s="345">
        <v>72.790000000000006</v>
      </c>
      <c r="R208" s="345">
        <v>39.86</v>
      </c>
      <c r="S208" s="345">
        <v>120.16</v>
      </c>
      <c r="T208" s="345">
        <v>1338</v>
      </c>
      <c r="U208" s="345">
        <v>100.13</v>
      </c>
      <c r="V208" s="345">
        <v>664</v>
      </c>
      <c r="W208" s="345">
        <v>0</v>
      </c>
      <c r="X208" s="345">
        <v>0</v>
      </c>
      <c r="Y208" s="345">
        <v>99</v>
      </c>
      <c r="Z208" s="345">
        <v>39</v>
      </c>
      <c r="AA208" s="345">
        <v>1</v>
      </c>
      <c r="AB208" s="345">
        <v>27</v>
      </c>
      <c r="AC208" s="345">
        <v>10</v>
      </c>
      <c r="AD208" s="349">
        <v>9988</v>
      </c>
      <c r="AE208" s="349">
        <v>52</v>
      </c>
      <c r="AF208" s="349">
        <v>43</v>
      </c>
      <c r="AG208" s="349">
        <v>95</v>
      </c>
    </row>
    <row r="209" spans="1:33" x14ac:dyDescent="0.2">
      <c r="A209" s="344" t="s">
        <v>472</v>
      </c>
      <c r="B209" s="350" t="s">
        <v>473</v>
      </c>
      <c r="C209" s="346">
        <v>3660</v>
      </c>
      <c r="D209" s="346">
        <v>0</v>
      </c>
      <c r="E209" s="346">
        <v>325</v>
      </c>
      <c r="F209" s="346">
        <v>399</v>
      </c>
      <c r="G209" s="346">
        <v>854</v>
      </c>
      <c r="H209" s="346">
        <v>5238</v>
      </c>
      <c r="I209" s="345">
        <v>4384</v>
      </c>
      <c r="J209" s="345">
        <v>10</v>
      </c>
      <c r="K209" s="347">
        <v>118.78</v>
      </c>
      <c r="L209" s="347">
        <v>116.84</v>
      </c>
      <c r="M209" s="347">
        <v>9.44</v>
      </c>
      <c r="N209" s="347">
        <v>127.61</v>
      </c>
      <c r="O209" s="348">
        <v>2959</v>
      </c>
      <c r="P209" s="345">
        <v>114.18</v>
      </c>
      <c r="Q209" s="345">
        <v>103.7</v>
      </c>
      <c r="R209" s="345">
        <v>72.150000000000006</v>
      </c>
      <c r="S209" s="345">
        <v>183.75</v>
      </c>
      <c r="T209" s="345">
        <v>559</v>
      </c>
      <c r="U209" s="345">
        <v>157.34</v>
      </c>
      <c r="V209" s="345">
        <v>295</v>
      </c>
      <c r="W209" s="345">
        <v>150.82</v>
      </c>
      <c r="X209" s="345">
        <v>33</v>
      </c>
      <c r="Y209" s="345">
        <v>0</v>
      </c>
      <c r="Z209" s="345">
        <v>1</v>
      </c>
      <c r="AA209" s="345">
        <v>0</v>
      </c>
      <c r="AB209" s="345">
        <v>27</v>
      </c>
      <c r="AC209" s="345">
        <v>46</v>
      </c>
      <c r="AD209" s="349">
        <v>3489</v>
      </c>
      <c r="AE209" s="349">
        <v>12</v>
      </c>
      <c r="AF209" s="349">
        <v>7</v>
      </c>
      <c r="AG209" s="349">
        <v>19</v>
      </c>
    </row>
    <row r="210" spans="1:33" x14ac:dyDescent="0.2">
      <c r="A210" s="344" t="s">
        <v>474</v>
      </c>
      <c r="B210" s="350" t="s">
        <v>475</v>
      </c>
      <c r="C210" s="346">
        <v>3396</v>
      </c>
      <c r="D210" s="346">
        <v>0</v>
      </c>
      <c r="E210" s="346">
        <v>345</v>
      </c>
      <c r="F210" s="346">
        <v>1096</v>
      </c>
      <c r="G210" s="346">
        <v>576</v>
      </c>
      <c r="H210" s="346">
        <v>5413</v>
      </c>
      <c r="I210" s="345">
        <v>4837</v>
      </c>
      <c r="J210" s="345">
        <v>12</v>
      </c>
      <c r="K210" s="347">
        <v>131.33000000000001</v>
      </c>
      <c r="L210" s="347">
        <v>126.08</v>
      </c>
      <c r="M210" s="347">
        <v>11.06</v>
      </c>
      <c r="N210" s="347">
        <v>137.44999999999999</v>
      </c>
      <c r="O210" s="348">
        <v>2930</v>
      </c>
      <c r="P210" s="345">
        <v>104.49</v>
      </c>
      <c r="Q210" s="345">
        <v>100.93</v>
      </c>
      <c r="R210" s="345">
        <v>43.72</v>
      </c>
      <c r="S210" s="345">
        <v>147.44</v>
      </c>
      <c r="T210" s="345">
        <v>1252</v>
      </c>
      <c r="U210" s="345">
        <v>167.39</v>
      </c>
      <c r="V210" s="345">
        <v>173</v>
      </c>
      <c r="W210" s="345">
        <v>136.47</v>
      </c>
      <c r="X210" s="345">
        <v>53</v>
      </c>
      <c r="Y210" s="345">
        <v>0</v>
      </c>
      <c r="Z210" s="345">
        <v>0</v>
      </c>
      <c r="AA210" s="345">
        <v>3</v>
      </c>
      <c r="AB210" s="345">
        <v>26</v>
      </c>
      <c r="AC210" s="345">
        <v>20</v>
      </c>
      <c r="AD210" s="349">
        <v>3273</v>
      </c>
      <c r="AE210" s="349">
        <v>10</v>
      </c>
      <c r="AF210" s="349">
        <v>8</v>
      </c>
      <c r="AG210" s="349">
        <v>18</v>
      </c>
    </row>
    <row r="211" spans="1:33" x14ac:dyDescent="0.2">
      <c r="A211" s="344" t="s">
        <v>476</v>
      </c>
      <c r="B211" s="350" t="s">
        <v>477</v>
      </c>
      <c r="C211" s="346">
        <v>11349</v>
      </c>
      <c r="D211" s="346">
        <v>0</v>
      </c>
      <c r="E211" s="346">
        <v>200</v>
      </c>
      <c r="F211" s="346">
        <v>610</v>
      </c>
      <c r="G211" s="346">
        <v>234</v>
      </c>
      <c r="H211" s="346">
        <v>12393</v>
      </c>
      <c r="I211" s="345">
        <v>12159</v>
      </c>
      <c r="J211" s="345">
        <v>132</v>
      </c>
      <c r="K211" s="347">
        <v>88.23</v>
      </c>
      <c r="L211" s="347">
        <v>88.55</v>
      </c>
      <c r="M211" s="347">
        <v>5.89</v>
      </c>
      <c r="N211" s="347">
        <v>91.22</v>
      </c>
      <c r="O211" s="348">
        <v>10959</v>
      </c>
      <c r="P211" s="345">
        <v>84.67</v>
      </c>
      <c r="Q211" s="345">
        <v>79.010000000000005</v>
      </c>
      <c r="R211" s="345">
        <v>51.01</v>
      </c>
      <c r="S211" s="345">
        <v>135.36000000000001</v>
      </c>
      <c r="T211" s="345">
        <v>636</v>
      </c>
      <c r="U211" s="345">
        <v>107.57</v>
      </c>
      <c r="V211" s="345">
        <v>219</v>
      </c>
      <c r="W211" s="345">
        <v>152.12</v>
      </c>
      <c r="X211" s="345">
        <v>127</v>
      </c>
      <c r="Y211" s="345">
        <v>0</v>
      </c>
      <c r="Z211" s="345">
        <v>41</v>
      </c>
      <c r="AA211" s="345">
        <v>1</v>
      </c>
      <c r="AB211" s="345">
        <v>8</v>
      </c>
      <c r="AC211" s="345">
        <v>6</v>
      </c>
      <c r="AD211" s="349">
        <v>11349</v>
      </c>
      <c r="AE211" s="349">
        <v>60</v>
      </c>
      <c r="AF211" s="349">
        <v>79</v>
      </c>
      <c r="AG211" s="349">
        <v>139</v>
      </c>
    </row>
    <row r="212" spans="1:33" x14ac:dyDescent="0.2">
      <c r="A212" s="344" t="s">
        <v>478</v>
      </c>
      <c r="B212" s="350" t="s">
        <v>479</v>
      </c>
      <c r="C212" s="346">
        <v>1682</v>
      </c>
      <c r="D212" s="346">
        <v>0</v>
      </c>
      <c r="E212" s="346">
        <v>189</v>
      </c>
      <c r="F212" s="346">
        <v>179</v>
      </c>
      <c r="G212" s="346">
        <v>141</v>
      </c>
      <c r="H212" s="346">
        <v>2191</v>
      </c>
      <c r="I212" s="345">
        <v>2050</v>
      </c>
      <c r="J212" s="345">
        <v>0</v>
      </c>
      <c r="K212" s="347">
        <v>88.61</v>
      </c>
      <c r="L212" s="347">
        <v>85.91</v>
      </c>
      <c r="M212" s="347">
        <v>4.4800000000000004</v>
      </c>
      <c r="N212" s="347">
        <v>92.48</v>
      </c>
      <c r="O212" s="348">
        <v>1139</v>
      </c>
      <c r="P212" s="345">
        <v>100.82</v>
      </c>
      <c r="Q212" s="345">
        <v>87.67</v>
      </c>
      <c r="R212" s="345">
        <v>50.5</v>
      </c>
      <c r="S212" s="345">
        <v>150.28</v>
      </c>
      <c r="T212" s="345">
        <v>243</v>
      </c>
      <c r="U212" s="345">
        <v>109.52</v>
      </c>
      <c r="V212" s="345">
        <v>197</v>
      </c>
      <c r="W212" s="345">
        <v>187.98</v>
      </c>
      <c r="X212" s="345">
        <v>43</v>
      </c>
      <c r="Y212" s="345">
        <v>0</v>
      </c>
      <c r="Z212" s="345">
        <v>0</v>
      </c>
      <c r="AA212" s="345">
        <v>0</v>
      </c>
      <c r="AB212" s="345">
        <v>3</v>
      </c>
      <c r="AC212" s="345">
        <v>3</v>
      </c>
      <c r="AD212" s="349">
        <v>1405</v>
      </c>
      <c r="AE212" s="349">
        <v>2</v>
      </c>
      <c r="AF212" s="349">
        <v>0</v>
      </c>
      <c r="AG212" s="349">
        <v>2</v>
      </c>
    </row>
    <row r="213" spans="1:33" x14ac:dyDescent="0.2">
      <c r="A213" s="344" t="s">
        <v>480</v>
      </c>
      <c r="B213" s="350" t="s">
        <v>481</v>
      </c>
      <c r="C213" s="346">
        <v>6140</v>
      </c>
      <c r="D213" s="346">
        <v>9</v>
      </c>
      <c r="E213" s="346">
        <v>329</v>
      </c>
      <c r="F213" s="346">
        <v>659</v>
      </c>
      <c r="G213" s="346">
        <v>781</v>
      </c>
      <c r="H213" s="346">
        <v>7918</v>
      </c>
      <c r="I213" s="345">
        <v>7137</v>
      </c>
      <c r="J213" s="345">
        <v>3</v>
      </c>
      <c r="K213" s="347">
        <v>119.6</v>
      </c>
      <c r="L213" s="347">
        <v>120</v>
      </c>
      <c r="M213" s="347">
        <v>4.58</v>
      </c>
      <c r="N213" s="347">
        <v>123.97</v>
      </c>
      <c r="O213" s="348">
        <v>5162</v>
      </c>
      <c r="P213" s="345">
        <v>108.06</v>
      </c>
      <c r="Q213" s="345">
        <v>100</v>
      </c>
      <c r="R213" s="345">
        <v>22.89</v>
      </c>
      <c r="S213" s="345">
        <v>129.21</v>
      </c>
      <c r="T213" s="345">
        <v>670</v>
      </c>
      <c r="U213" s="345">
        <v>147.47</v>
      </c>
      <c r="V213" s="345">
        <v>886</v>
      </c>
      <c r="W213" s="345">
        <v>221.43</v>
      </c>
      <c r="X213" s="345">
        <v>63</v>
      </c>
      <c r="Y213" s="345">
        <v>15</v>
      </c>
      <c r="Z213" s="345">
        <v>13</v>
      </c>
      <c r="AA213" s="345">
        <v>0</v>
      </c>
      <c r="AB213" s="345">
        <v>57</v>
      </c>
      <c r="AC213" s="345">
        <v>25</v>
      </c>
      <c r="AD213" s="349">
        <v>6140</v>
      </c>
      <c r="AE213" s="349">
        <v>13</v>
      </c>
      <c r="AF213" s="349">
        <v>53</v>
      </c>
      <c r="AG213" s="349">
        <v>66</v>
      </c>
    </row>
    <row r="214" spans="1:33" x14ac:dyDescent="0.2">
      <c r="A214" s="344" t="s">
        <v>482</v>
      </c>
      <c r="B214" s="350" t="s">
        <v>483</v>
      </c>
      <c r="C214" s="346">
        <v>1228</v>
      </c>
      <c r="D214" s="346">
        <v>0</v>
      </c>
      <c r="E214" s="346">
        <v>86</v>
      </c>
      <c r="F214" s="346">
        <v>753</v>
      </c>
      <c r="G214" s="346">
        <v>237</v>
      </c>
      <c r="H214" s="346">
        <v>2304</v>
      </c>
      <c r="I214" s="345">
        <v>2067</v>
      </c>
      <c r="J214" s="345">
        <v>1</v>
      </c>
      <c r="K214" s="347">
        <v>85.96</v>
      </c>
      <c r="L214" s="347">
        <v>85.42</v>
      </c>
      <c r="M214" s="347">
        <v>3.16</v>
      </c>
      <c r="N214" s="347">
        <v>88.18</v>
      </c>
      <c r="O214" s="348">
        <v>957</v>
      </c>
      <c r="P214" s="345">
        <v>75.25</v>
      </c>
      <c r="Q214" s="345">
        <v>71.52</v>
      </c>
      <c r="R214" s="345">
        <v>15.67</v>
      </c>
      <c r="S214" s="345">
        <v>90.6</v>
      </c>
      <c r="T214" s="345">
        <v>781</v>
      </c>
      <c r="U214" s="345">
        <v>106.79</v>
      </c>
      <c r="V214" s="345">
        <v>258</v>
      </c>
      <c r="W214" s="345">
        <v>123.86</v>
      </c>
      <c r="X214" s="345">
        <v>18</v>
      </c>
      <c r="Y214" s="345">
        <v>7</v>
      </c>
      <c r="Z214" s="345">
        <v>4</v>
      </c>
      <c r="AA214" s="345">
        <v>0</v>
      </c>
      <c r="AB214" s="345">
        <v>36</v>
      </c>
      <c r="AC214" s="345">
        <v>0</v>
      </c>
      <c r="AD214" s="349">
        <v>1227</v>
      </c>
      <c r="AE214" s="349">
        <v>9</v>
      </c>
      <c r="AF214" s="349">
        <v>0</v>
      </c>
      <c r="AG214" s="349">
        <v>9</v>
      </c>
    </row>
    <row r="215" spans="1:33" x14ac:dyDescent="0.2">
      <c r="A215" s="344" t="s">
        <v>484</v>
      </c>
      <c r="B215" s="350" t="s">
        <v>485</v>
      </c>
      <c r="C215" s="346">
        <v>8789</v>
      </c>
      <c r="D215" s="346">
        <v>12</v>
      </c>
      <c r="E215" s="346">
        <v>305</v>
      </c>
      <c r="F215" s="346">
        <v>841</v>
      </c>
      <c r="G215" s="346">
        <v>473</v>
      </c>
      <c r="H215" s="346">
        <v>10420</v>
      </c>
      <c r="I215" s="345">
        <v>9947</v>
      </c>
      <c r="J215" s="345">
        <v>2</v>
      </c>
      <c r="K215" s="347">
        <v>122.82</v>
      </c>
      <c r="L215" s="347">
        <v>137.75</v>
      </c>
      <c r="M215" s="347">
        <v>9.58</v>
      </c>
      <c r="N215" s="347">
        <v>129.46</v>
      </c>
      <c r="O215" s="348">
        <v>7914</v>
      </c>
      <c r="P215" s="345">
        <v>119.49</v>
      </c>
      <c r="Q215" s="345">
        <v>118.98</v>
      </c>
      <c r="R215" s="345">
        <v>33.75</v>
      </c>
      <c r="S215" s="345">
        <v>151.03</v>
      </c>
      <c r="T215" s="345">
        <v>1086</v>
      </c>
      <c r="U215" s="345">
        <v>187.09</v>
      </c>
      <c r="V215" s="345">
        <v>679</v>
      </c>
      <c r="W215" s="345">
        <v>207.69</v>
      </c>
      <c r="X215" s="345">
        <v>11</v>
      </c>
      <c r="Y215" s="345">
        <v>0</v>
      </c>
      <c r="Z215" s="345">
        <v>5</v>
      </c>
      <c r="AA215" s="345">
        <v>1</v>
      </c>
      <c r="AB215" s="345">
        <v>12</v>
      </c>
      <c r="AC215" s="345">
        <v>13</v>
      </c>
      <c r="AD215" s="349">
        <v>8705</v>
      </c>
      <c r="AE215" s="349">
        <v>13</v>
      </c>
      <c r="AF215" s="349">
        <v>37</v>
      </c>
      <c r="AG215" s="349">
        <v>50</v>
      </c>
    </row>
    <row r="216" spans="1:33" x14ac:dyDescent="0.2">
      <c r="A216" s="344" t="s">
        <v>486</v>
      </c>
      <c r="B216" s="350" t="s">
        <v>487</v>
      </c>
      <c r="C216" s="346">
        <v>659</v>
      </c>
      <c r="D216" s="346">
        <v>4</v>
      </c>
      <c r="E216" s="346">
        <v>120</v>
      </c>
      <c r="F216" s="346">
        <v>96</v>
      </c>
      <c r="G216" s="346">
        <v>46</v>
      </c>
      <c r="H216" s="346">
        <v>925</v>
      </c>
      <c r="I216" s="345">
        <v>879</v>
      </c>
      <c r="J216" s="345">
        <v>4</v>
      </c>
      <c r="K216" s="347">
        <v>92.26</v>
      </c>
      <c r="L216" s="347">
        <v>92.11</v>
      </c>
      <c r="M216" s="347">
        <v>3.79</v>
      </c>
      <c r="N216" s="347">
        <v>95.02</v>
      </c>
      <c r="O216" s="348">
        <v>519</v>
      </c>
      <c r="P216" s="345">
        <v>111.26</v>
      </c>
      <c r="Q216" s="345">
        <v>96.43</v>
      </c>
      <c r="R216" s="345">
        <v>81.73</v>
      </c>
      <c r="S216" s="345">
        <v>192.99</v>
      </c>
      <c r="T216" s="345">
        <v>153</v>
      </c>
      <c r="U216" s="345">
        <v>104.36</v>
      </c>
      <c r="V216" s="345">
        <v>106</v>
      </c>
      <c r="W216" s="345">
        <v>157.72</v>
      </c>
      <c r="X216" s="345">
        <v>53</v>
      </c>
      <c r="Y216" s="345">
        <v>0</v>
      </c>
      <c r="Z216" s="345">
        <v>0</v>
      </c>
      <c r="AA216" s="345">
        <v>0</v>
      </c>
      <c r="AB216" s="345">
        <v>0</v>
      </c>
      <c r="AC216" s="345">
        <v>0</v>
      </c>
      <c r="AD216" s="349">
        <v>659</v>
      </c>
      <c r="AE216" s="349">
        <v>17</v>
      </c>
      <c r="AF216" s="349">
        <v>2</v>
      </c>
      <c r="AG216" s="349">
        <v>19</v>
      </c>
    </row>
    <row r="217" spans="1:33" x14ac:dyDescent="0.2">
      <c r="A217" s="344" t="s">
        <v>488</v>
      </c>
      <c r="B217" s="350" t="s">
        <v>489</v>
      </c>
      <c r="C217" s="346">
        <v>18386</v>
      </c>
      <c r="D217" s="346">
        <v>0</v>
      </c>
      <c r="E217" s="346">
        <v>519</v>
      </c>
      <c r="F217" s="346">
        <v>2044</v>
      </c>
      <c r="G217" s="346">
        <v>219</v>
      </c>
      <c r="H217" s="346">
        <v>21168</v>
      </c>
      <c r="I217" s="345">
        <v>20949</v>
      </c>
      <c r="J217" s="345">
        <v>2</v>
      </c>
      <c r="K217" s="347">
        <v>76.53</v>
      </c>
      <c r="L217" s="347">
        <v>76.22</v>
      </c>
      <c r="M217" s="347">
        <v>4.72</v>
      </c>
      <c r="N217" s="347">
        <v>80.72</v>
      </c>
      <c r="O217" s="348">
        <v>16941</v>
      </c>
      <c r="P217" s="345">
        <v>76.83</v>
      </c>
      <c r="Q217" s="345">
        <v>72.459999999999994</v>
      </c>
      <c r="R217" s="345">
        <v>27.26</v>
      </c>
      <c r="S217" s="345">
        <v>102.8</v>
      </c>
      <c r="T217" s="345">
        <v>2465</v>
      </c>
      <c r="U217" s="345">
        <v>94.91</v>
      </c>
      <c r="V217" s="345">
        <v>1274</v>
      </c>
      <c r="W217" s="345">
        <v>0</v>
      </c>
      <c r="X217" s="345">
        <v>0</v>
      </c>
      <c r="Y217" s="345">
        <v>0</v>
      </c>
      <c r="Z217" s="345">
        <v>170</v>
      </c>
      <c r="AA217" s="345">
        <v>8</v>
      </c>
      <c r="AB217" s="345">
        <v>0</v>
      </c>
      <c r="AC217" s="345">
        <v>2</v>
      </c>
      <c r="AD217" s="349">
        <v>18270</v>
      </c>
      <c r="AE217" s="349">
        <v>215</v>
      </c>
      <c r="AF217" s="349">
        <v>27</v>
      </c>
      <c r="AG217" s="349">
        <v>242</v>
      </c>
    </row>
    <row r="218" spans="1:33" x14ac:dyDescent="0.2">
      <c r="A218" s="344" t="s">
        <v>490</v>
      </c>
      <c r="B218" s="350" t="s">
        <v>491</v>
      </c>
      <c r="C218" s="346">
        <v>2069</v>
      </c>
      <c r="D218" s="346">
        <v>0</v>
      </c>
      <c r="E218" s="346">
        <v>48</v>
      </c>
      <c r="F218" s="346">
        <v>716</v>
      </c>
      <c r="G218" s="346">
        <v>85</v>
      </c>
      <c r="H218" s="346">
        <v>2918</v>
      </c>
      <c r="I218" s="345">
        <v>2833</v>
      </c>
      <c r="J218" s="345">
        <v>8</v>
      </c>
      <c r="K218" s="347">
        <v>101.06</v>
      </c>
      <c r="L218" s="347">
        <v>101.45</v>
      </c>
      <c r="M218" s="347">
        <v>6.01</v>
      </c>
      <c r="N218" s="347">
        <v>103.85</v>
      </c>
      <c r="O218" s="348">
        <v>1763</v>
      </c>
      <c r="P218" s="345">
        <v>87.83</v>
      </c>
      <c r="Q218" s="345">
        <v>86.92</v>
      </c>
      <c r="R218" s="345">
        <v>34.630000000000003</v>
      </c>
      <c r="S218" s="345">
        <v>120.82</v>
      </c>
      <c r="T218" s="345">
        <v>764</v>
      </c>
      <c r="U218" s="345">
        <v>139.57</v>
      </c>
      <c r="V218" s="345">
        <v>305</v>
      </c>
      <c r="W218" s="345">
        <v>0</v>
      </c>
      <c r="X218" s="345">
        <v>0</v>
      </c>
      <c r="Y218" s="345">
        <v>0</v>
      </c>
      <c r="Z218" s="345">
        <v>1</v>
      </c>
      <c r="AA218" s="345">
        <v>0</v>
      </c>
      <c r="AB218" s="345">
        <v>1</v>
      </c>
      <c r="AC218" s="345">
        <v>1</v>
      </c>
      <c r="AD218" s="349">
        <v>2069</v>
      </c>
      <c r="AE218" s="349">
        <v>3</v>
      </c>
      <c r="AF218" s="349">
        <v>10</v>
      </c>
      <c r="AG218" s="349">
        <v>13</v>
      </c>
    </row>
    <row r="219" spans="1:33" x14ac:dyDescent="0.2">
      <c r="A219" s="344" t="s">
        <v>492</v>
      </c>
      <c r="B219" s="350" t="s">
        <v>493</v>
      </c>
      <c r="C219" s="346">
        <v>4249</v>
      </c>
      <c r="D219" s="346">
        <v>0</v>
      </c>
      <c r="E219" s="346">
        <v>88</v>
      </c>
      <c r="F219" s="346">
        <v>290</v>
      </c>
      <c r="G219" s="346">
        <v>27</v>
      </c>
      <c r="H219" s="346">
        <v>4654</v>
      </c>
      <c r="I219" s="345">
        <v>4627</v>
      </c>
      <c r="J219" s="345">
        <v>0</v>
      </c>
      <c r="K219" s="347">
        <v>74.849999999999994</v>
      </c>
      <c r="L219" s="347">
        <v>75.430000000000007</v>
      </c>
      <c r="M219" s="347">
        <v>3.38</v>
      </c>
      <c r="N219" s="347">
        <v>75.63</v>
      </c>
      <c r="O219" s="348">
        <v>3811</v>
      </c>
      <c r="P219" s="345">
        <v>86.06</v>
      </c>
      <c r="Q219" s="345">
        <v>84.12</v>
      </c>
      <c r="R219" s="345">
        <v>32.26</v>
      </c>
      <c r="S219" s="345">
        <v>116.24</v>
      </c>
      <c r="T219" s="345">
        <v>356</v>
      </c>
      <c r="U219" s="345">
        <v>92.33</v>
      </c>
      <c r="V219" s="345">
        <v>429</v>
      </c>
      <c r="W219" s="345">
        <v>0</v>
      </c>
      <c r="X219" s="345">
        <v>0</v>
      </c>
      <c r="Y219" s="345">
        <v>4</v>
      </c>
      <c r="Z219" s="345">
        <v>20</v>
      </c>
      <c r="AA219" s="345">
        <v>0</v>
      </c>
      <c r="AB219" s="345">
        <v>8</v>
      </c>
      <c r="AC219" s="345">
        <v>3</v>
      </c>
      <c r="AD219" s="349">
        <v>4244</v>
      </c>
      <c r="AE219" s="349">
        <v>23</v>
      </c>
      <c r="AF219" s="349">
        <v>6</v>
      </c>
      <c r="AG219" s="349">
        <v>29</v>
      </c>
    </row>
    <row r="220" spans="1:33" x14ac:dyDescent="0.2">
      <c r="A220" s="344" t="s">
        <v>494</v>
      </c>
      <c r="B220" s="350" t="s">
        <v>495</v>
      </c>
      <c r="C220" s="346">
        <v>3629</v>
      </c>
      <c r="D220" s="346">
        <v>0</v>
      </c>
      <c r="E220" s="346">
        <v>132</v>
      </c>
      <c r="F220" s="346">
        <v>606</v>
      </c>
      <c r="G220" s="346">
        <v>199</v>
      </c>
      <c r="H220" s="346">
        <v>4566</v>
      </c>
      <c r="I220" s="345">
        <v>4367</v>
      </c>
      <c r="J220" s="345">
        <v>17</v>
      </c>
      <c r="K220" s="347">
        <v>97.4</v>
      </c>
      <c r="L220" s="347">
        <v>96.95</v>
      </c>
      <c r="M220" s="347">
        <v>3.54</v>
      </c>
      <c r="N220" s="347">
        <v>100.33</v>
      </c>
      <c r="O220" s="348">
        <v>3217</v>
      </c>
      <c r="P220" s="345">
        <v>89.97</v>
      </c>
      <c r="Q220" s="345">
        <v>89.57</v>
      </c>
      <c r="R220" s="345">
        <v>37.01</v>
      </c>
      <c r="S220" s="345">
        <v>126.53</v>
      </c>
      <c r="T220" s="345">
        <v>571</v>
      </c>
      <c r="U220" s="345">
        <v>119.48</v>
      </c>
      <c r="V220" s="345">
        <v>409</v>
      </c>
      <c r="W220" s="345">
        <v>86.41</v>
      </c>
      <c r="X220" s="345">
        <v>7</v>
      </c>
      <c r="Y220" s="345">
        <v>0</v>
      </c>
      <c r="Z220" s="345">
        <v>6</v>
      </c>
      <c r="AA220" s="345">
        <v>0</v>
      </c>
      <c r="AB220" s="345">
        <v>11</v>
      </c>
      <c r="AC220" s="345">
        <v>3</v>
      </c>
      <c r="AD220" s="349">
        <v>3602</v>
      </c>
      <c r="AE220" s="349">
        <v>13</v>
      </c>
      <c r="AF220" s="349">
        <v>18</v>
      </c>
      <c r="AG220" s="349">
        <v>31</v>
      </c>
    </row>
    <row r="221" spans="1:33" x14ac:dyDescent="0.2">
      <c r="A221" s="344" t="s">
        <v>496</v>
      </c>
      <c r="B221" s="350" t="s">
        <v>497</v>
      </c>
      <c r="C221" s="346">
        <v>3369</v>
      </c>
      <c r="D221" s="346">
        <v>0</v>
      </c>
      <c r="E221" s="346">
        <v>433</v>
      </c>
      <c r="F221" s="346">
        <v>864</v>
      </c>
      <c r="G221" s="346">
        <v>303</v>
      </c>
      <c r="H221" s="346">
        <v>4969</v>
      </c>
      <c r="I221" s="345">
        <v>4666</v>
      </c>
      <c r="J221" s="345">
        <v>7</v>
      </c>
      <c r="K221" s="347">
        <v>82.4</v>
      </c>
      <c r="L221" s="347">
        <v>80.98</v>
      </c>
      <c r="M221" s="347">
        <v>7.74</v>
      </c>
      <c r="N221" s="347">
        <v>86.11</v>
      </c>
      <c r="O221" s="348">
        <v>2903</v>
      </c>
      <c r="P221" s="345">
        <v>83.36</v>
      </c>
      <c r="Q221" s="345">
        <v>72.069999999999993</v>
      </c>
      <c r="R221" s="345">
        <v>33.950000000000003</v>
      </c>
      <c r="S221" s="345">
        <v>113.45</v>
      </c>
      <c r="T221" s="345">
        <v>1241</v>
      </c>
      <c r="U221" s="345">
        <v>98.22</v>
      </c>
      <c r="V221" s="345">
        <v>337</v>
      </c>
      <c r="W221" s="345">
        <v>92.46</v>
      </c>
      <c r="X221" s="345">
        <v>10</v>
      </c>
      <c r="Y221" s="345">
        <v>39</v>
      </c>
      <c r="Z221" s="345">
        <v>1</v>
      </c>
      <c r="AA221" s="345">
        <v>8</v>
      </c>
      <c r="AB221" s="345">
        <v>13</v>
      </c>
      <c r="AC221" s="345">
        <v>4</v>
      </c>
      <c r="AD221" s="349">
        <v>3330</v>
      </c>
      <c r="AE221" s="349">
        <v>45</v>
      </c>
      <c r="AF221" s="349">
        <v>62</v>
      </c>
      <c r="AG221" s="349">
        <v>107</v>
      </c>
    </row>
    <row r="222" spans="1:33" x14ac:dyDescent="0.2">
      <c r="A222" s="344" t="s">
        <v>498</v>
      </c>
      <c r="B222" s="350" t="s">
        <v>499</v>
      </c>
      <c r="C222" s="346">
        <v>2234</v>
      </c>
      <c r="D222" s="346">
        <v>4</v>
      </c>
      <c r="E222" s="346">
        <v>64</v>
      </c>
      <c r="F222" s="346">
        <v>235</v>
      </c>
      <c r="G222" s="346">
        <v>475</v>
      </c>
      <c r="H222" s="346">
        <v>3012</v>
      </c>
      <c r="I222" s="345">
        <v>2537</v>
      </c>
      <c r="J222" s="345">
        <v>25</v>
      </c>
      <c r="K222" s="347">
        <v>99.1</v>
      </c>
      <c r="L222" s="347">
        <v>97.54</v>
      </c>
      <c r="M222" s="347">
        <v>4.74</v>
      </c>
      <c r="N222" s="347">
        <v>102.55</v>
      </c>
      <c r="O222" s="348">
        <v>2030</v>
      </c>
      <c r="P222" s="345">
        <v>83.33</v>
      </c>
      <c r="Q222" s="345">
        <v>81.22</v>
      </c>
      <c r="R222" s="345">
        <v>30.39</v>
      </c>
      <c r="S222" s="345">
        <v>111.32</v>
      </c>
      <c r="T222" s="345">
        <v>177</v>
      </c>
      <c r="U222" s="345">
        <v>114.18</v>
      </c>
      <c r="V222" s="345">
        <v>166</v>
      </c>
      <c r="W222" s="345">
        <v>191.23</v>
      </c>
      <c r="X222" s="345">
        <v>68</v>
      </c>
      <c r="Y222" s="345">
        <v>0</v>
      </c>
      <c r="Z222" s="345">
        <v>0</v>
      </c>
      <c r="AA222" s="345">
        <v>0</v>
      </c>
      <c r="AB222" s="345">
        <v>1</v>
      </c>
      <c r="AC222" s="345">
        <v>7</v>
      </c>
      <c r="AD222" s="349">
        <v>2197</v>
      </c>
      <c r="AE222" s="349">
        <v>10</v>
      </c>
      <c r="AF222" s="349">
        <v>13</v>
      </c>
      <c r="AG222" s="349">
        <v>23</v>
      </c>
    </row>
    <row r="223" spans="1:33" x14ac:dyDescent="0.2">
      <c r="A223" s="344" t="s">
        <v>500</v>
      </c>
      <c r="B223" s="350" t="s">
        <v>501</v>
      </c>
      <c r="C223" s="346">
        <v>1257</v>
      </c>
      <c r="D223" s="346">
        <v>19</v>
      </c>
      <c r="E223" s="346">
        <v>71</v>
      </c>
      <c r="F223" s="346">
        <v>239</v>
      </c>
      <c r="G223" s="346">
        <v>302</v>
      </c>
      <c r="H223" s="346">
        <v>1888</v>
      </c>
      <c r="I223" s="345">
        <v>1586</v>
      </c>
      <c r="J223" s="345">
        <v>12</v>
      </c>
      <c r="K223" s="347">
        <v>123.38</v>
      </c>
      <c r="L223" s="347">
        <v>116.87</v>
      </c>
      <c r="M223" s="347">
        <v>9.65</v>
      </c>
      <c r="N223" s="347">
        <v>131.21</v>
      </c>
      <c r="O223" s="348">
        <v>945</v>
      </c>
      <c r="P223" s="345">
        <v>118.82</v>
      </c>
      <c r="Q223" s="345">
        <v>105.49</v>
      </c>
      <c r="R223" s="345">
        <v>25.3</v>
      </c>
      <c r="S223" s="345">
        <v>142.9</v>
      </c>
      <c r="T223" s="345">
        <v>270</v>
      </c>
      <c r="U223" s="345">
        <v>189.6</v>
      </c>
      <c r="V223" s="345">
        <v>150</v>
      </c>
      <c r="W223" s="345">
        <v>141.77000000000001</v>
      </c>
      <c r="X223" s="345">
        <v>32</v>
      </c>
      <c r="Y223" s="345">
        <v>0</v>
      </c>
      <c r="Z223" s="345">
        <v>2</v>
      </c>
      <c r="AA223" s="345">
        <v>0</v>
      </c>
      <c r="AB223" s="345">
        <v>8</v>
      </c>
      <c r="AC223" s="345">
        <v>8</v>
      </c>
      <c r="AD223" s="349">
        <v>1208</v>
      </c>
      <c r="AE223" s="349">
        <v>3</v>
      </c>
      <c r="AF223" s="349">
        <v>1</v>
      </c>
      <c r="AG223" s="349">
        <v>4</v>
      </c>
    </row>
    <row r="224" spans="1:33" x14ac:dyDescent="0.2">
      <c r="A224" s="344" t="s">
        <v>502</v>
      </c>
      <c r="B224" s="350" t="s">
        <v>503</v>
      </c>
      <c r="C224" s="346">
        <v>2705</v>
      </c>
      <c r="D224" s="346">
        <v>0</v>
      </c>
      <c r="E224" s="346">
        <v>97</v>
      </c>
      <c r="F224" s="346">
        <v>1379</v>
      </c>
      <c r="G224" s="346">
        <v>277</v>
      </c>
      <c r="H224" s="346">
        <v>4458</v>
      </c>
      <c r="I224" s="345">
        <v>4181</v>
      </c>
      <c r="J224" s="345">
        <v>53</v>
      </c>
      <c r="K224" s="347">
        <v>97.11</v>
      </c>
      <c r="L224" s="347">
        <v>100.33</v>
      </c>
      <c r="M224" s="347">
        <v>4.37</v>
      </c>
      <c r="N224" s="347">
        <v>98.66</v>
      </c>
      <c r="O224" s="348">
        <v>2481</v>
      </c>
      <c r="P224" s="345">
        <v>94.39</v>
      </c>
      <c r="Q224" s="345">
        <v>92.67</v>
      </c>
      <c r="R224" s="345">
        <v>15.06</v>
      </c>
      <c r="S224" s="345">
        <v>106.97</v>
      </c>
      <c r="T224" s="345">
        <v>1435</v>
      </c>
      <c r="U224" s="345">
        <v>108.86</v>
      </c>
      <c r="V224" s="345">
        <v>132</v>
      </c>
      <c r="W224" s="345">
        <v>183.02</v>
      </c>
      <c r="X224" s="345">
        <v>3</v>
      </c>
      <c r="Y224" s="345">
        <v>12</v>
      </c>
      <c r="Z224" s="345">
        <v>8</v>
      </c>
      <c r="AA224" s="345">
        <v>0</v>
      </c>
      <c r="AB224" s="345">
        <v>53</v>
      </c>
      <c r="AC224" s="345">
        <v>14</v>
      </c>
      <c r="AD224" s="349">
        <v>2693</v>
      </c>
      <c r="AE224" s="349">
        <v>7</v>
      </c>
      <c r="AF224" s="349">
        <v>7</v>
      </c>
      <c r="AG224" s="349">
        <v>14</v>
      </c>
    </row>
    <row r="225" spans="1:33" x14ac:dyDescent="0.2">
      <c r="A225" s="344" t="s">
        <v>504</v>
      </c>
      <c r="B225" s="350" t="s">
        <v>505</v>
      </c>
      <c r="C225" s="346">
        <v>5305</v>
      </c>
      <c r="D225" s="346">
        <v>1</v>
      </c>
      <c r="E225" s="346">
        <v>177</v>
      </c>
      <c r="F225" s="346">
        <v>723</v>
      </c>
      <c r="G225" s="346">
        <v>573</v>
      </c>
      <c r="H225" s="346">
        <v>6779</v>
      </c>
      <c r="I225" s="345">
        <v>6206</v>
      </c>
      <c r="J225" s="345">
        <v>3</v>
      </c>
      <c r="K225" s="347">
        <v>113.43</v>
      </c>
      <c r="L225" s="347">
        <v>112.21</v>
      </c>
      <c r="M225" s="347">
        <v>8.61</v>
      </c>
      <c r="N225" s="347">
        <v>118.34</v>
      </c>
      <c r="O225" s="348">
        <v>4452</v>
      </c>
      <c r="P225" s="345">
        <v>93.8</v>
      </c>
      <c r="Q225" s="345">
        <v>93.29</v>
      </c>
      <c r="R225" s="345">
        <v>36.229999999999997</v>
      </c>
      <c r="S225" s="345">
        <v>128.52000000000001</v>
      </c>
      <c r="T225" s="345">
        <v>885</v>
      </c>
      <c r="U225" s="345">
        <v>148.44</v>
      </c>
      <c r="V225" s="345">
        <v>744</v>
      </c>
      <c r="W225" s="345">
        <v>137.43</v>
      </c>
      <c r="X225" s="345">
        <v>15</v>
      </c>
      <c r="Y225" s="345">
        <v>0</v>
      </c>
      <c r="Z225" s="345">
        <v>6</v>
      </c>
      <c r="AA225" s="345">
        <v>0</v>
      </c>
      <c r="AB225" s="345">
        <v>20</v>
      </c>
      <c r="AC225" s="345">
        <v>14</v>
      </c>
      <c r="AD225" s="349">
        <v>5249</v>
      </c>
      <c r="AE225" s="349">
        <v>20</v>
      </c>
      <c r="AF225" s="349">
        <v>74</v>
      </c>
      <c r="AG225" s="349">
        <v>94</v>
      </c>
    </row>
    <row r="226" spans="1:33" x14ac:dyDescent="0.2">
      <c r="A226" s="344" t="s">
        <v>506</v>
      </c>
      <c r="B226" s="350" t="s">
        <v>507</v>
      </c>
      <c r="C226" s="346">
        <v>1461</v>
      </c>
      <c r="D226" s="346">
        <v>0</v>
      </c>
      <c r="E226" s="346">
        <v>34</v>
      </c>
      <c r="F226" s="346">
        <v>299</v>
      </c>
      <c r="G226" s="346">
        <v>154</v>
      </c>
      <c r="H226" s="346">
        <v>1948</v>
      </c>
      <c r="I226" s="345">
        <v>1794</v>
      </c>
      <c r="J226" s="345">
        <v>6</v>
      </c>
      <c r="K226" s="347">
        <v>90.6</v>
      </c>
      <c r="L226" s="347">
        <v>90</v>
      </c>
      <c r="M226" s="347">
        <v>5.4</v>
      </c>
      <c r="N226" s="347">
        <v>92.49</v>
      </c>
      <c r="O226" s="348">
        <v>1296</v>
      </c>
      <c r="P226" s="345">
        <v>86.07</v>
      </c>
      <c r="Q226" s="345">
        <v>80.83</v>
      </c>
      <c r="R226" s="345">
        <v>28.01</v>
      </c>
      <c r="S226" s="345">
        <v>105.23</v>
      </c>
      <c r="T226" s="345">
        <v>231</v>
      </c>
      <c r="U226" s="345">
        <v>110.58</v>
      </c>
      <c r="V226" s="345">
        <v>132</v>
      </c>
      <c r="W226" s="345">
        <v>0</v>
      </c>
      <c r="X226" s="345">
        <v>0</v>
      </c>
      <c r="Y226" s="345">
        <v>0</v>
      </c>
      <c r="Z226" s="345">
        <v>9</v>
      </c>
      <c r="AA226" s="345">
        <v>0</v>
      </c>
      <c r="AB226" s="345">
        <v>0</v>
      </c>
      <c r="AC226" s="345">
        <v>5</v>
      </c>
      <c r="AD226" s="349">
        <v>1447</v>
      </c>
      <c r="AE226" s="349">
        <v>5</v>
      </c>
      <c r="AF226" s="349">
        <v>13</v>
      </c>
      <c r="AG226" s="349">
        <v>18</v>
      </c>
    </row>
    <row r="227" spans="1:33" x14ac:dyDescent="0.2">
      <c r="A227" s="344" t="s">
        <v>508</v>
      </c>
      <c r="B227" s="350" t="s">
        <v>509</v>
      </c>
      <c r="C227" s="346">
        <v>3014</v>
      </c>
      <c r="D227" s="346">
        <v>6</v>
      </c>
      <c r="E227" s="346">
        <v>45</v>
      </c>
      <c r="F227" s="346">
        <v>125</v>
      </c>
      <c r="G227" s="346">
        <v>39</v>
      </c>
      <c r="H227" s="346">
        <v>3229</v>
      </c>
      <c r="I227" s="345">
        <v>3190</v>
      </c>
      <c r="J227" s="345">
        <v>3</v>
      </c>
      <c r="K227" s="347">
        <v>90.97</v>
      </c>
      <c r="L227" s="347">
        <v>87.37</v>
      </c>
      <c r="M227" s="347">
        <v>6.39</v>
      </c>
      <c r="N227" s="347">
        <v>93.82</v>
      </c>
      <c r="O227" s="348">
        <v>2007</v>
      </c>
      <c r="P227" s="345">
        <v>81.540000000000006</v>
      </c>
      <c r="Q227" s="345">
        <v>77.489999999999995</v>
      </c>
      <c r="R227" s="345">
        <v>58.03</v>
      </c>
      <c r="S227" s="345">
        <v>134.30000000000001</v>
      </c>
      <c r="T227" s="345">
        <v>154</v>
      </c>
      <c r="U227" s="345">
        <v>98.81</v>
      </c>
      <c r="V227" s="345">
        <v>900</v>
      </c>
      <c r="W227" s="345">
        <v>0</v>
      </c>
      <c r="X227" s="345">
        <v>0</v>
      </c>
      <c r="Y227" s="345">
        <v>0</v>
      </c>
      <c r="Z227" s="345">
        <v>5</v>
      </c>
      <c r="AA227" s="345">
        <v>1</v>
      </c>
      <c r="AB227" s="345">
        <v>1</v>
      </c>
      <c r="AC227" s="345">
        <v>1</v>
      </c>
      <c r="AD227" s="349">
        <v>2996</v>
      </c>
      <c r="AE227" s="349">
        <v>19</v>
      </c>
      <c r="AF227" s="349">
        <v>9</v>
      </c>
      <c r="AG227" s="349">
        <v>28</v>
      </c>
    </row>
    <row r="228" spans="1:33" x14ac:dyDescent="0.2">
      <c r="A228" s="344" t="s">
        <v>510</v>
      </c>
      <c r="B228" s="350" t="s">
        <v>511</v>
      </c>
      <c r="C228" s="346">
        <v>27179</v>
      </c>
      <c r="D228" s="346">
        <v>0</v>
      </c>
      <c r="E228" s="346">
        <v>1614</v>
      </c>
      <c r="F228" s="346">
        <v>1334</v>
      </c>
      <c r="G228" s="346">
        <v>301</v>
      </c>
      <c r="H228" s="346">
        <v>30428</v>
      </c>
      <c r="I228" s="345">
        <v>30127</v>
      </c>
      <c r="J228" s="345">
        <v>1023</v>
      </c>
      <c r="K228" s="347">
        <v>79.260000000000005</v>
      </c>
      <c r="L228" s="347">
        <v>79.36</v>
      </c>
      <c r="M228" s="347">
        <v>7.93</v>
      </c>
      <c r="N228" s="347">
        <v>82.89</v>
      </c>
      <c r="O228" s="348">
        <v>25288</v>
      </c>
      <c r="P228" s="345">
        <v>80.36</v>
      </c>
      <c r="Q228" s="345">
        <v>75.41</v>
      </c>
      <c r="R228" s="345">
        <v>32.43</v>
      </c>
      <c r="S228" s="345">
        <v>111.39</v>
      </c>
      <c r="T228" s="345">
        <v>2666</v>
      </c>
      <c r="U228" s="345">
        <v>109.11</v>
      </c>
      <c r="V228" s="345">
        <v>1692</v>
      </c>
      <c r="W228" s="345">
        <v>155.19</v>
      </c>
      <c r="X228" s="345">
        <v>66</v>
      </c>
      <c r="Y228" s="345">
        <v>0</v>
      </c>
      <c r="Z228" s="345">
        <v>179</v>
      </c>
      <c r="AA228" s="345">
        <v>103</v>
      </c>
      <c r="AB228" s="345">
        <v>85</v>
      </c>
      <c r="AC228" s="345">
        <v>12</v>
      </c>
      <c r="AD228" s="349">
        <v>27072</v>
      </c>
      <c r="AE228" s="349">
        <v>64</v>
      </c>
      <c r="AF228" s="349">
        <v>196</v>
      </c>
      <c r="AG228" s="349">
        <v>260</v>
      </c>
    </row>
    <row r="229" spans="1:33" x14ac:dyDescent="0.2">
      <c r="A229" s="344" t="s">
        <v>512</v>
      </c>
      <c r="B229" s="350" t="s">
        <v>513</v>
      </c>
      <c r="C229" s="346">
        <v>5625</v>
      </c>
      <c r="D229" s="346">
        <v>9</v>
      </c>
      <c r="E229" s="346">
        <v>448</v>
      </c>
      <c r="F229" s="346">
        <v>1103</v>
      </c>
      <c r="G229" s="346">
        <v>590</v>
      </c>
      <c r="H229" s="346">
        <v>7775</v>
      </c>
      <c r="I229" s="345">
        <v>7185</v>
      </c>
      <c r="J229" s="345">
        <v>2</v>
      </c>
      <c r="K229" s="347">
        <v>90.61</v>
      </c>
      <c r="L229" s="347">
        <v>89.43</v>
      </c>
      <c r="M229" s="347">
        <v>6.81</v>
      </c>
      <c r="N229" s="347">
        <v>95.89</v>
      </c>
      <c r="O229" s="348">
        <v>4497</v>
      </c>
      <c r="P229" s="345">
        <v>85.87</v>
      </c>
      <c r="Q229" s="345">
        <v>84.78</v>
      </c>
      <c r="R229" s="345">
        <v>45.22</v>
      </c>
      <c r="S229" s="345">
        <v>130.74</v>
      </c>
      <c r="T229" s="345">
        <v>1171</v>
      </c>
      <c r="U229" s="345">
        <v>110.31</v>
      </c>
      <c r="V229" s="345">
        <v>612</v>
      </c>
      <c r="W229" s="345">
        <v>186.54</v>
      </c>
      <c r="X229" s="345">
        <v>287</v>
      </c>
      <c r="Y229" s="345">
        <v>0</v>
      </c>
      <c r="Z229" s="345">
        <v>2</v>
      </c>
      <c r="AA229" s="345">
        <v>6</v>
      </c>
      <c r="AB229" s="345">
        <v>5</v>
      </c>
      <c r="AC229" s="345">
        <v>15</v>
      </c>
      <c r="AD229" s="349">
        <v>5393</v>
      </c>
      <c r="AE229" s="349">
        <v>35</v>
      </c>
      <c r="AF229" s="349">
        <v>16</v>
      </c>
      <c r="AG229" s="349">
        <v>51</v>
      </c>
    </row>
    <row r="230" spans="1:33" x14ac:dyDescent="0.2">
      <c r="A230" s="344" t="s">
        <v>514</v>
      </c>
      <c r="B230" s="350" t="s">
        <v>515</v>
      </c>
      <c r="C230" s="346">
        <v>5958</v>
      </c>
      <c r="D230" s="346">
        <v>21</v>
      </c>
      <c r="E230" s="346">
        <v>130</v>
      </c>
      <c r="F230" s="346">
        <v>576</v>
      </c>
      <c r="G230" s="346">
        <v>265</v>
      </c>
      <c r="H230" s="346">
        <v>6950</v>
      </c>
      <c r="I230" s="345">
        <v>6685</v>
      </c>
      <c r="J230" s="345">
        <v>83</v>
      </c>
      <c r="K230" s="347">
        <v>85.38</v>
      </c>
      <c r="L230" s="347">
        <v>85.18</v>
      </c>
      <c r="M230" s="347">
        <v>3.12</v>
      </c>
      <c r="N230" s="347">
        <v>86.6</v>
      </c>
      <c r="O230" s="348">
        <v>5554</v>
      </c>
      <c r="P230" s="345">
        <v>87.14</v>
      </c>
      <c r="Q230" s="345">
        <v>83.82</v>
      </c>
      <c r="R230" s="345">
        <v>28.62</v>
      </c>
      <c r="S230" s="345">
        <v>114.78</v>
      </c>
      <c r="T230" s="345">
        <v>579</v>
      </c>
      <c r="U230" s="345">
        <v>105.14</v>
      </c>
      <c r="V230" s="345">
        <v>395</v>
      </c>
      <c r="W230" s="345">
        <v>165.28</v>
      </c>
      <c r="X230" s="345">
        <v>64</v>
      </c>
      <c r="Y230" s="345">
        <v>0</v>
      </c>
      <c r="Z230" s="345">
        <v>15</v>
      </c>
      <c r="AA230" s="345">
        <v>6</v>
      </c>
      <c r="AB230" s="345">
        <v>39</v>
      </c>
      <c r="AC230" s="345">
        <v>13</v>
      </c>
      <c r="AD230" s="349">
        <v>5931</v>
      </c>
      <c r="AE230" s="349">
        <v>44</v>
      </c>
      <c r="AF230" s="349">
        <v>22</v>
      </c>
      <c r="AG230" s="349">
        <v>66</v>
      </c>
    </row>
    <row r="231" spans="1:33" x14ac:dyDescent="0.2">
      <c r="A231" s="344" t="s">
        <v>516</v>
      </c>
      <c r="B231" s="350" t="s">
        <v>517</v>
      </c>
      <c r="C231" s="346">
        <v>2823</v>
      </c>
      <c r="D231" s="346">
        <v>20</v>
      </c>
      <c r="E231" s="346">
        <v>257</v>
      </c>
      <c r="F231" s="346">
        <v>98</v>
      </c>
      <c r="G231" s="346">
        <v>227</v>
      </c>
      <c r="H231" s="346">
        <v>3425</v>
      </c>
      <c r="I231" s="345">
        <v>3198</v>
      </c>
      <c r="J231" s="345">
        <v>0</v>
      </c>
      <c r="K231" s="347">
        <v>93.55</v>
      </c>
      <c r="L231" s="347">
        <v>91.47</v>
      </c>
      <c r="M231" s="347">
        <v>4.32</v>
      </c>
      <c r="N231" s="347">
        <v>97.16</v>
      </c>
      <c r="O231" s="348">
        <v>1569</v>
      </c>
      <c r="P231" s="345">
        <v>77.16</v>
      </c>
      <c r="Q231" s="345">
        <v>71.650000000000006</v>
      </c>
      <c r="R231" s="345">
        <v>52.91</v>
      </c>
      <c r="S231" s="345">
        <v>127.73</v>
      </c>
      <c r="T231" s="345">
        <v>204</v>
      </c>
      <c r="U231" s="345">
        <v>113.94</v>
      </c>
      <c r="V231" s="345">
        <v>510</v>
      </c>
      <c r="W231" s="345">
        <v>0</v>
      </c>
      <c r="X231" s="345">
        <v>0</v>
      </c>
      <c r="Y231" s="345">
        <v>0</v>
      </c>
      <c r="Z231" s="345">
        <v>0</v>
      </c>
      <c r="AA231" s="345">
        <v>0</v>
      </c>
      <c r="AB231" s="345">
        <v>54</v>
      </c>
      <c r="AC231" s="345">
        <v>6</v>
      </c>
      <c r="AD231" s="349">
        <v>2013</v>
      </c>
      <c r="AE231" s="349">
        <v>12</v>
      </c>
      <c r="AF231" s="349">
        <v>9</v>
      </c>
      <c r="AG231" s="349">
        <v>21</v>
      </c>
    </row>
    <row r="232" spans="1:33" x14ac:dyDescent="0.2">
      <c r="A232" s="344" t="s">
        <v>518</v>
      </c>
      <c r="B232" s="350" t="s">
        <v>519</v>
      </c>
      <c r="C232" s="346">
        <v>15354</v>
      </c>
      <c r="D232" s="346">
        <v>13</v>
      </c>
      <c r="E232" s="346">
        <v>1555</v>
      </c>
      <c r="F232" s="346">
        <v>1645</v>
      </c>
      <c r="G232" s="346">
        <v>549</v>
      </c>
      <c r="H232" s="346">
        <v>19116</v>
      </c>
      <c r="I232" s="345">
        <v>18567</v>
      </c>
      <c r="J232" s="345">
        <v>7</v>
      </c>
      <c r="K232" s="347">
        <v>88</v>
      </c>
      <c r="L232" s="347">
        <v>85.02</v>
      </c>
      <c r="M232" s="347">
        <v>9.6300000000000008</v>
      </c>
      <c r="N232" s="347">
        <v>91.47</v>
      </c>
      <c r="O232" s="348">
        <v>14029</v>
      </c>
      <c r="P232" s="345">
        <v>81.62</v>
      </c>
      <c r="Q232" s="345">
        <v>78.709999999999994</v>
      </c>
      <c r="R232" s="345">
        <v>32.869999999999997</v>
      </c>
      <c r="S232" s="345">
        <v>113.8</v>
      </c>
      <c r="T232" s="345">
        <v>2783</v>
      </c>
      <c r="U232" s="345">
        <v>99.57</v>
      </c>
      <c r="V232" s="345">
        <v>758</v>
      </c>
      <c r="W232" s="345">
        <v>0</v>
      </c>
      <c r="X232" s="345">
        <v>0</v>
      </c>
      <c r="Y232" s="345">
        <v>30</v>
      </c>
      <c r="Z232" s="345">
        <v>88</v>
      </c>
      <c r="AA232" s="345">
        <v>84</v>
      </c>
      <c r="AB232" s="345">
        <v>0</v>
      </c>
      <c r="AC232" s="345">
        <v>5</v>
      </c>
      <c r="AD232" s="349">
        <v>14856</v>
      </c>
      <c r="AE232" s="349">
        <v>71</v>
      </c>
      <c r="AF232" s="349">
        <v>176</v>
      </c>
      <c r="AG232" s="349">
        <v>247</v>
      </c>
    </row>
    <row r="233" spans="1:33" x14ac:dyDescent="0.2">
      <c r="A233" s="344" t="s">
        <v>520</v>
      </c>
      <c r="B233" s="350" t="s">
        <v>521</v>
      </c>
      <c r="C233" s="346">
        <v>1423</v>
      </c>
      <c r="D233" s="346">
        <v>0</v>
      </c>
      <c r="E233" s="346">
        <v>46</v>
      </c>
      <c r="F233" s="346">
        <v>193</v>
      </c>
      <c r="G233" s="346">
        <v>193</v>
      </c>
      <c r="H233" s="346">
        <v>1855</v>
      </c>
      <c r="I233" s="345">
        <v>1662</v>
      </c>
      <c r="J233" s="345">
        <v>6</v>
      </c>
      <c r="K233" s="347">
        <v>91</v>
      </c>
      <c r="L233" s="347">
        <v>89.56</v>
      </c>
      <c r="M233" s="347">
        <v>5.41</v>
      </c>
      <c r="N233" s="347">
        <v>94.62</v>
      </c>
      <c r="O233" s="348">
        <v>1136</v>
      </c>
      <c r="P233" s="345">
        <v>104.26</v>
      </c>
      <c r="Q233" s="345">
        <v>88.33</v>
      </c>
      <c r="R233" s="345">
        <v>53.51</v>
      </c>
      <c r="S233" s="345">
        <v>156.4</v>
      </c>
      <c r="T233" s="345">
        <v>234</v>
      </c>
      <c r="U233" s="345">
        <v>100.05</v>
      </c>
      <c r="V233" s="345">
        <v>129</v>
      </c>
      <c r="W233" s="345">
        <v>0</v>
      </c>
      <c r="X233" s="345">
        <v>0</v>
      </c>
      <c r="Y233" s="345">
        <v>0</v>
      </c>
      <c r="Z233" s="345">
        <v>2</v>
      </c>
      <c r="AA233" s="345">
        <v>1</v>
      </c>
      <c r="AB233" s="345">
        <v>12</v>
      </c>
      <c r="AC233" s="345">
        <v>2</v>
      </c>
      <c r="AD233" s="349">
        <v>1403</v>
      </c>
      <c r="AE233" s="349">
        <v>23</v>
      </c>
      <c r="AF233" s="349">
        <v>4</v>
      </c>
      <c r="AG233" s="349">
        <v>27</v>
      </c>
    </row>
    <row r="234" spans="1:33" x14ac:dyDescent="0.2">
      <c r="A234" s="344" t="s">
        <v>522</v>
      </c>
      <c r="B234" s="350" t="s">
        <v>523</v>
      </c>
      <c r="C234" s="346">
        <v>5312</v>
      </c>
      <c r="D234" s="346">
        <v>8</v>
      </c>
      <c r="E234" s="346">
        <v>97</v>
      </c>
      <c r="F234" s="346">
        <v>1136</v>
      </c>
      <c r="G234" s="346">
        <v>742</v>
      </c>
      <c r="H234" s="346">
        <v>7295</v>
      </c>
      <c r="I234" s="345">
        <v>6553</v>
      </c>
      <c r="J234" s="345">
        <v>67</v>
      </c>
      <c r="K234" s="347">
        <v>108.77</v>
      </c>
      <c r="L234" s="347">
        <v>108.6</v>
      </c>
      <c r="M234" s="347">
        <v>3.67</v>
      </c>
      <c r="N234" s="347">
        <v>111.07</v>
      </c>
      <c r="O234" s="348">
        <v>5092</v>
      </c>
      <c r="P234" s="345">
        <v>92.67</v>
      </c>
      <c r="Q234" s="345">
        <v>97.31</v>
      </c>
      <c r="R234" s="345">
        <v>21.59</v>
      </c>
      <c r="S234" s="345">
        <v>113.67</v>
      </c>
      <c r="T234" s="345">
        <v>1000</v>
      </c>
      <c r="U234" s="345">
        <v>148.72999999999999</v>
      </c>
      <c r="V234" s="345">
        <v>175</v>
      </c>
      <c r="W234" s="345">
        <v>141.13999999999999</v>
      </c>
      <c r="X234" s="345">
        <v>76</v>
      </c>
      <c r="Y234" s="345">
        <v>0</v>
      </c>
      <c r="Z234" s="345">
        <v>6</v>
      </c>
      <c r="AA234" s="345">
        <v>0</v>
      </c>
      <c r="AB234" s="345">
        <v>52</v>
      </c>
      <c r="AC234" s="345">
        <v>11</v>
      </c>
      <c r="AD234" s="349">
        <v>5283</v>
      </c>
      <c r="AE234" s="349">
        <v>27</v>
      </c>
      <c r="AF234" s="349">
        <v>8</v>
      </c>
      <c r="AG234" s="349">
        <v>35</v>
      </c>
    </row>
    <row r="235" spans="1:33" x14ac:dyDescent="0.2">
      <c r="A235" s="344" t="s">
        <v>524</v>
      </c>
      <c r="B235" s="350" t="s">
        <v>525</v>
      </c>
      <c r="C235" s="346">
        <v>15399</v>
      </c>
      <c r="D235" s="346">
        <v>85</v>
      </c>
      <c r="E235" s="346">
        <v>1322</v>
      </c>
      <c r="F235" s="346">
        <v>957</v>
      </c>
      <c r="G235" s="346">
        <v>490</v>
      </c>
      <c r="H235" s="346">
        <v>18253</v>
      </c>
      <c r="I235" s="345">
        <v>17763</v>
      </c>
      <c r="J235" s="345">
        <v>7</v>
      </c>
      <c r="K235" s="347">
        <v>80.16</v>
      </c>
      <c r="L235" s="347">
        <v>79.099999999999994</v>
      </c>
      <c r="M235" s="347">
        <v>7.77</v>
      </c>
      <c r="N235" s="347">
        <v>82.71</v>
      </c>
      <c r="O235" s="348">
        <v>13554</v>
      </c>
      <c r="P235" s="345">
        <v>87.57</v>
      </c>
      <c r="Q235" s="345">
        <v>81</v>
      </c>
      <c r="R235" s="345">
        <v>53.86</v>
      </c>
      <c r="S235" s="345">
        <v>135.19999999999999</v>
      </c>
      <c r="T235" s="345">
        <v>1997</v>
      </c>
      <c r="U235" s="345">
        <v>96.12</v>
      </c>
      <c r="V235" s="345">
        <v>1682</v>
      </c>
      <c r="W235" s="345">
        <v>125.52</v>
      </c>
      <c r="X235" s="345">
        <v>35</v>
      </c>
      <c r="Y235" s="345">
        <v>82</v>
      </c>
      <c r="Z235" s="345">
        <v>51</v>
      </c>
      <c r="AA235" s="345">
        <v>13</v>
      </c>
      <c r="AB235" s="345">
        <v>22</v>
      </c>
      <c r="AC235" s="345">
        <v>14</v>
      </c>
      <c r="AD235" s="349">
        <v>15324</v>
      </c>
      <c r="AE235" s="349">
        <v>97</v>
      </c>
      <c r="AF235" s="349">
        <v>85</v>
      </c>
      <c r="AG235" s="349">
        <v>182</v>
      </c>
    </row>
    <row r="236" spans="1:33" x14ac:dyDescent="0.2">
      <c r="A236" s="344" t="s">
        <v>526</v>
      </c>
      <c r="B236" s="350" t="s">
        <v>527</v>
      </c>
      <c r="C236" s="346">
        <v>12365</v>
      </c>
      <c r="D236" s="346">
        <v>24</v>
      </c>
      <c r="E236" s="346">
        <v>217</v>
      </c>
      <c r="F236" s="346">
        <v>1568</v>
      </c>
      <c r="G236" s="346">
        <v>709</v>
      </c>
      <c r="H236" s="346">
        <v>14883</v>
      </c>
      <c r="I236" s="345">
        <v>14174</v>
      </c>
      <c r="J236" s="345">
        <v>3</v>
      </c>
      <c r="K236" s="347">
        <v>89.36</v>
      </c>
      <c r="L236" s="347">
        <v>89.01</v>
      </c>
      <c r="M236" s="347">
        <v>3.4</v>
      </c>
      <c r="N236" s="347">
        <v>91.17</v>
      </c>
      <c r="O236" s="348">
        <v>10376</v>
      </c>
      <c r="P236" s="345">
        <v>85.18</v>
      </c>
      <c r="Q236" s="345">
        <v>84.28</v>
      </c>
      <c r="R236" s="345">
        <v>20.8</v>
      </c>
      <c r="S236" s="345">
        <v>105.14</v>
      </c>
      <c r="T236" s="345">
        <v>1631</v>
      </c>
      <c r="U236" s="345">
        <v>106.44</v>
      </c>
      <c r="V236" s="345">
        <v>1329</v>
      </c>
      <c r="W236" s="345">
        <v>133.16999999999999</v>
      </c>
      <c r="X236" s="345">
        <v>130</v>
      </c>
      <c r="Y236" s="345">
        <v>0</v>
      </c>
      <c r="Z236" s="345">
        <v>38</v>
      </c>
      <c r="AA236" s="345">
        <v>21</v>
      </c>
      <c r="AB236" s="345">
        <v>27</v>
      </c>
      <c r="AC236" s="345">
        <v>10</v>
      </c>
      <c r="AD236" s="349">
        <v>11898</v>
      </c>
      <c r="AE236" s="349">
        <v>75</v>
      </c>
      <c r="AF236" s="349">
        <v>82</v>
      </c>
      <c r="AG236" s="349">
        <v>157</v>
      </c>
    </row>
    <row r="237" spans="1:33" x14ac:dyDescent="0.2">
      <c r="A237" s="344" t="s">
        <v>528</v>
      </c>
      <c r="B237" s="350" t="s">
        <v>529</v>
      </c>
      <c r="C237" s="346">
        <v>3526</v>
      </c>
      <c r="D237" s="346">
        <v>30</v>
      </c>
      <c r="E237" s="346">
        <v>354</v>
      </c>
      <c r="F237" s="346">
        <v>228</v>
      </c>
      <c r="G237" s="346">
        <v>491</v>
      </c>
      <c r="H237" s="346">
        <v>4629</v>
      </c>
      <c r="I237" s="345">
        <v>4138</v>
      </c>
      <c r="J237" s="345">
        <v>13</v>
      </c>
      <c r="K237" s="347">
        <v>122.04</v>
      </c>
      <c r="L237" s="347">
        <v>120.99</v>
      </c>
      <c r="M237" s="347">
        <v>7.21</v>
      </c>
      <c r="N237" s="347">
        <v>128.36000000000001</v>
      </c>
      <c r="O237" s="348">
        <v>3126</v>
      </c>
      <c r="P237" s="345">
        <v>98.74</v>
      </c>
      <c r="Q237" s="345">
        <v>98.2</v>
      </c>
      <c r="R237" s="345">
        <v>51.08</v>
      </c>
      <c r="S237" s="345">
        <v>139.75</v>
      </c>
      <c r="T237" s="345">
        <v>487</v>
      </c>
      <c r="U237" s="345">
        <v>149.30000000000001</v>
      </c>
      <c r="V237" s="345">
        <v>167</v>
      </c>
      <c r="W237" s="345">
        <v>0</v>
      </c>
      <c r="X237" s="345">
        <v>0</v>
      </c>
      <c r="Y237" s="345">
        <v>7</v>
      </c>
      <c r="Z237" s="345">
        <v>28</v>
      </c>
      <c r="AA237" s="345">
        <v>10</v>
      </c>
      <c r="AB237" s="345">
        <v>31</v>
      </c>
      <c r="AC237" s="345">
        <v>20</v>
      </c>
      <c r="AD237" s="349">
        <v>3354</v>
      </c>
      <c r="AE237" s="349">
        <v>14</v>
      </c>
      <c r="AF237" s="349">
        <v>7</v>
      </c>
      <c r="AG237" s="349">
        <v>21</v>
      </c>
    </row>
    <row r="238" spans="1:33" x14ac:dyDescent="0.2">
      <c r="A238" s="344" t="s">
        <v>530</v>
      </c>
      <c r="B238" s="350" t="s">
        <v>531</v>
      </c>
      <c r="C238" s="346">
        <v>2248</v>
      </c>
      <c r="D238" s="346">
        <v>0</v>
      </c>
      <c r="E238" s="346">
        <v>260</v>
      </c>
      <c r="F238" s="346">
        <v>475</v>
      </c>
      <c r="G238" s="346">
        <v>531</v>
      </c>
      <c r="H238" s="346">
        <v>3514</v>
      </c>
      <c r="I238" s="345">
        <v>2983</v>
      </c>
      <c r="J238" s="345">
        <v>1</v>
      </c>
      <c r="K238" s="347">
        <v>102.8</v>
      </c>
      <c r="L238" s="347">
        <v>102.81</v>
      </c>
      <c r="M238" s="347">
        <v>4.93</v>
      </c>
      <c r="N238" s="347">
        <v>106.71</v>
      </c>
      <c r="O238" s="348">
        <v>1773</v>
      </c>
      <c r="P238" s="345">
        <v>89.07</v>
      </c>
      <c r="Q238" s="345">
        <v>89.95</v>
      </c>
      <c r="R238" s="345">
        <v>61.98</v>
      </c>
      <c r="S238" s="345">
        <v>149.6</v>
      </c>
      <c r="T238" s="345">
        <v>517</v>
      </c>
      <c r="U238" s="345">
        <v>109.13</v>
      </c>
      <c r="V238" s="345">
        <v>426</v>
      </c>
      <c r="W238" s="345">
        <v>283</v>
      </c>
      <c r="X238" s="345">
        <v>33</v>
      </c>
      <c r="Y238" s="345">
        <v>0</v>
      </c>
      <c r="Z238" s="345">
        <v>0</v>
      </c>
      <c r="AA238" s="345">
        <v>4</v>
      </c>
      <c r="AB238" s="345">
        <v>44</v>
      </c>
      <c r="AC238" s="345">
        <v>18</v>
      </c>
      <c r="AD238" s="349">
        <v>2230</v>
      </c>
      <c r="AE238" s="349">
        <v>2</v>
      </c>
      <c r="AF238" s="349">
        <v>5</v>
      </c>
      <c r="AG238" s="349">
        <v>7</v>
      </c>
    </row>
    <row r="239" spans="1:33" x14ac:dyDescent="0.2">
      <c r="A239" s="344" t="s">
        <v>532</v>
      </c>
      <c r="B239" s="350" t="s">
        <v>533</v>
      </c>
      <c r="C239" s="346">
        <v>4040</v>
      </c>
      <c r="D239" s="346">
        <v>4</v>
      </c>
      <c r="E239" s="346">
        <v>345</v>
      </c>
      <c r="F239" s="346">
        <v>807</v>
      </c>
      <c r="G239" s="346">
        <v>466</v>
      </c>
      <c r="H239" s="346">
        <v>5662</v>
      </c>
      <c r="I239" s="345">
        <v>5196</v>
      </c>
      <c r="J239" s="345">
        <v>0</v>
      </c>
      <c r="K239" s="347">
        <v>97.49</v>
      </c>
      <c r="L239" s="347">
        <v>96.01</v>
      </c>
      <c r="M239" s="347">
        <v>4.51</v>
      </c>
      <c r="N239" s="347">
        <v>101.05</v>
      </c>
      <c r="O239" s="348">
        <v>3294</v>
      </c>
      <c r="P239" s="345">
        <v>89.27</v>
      </c>
      <c r="Q239" s="345">
        <v>88.38</v>
      </c>
      <c r="R239" s="345">
        <v>35.49</v>
      </c>
      <c r="S239" s="345">
        <v>123.25</v>
      </c>
      <c r="T239" s="345">
        <v>1011</v>
      </c>
      <c r="U239" s="345">
        <v>114.78</v>
      </c>
      <c r="V239" s="345">
        <v>345</v>
      </c>
      <c r="W239" s="345">
        <v>95.1</v>
      </c>
      <c r="X239" s="345">
        <v>1</v>
      </c>
      <c r="Y239" s="345">
        <v>2</v>
      </c>
      <c r="Z239" s="345">
        <v>5</v>
      </c>
      <c r="AA239" s="345">
        <v>18</v>
      </c>
      <c r="AB239" s="345">
        <v>58</v>
      </c>
      <c r="AC239" s="345">
        <v>10</v>
      </c>
      <c r="AD239" s="349">
        <v>3664</v>
      </c>
      <c r="AE239" s="349">
        <v>14</v>
      </c>
      <c r="AF239" s="349">
        <v>15</v>
      </c>
      <c r="AG239" s="349">
        <v>29</v>
      </c>
    </row>
    <row r="240" spans="1:33" x14ac:dyDescent="0.2">
      <c r="A240" s="344" t="s">
        <v>534</v>
      </c>
      <c r="B240" s="350" t="s">
        <v>535</v>
      </c>
      <c r="C240" s="346">
        <v>3174</v>
      </c>
      <c r="D240" s="346">
        <v>0</v>
      </c>
      <c r="E240" s="346">
        <v>332</v>
      </c>
      <c r="F240" s="346">
        <v>181</v>
      </c>
      <c r="G240" s="346">
        <v>1074</v>
      </c>
      <c r="H240" s="346">
        <v>4761</v>
      </c>
      <c r="I240" s="345">
        <v>3687</v>
      </c>
      <c r="J240" s="345">
        <v>27</v>
      </c>
      <c r="K240" s="347">
        <v>112.89</v>
      </c>
      <c r="L240" s="347">
        <v>110.71</v>
      </c>
      <c r="M240" s="347">
        <v>3.06</v>
      </c>
      <c r="N240" s="347">
        <v>115.29</v>
      </c>
      <c r="O240" s="348">
        <v>2302</v>
      </c>
      <c r="P240" s="345">
        <v>100.96</v>
      </c>
      <c r="Q240" s="345">
        <v>100.05</v>
      </c>
      <c r="R240" s="345">
        <v>41.43</v>
      </c>
      <c r="S240" s="345">
        <v>142.02000000000001</v>
      </c>
      <c r="T240" s="345">
        <v>227</v>
      </c>
      <c r="U240" s="345">
        <v>147.19999999999999</v>
      </c>
      <c r="V240" s="345">
        <v>412</v>
      </c>
      <c r="W240" s="345">
        <v>158.46</v>
      </c>
      <c r="X240" s="345">
        <v>65</v>
      </c>
      <c r="Y240" s="345">
        <v>0</v>
      </c>
      <c r="Z240" s="345">
        <v>0</v>
      </c>
      <c r="AA240" s="345">
        <v>0</v>
      </c>
      <c r="AB240" s="345">
        <v>41</v>
      </c>
      <c r="AC240" s="345">
        <v>37</v>
      </c>
      <c r="AD240" s="349">
        <v>2898</v>
      </c>
      <c r="AE240" s="349">
        <v>13</v>
      </c>
      <c r="AF240" s="349">
        <v>17</v>
      </c>
      <c r="AG240" s="349">
        <v>30</v>
      </c>
    </row>
    <row r="241" spans="1:33" x14ac:dyDescent="0.2">
      <c r="A241" s="344" t="s">
        <v>536</v>
      </c>
      <c r="B241" s="350" t="s">
        <v>537</v>
      </c>
      <c r="C241" s="346">
        <v>1093</v>
      </c>
      <c r="D241" s="346">
        <v>0</v>
      </c>
      <c r="E241" s="346">
        <v>103</v>
      </c>
      <c r="F241" s="346">
        <v>21</v>
      </c>
      <c r="G241" s="346">
        <v>139</v>
      </c>
      <c r="H241" s="346">
        <v>1356</v>
      </c>
      <c r="I241" s="345">
        <v>1217</v>
      </c>
      <c r="J241" s="345">
        <v>0</v>
      </c>
      <c r="K241" s="347">
        <v>93.32</v>
      </c>
      <c r="L241" s="347">
        <v>92.61</v>
      </c>
      <c r="M241" s="347">
        <v>4.57</v>
      </c>
      <c r="N241" s="347">
        <v>96.43</v>
      </c>
      <c r="O241" s="348">
        <v>925</v>
      </c>
      <c r="P241" s="345">
        <v>102.47</v>
      </c>
      <c r="Q241" s="345">
        <v>105.35</v>
      </c>
      <c r="R241" s="345">
        <v>76.69</v>
      </c>
      <c r="S241" s="345">
        <v>173.95</v>
      </c>
      <c r="T241" s="345">
        <v>103</v>
      </c>
      <c r="U241" s="345">
        <v>98.5</v>
      </c>
      <c r="V241" s="345">
        <v>151</v>
      </c>
      <c r="W241" s="345">
        <v>194.48</v>
      </c>
      <c r="X241" s="345">
        <v>18</v>
      </c>
      <c r="Y241" s="345">
        <v>0</v>
      </c>
      <c r="Z241" s="345">
        <v>2</v>
      </c>
      <c r="AA241" s="345">
        <v>0</v>
      </c>
      <c r="AB241" s="345">
        <v>11</v>
      </c>
      <c r="AC241" s="345">
        <v>13</v>
      </c>
      <c r="AD241" s="349">
        <v>1084</v>
      </c>
      <c r="AE241" s="349">
        <v>15</v>
      </c>
      <c r="AF241" s="349">
        <v>1</v>
      </c>
      <c r="AG241" s="349">
        <v>16</v>
      </c>
    </row>
    <row r="242" spans="1:33" x14ac:dyDescent="0.2">
      <c r="A242" s="344" t="s">
        <v>538</v>
      </c>
      <c r="B242" s="350" t="s">
        <v>539</v>
      </c>
      <c r="C242" s="346">
        <v>10197</v>
      </c>
      <c r="D242" s="346">
        <v>0</v>
      </c>
      <c r="E242" s="346">
        <v>278</v>
      </c>
      <c r="F242" s="346">
        <v>1761</v>
      </c>
      <c r="G242" s="346">
        <v>560</v>
      </c>
      <c r="H242" s="346">
        <v>12796</v>
      </c>
      <c r="I242" s="345">
        <v>12236</v>
      </c>
      <c r="J242" s="345">
        <v>0</v>
      </c>
      <c r="K242" s="347">
        <v>97.83</v>
      </c>
      <c r="L242" s="347">
        <v>99.38</v>
      </c>
      <c r="M242" s="347">
        <v>4.62</v>
      </c>
      <c r="N242" s="347">
        <v>100.36</v>
      </c>
      <c r="O242" s="348">
        <v>9292</v>
      </c>
      <c r="P242" s="345">
        <v>86.65</v>
      </c>
      <c r="Q242" s="345">
        <v>85.24</v>
      </c>
      <c r="R242" s="345">
        <v>19.62</v>
      </c>
      <c r="S242" s="345">
        <v>105.71</v>
      </c>
      <c r="T242" s="345">
        <v>1870</v>
      </c>
      <c r="U242" s="345">
        <v>132.72</v>
      </c>
      <c r="V242" s="345">
        <v>501</v>
      </c>
      <c r="W242" s="345">
        <v>188.53</v>
      </c>
      <c r="X242" s="345">
        <v>85</v>
      </c>
      <c r="Y242" s="345">
        <v>0</v>
      </c>
      <c r="Z242" s="345">
        <v>29</v>
      </c>
      <c r="AA242" s="345">
        <v>1</v>
      </c>
      <c r="AB242" s="345">
        <v>65</v>
      </c>
      <c r="AC242" s="345">
        <v>8</v>
      </c>
      <c r="AD242" s="349">
        <v>9857</v>
      </c>
      <c r="AE242" s="349">
        <v>52</v>
      </c>
      <c r="AF242" s="349">
        <v>76</v>
      </c>
      <c r="AG242" s="349">
        <v>128</v>
      </c>
    </row>
    <row r="243" spans="1:33" x14ac:dyDescent="0.2">
      <c r="A243" s="344" t="s">
        <v>540</v>
      </c>
      <c r="B243" s="350" t="s">
        <v>541</v>
      </c>
      <c r="C243" s="346">
        <v>4173</v>
      </c>
      <c r="D243" s="346">
        <v>0</v>
      </c>
      <c r="E243" s="346">
        <v>68</v>
      </c>
      <c r="F243" s="346">
        <v>219</v>
      </c>
      <c r="G243" s="346">
        <v>431</v>
      </c>
      <c r="H243" s="346">
        <v>4891</v>
      </c>
      <c r="I243" s="345">
        <v>4460</v>
      </c>
      <c r="J243" s="345">
        <v>2</v>
      </c>
      <c r="K243" s="347">
        <v>93.73</v>
      </c>
      <c r="L243" s="347">
        <v>89.78</v>
      </c>
      <c r="M243" s="347">
        <v>4.6399999999999997</v>
      </c>
      <c r="N243" s="347">
        <v>98.2</v>
      </c>
      <c r="O243" s="348">
        <v>3684</v>
      </c>
      <c r="P243" s="345">
        <v>81.98</v>
      </c>
      <c r="Q243" s="345">
        <v>60.08</v>
      </c>
      <c r="R243" s="345">
        <v>55.85</v>
      </c>
      <c r="S243" s="345">
        <v>133.13</v>
      </c>
      <c r="T243" s="345">
        <v>178</v>
      </c>
      <c r="U243" s="345">
        <v>124.22</v>
      </c>
      <c r="V243" s="345">
        <v>229</v>
      </c>
      <c r="W243" s="345">
        <v>113.99</v>
      </c>
      <c r="X243" s="345">
        <v>6</v>
      </c>
      <c r="Y243" s="345">
        <v>42</v>
      </c>
      <c r="Z243" s="345">
        <v>9</v>
      </c>
      <c r="AA243" s="345">
        <v>0</v>
      </c>
      <c r="AB243" s="345">
        <v>34</v>
      </c>
      <c r="AC243" s="345">
        <v>8</v>
      </c>
      <c r="AD243" s="349">
        <v>3934</v>
      </c>
      <c r="AE243" s="349">
        <v>3</v>
      </c>
      <c r="AF243" s="349">
        <v>21</v>
      </c>
      <c r="AG243" s="349">
        <v>24</v>
      </c>
    </row>
    <row r="244" spans="1:33" x14ac:dyDescent="0.2">
      <c r="A244" s="344" t="s">
        <v>542</v>
      </c>
      <c r="B244" s="350" t="s">
        <v>543</v>
      </c>
      <c r="C244" s="346">
        <v>963</v>
      </c>
      <c r="D244" s="346">
        <v>0</v>
      </c>
      <c r="E244" s="346">
        <v>91</v>
      </c>
      <c r="F244" s="346">
        <v>0</v>
      </c>
      <c r="G244" s="346">
        <v>219</v>
      </c>
      <c r="H244" s="346">
        <v>1273</v>
      </c>
      <c r="I244" s="345">
        <v>1054</v>
      </c>
      <c r="J244" s="345">
        <v>0</v>
      </c>
      <c r="K244" s="347">
        <v>86.54</v>
      </c>
      <c r="L244" s="347">
        <v>86.31</v>
      </c>
      <c r="M244" s="347">
        <v>4.2300000000000004</v>
      </c>
      <c r="N244" s="347">
        <v>89.92</v>
      </c>
      <c r="O244" s="348">
        <v>753</v>
      </c>
      <c r="P244" s="345">
        <v>121.34</v>
      </c>
      <c r="Q244" s="345">
        <v>68.75</v>
      </c>
      <c r="R244" s="345">
        <v>41.79</v>
      </c>
      <c r="S244" s="345">
        <v>163.13</v>
      </c>
      <c r="T244" s="345">
        <v>57</v>
      </c>
      <c r="U244" s="345">
        <v>105.7</v>
      </c>
      <c r="V244" s="345">
        <v>132</v>
      </c>
      <c r="W244" s="345">
        <v>0</v>
      </c>
      <c r="X244" s="345">
        <v>0</v>
      </c>
      <c r="Y244" s="345">
        <v>0</v>
      </c>
      <c r="Z244" s="345">
        <v>1</v>
      </c>
      <c r="AA244" s="345">
        <v>0</v>
      </c>
      <c r="AB244" s="345">
        <v>15</v>
      </c>
      <c r="AC244" s="345">
        <v>4</v>
      </c>
      <c r="AD244" s="349">
        <v>898</v>
      </c>
      <c r="AE244" s="349">
        <v>4</v>
      </c>
      <c r="AF244" s="349">
        <v>1</v>
      </c>
      <c r="AG244" s="349">
        <v>5</v>
      </c>
    </row>
    <row r="245" spans="1:33" x14ac:dyDescent="0.2">
      <c r="A245" s="344" t="s">
        <v>544</v>
      </c>
      <c r="B245" s="350" t="s">
        <v>545</v>
      </c>
      <c r="C245" s="346">
        <v>1594</v>
      </c>
      <c r="D245" s="346">
        <v>0</v>
      </c>
      <c r="E245" s="346">
        <v>167</v>
      </c>
      <c r="F245" s="346">
        <v>295</v>
      </c>
      <c r="G245" s="346">
        <v>437</v>
      </c>
      <c r="H245" s="346">
        <v>2493</v>
      </c>
      <c r="I245" s="345">
        <v>2056</v>
      </c>
      <c r="J245" s="345">
        <v>10</v>
      </c>
      <c r="K245" s="347">
        <v>89.04</v>
      </c>
      <c r="L245" s="347">
        <v>87.8</v>
      </c>
      <c r="M245" s="347">
        <v>5.12</v>
      </c>
      <c r="N245" s="347">
        <v>93.36</v>
      </c>
      <c r="O245" s="348">
        <v>1246</v>
      </c>
      <c r="P245" s="345">
        <v>91.61</v>
      </c>
      <c r="Q245" s="345">
        <v>72.44</v>
      </c>
      <c r="R245" s="345">
        <v>37.11</v>
      </c>
      <c r="S245" s="345">
        <v>128.61000000000001</v>
      </c>
      <c r="T245" s="345">
        <v>332</v>
      </c>
      <c r="U245" s="345">
        <v>104.85</v>
      </c>
      <c r="V245" s="345">
        <v>140</v>
      </c>
      <c r="W245" s="345">
        <v>0</v>
      </c>
      <c r="X245" s="345">
        <v>0</v>
      </c>
      <c r="Y245" s="345">
        <v>0</v>
      </c>
      <c r="Z245" s="345">
        <v>0</v>
      </c>
      <c r="AA245" s="345">
        <v>0</v>
      </c>
      <c r="AB245" s="345">
        <v>26</v>
      </c>
      <c r="AC245" s="345">
        <v>16</v>
      </c>
      <c r="AD245" s="349">
        <v>1518</v>
      </c>
      <c r="AE245" s="349">
        <v>8</v>
      </c>
      <c r="AF245" s="349">
        <v>0</v>
      </c>
      <c r="AG245" s="349">
        <v>8</v>
      </c>
    </row>
    <row r="246" spans="1:33" x14ac:dyDescent="0.2">
      <c r="A246" s="344" t="s">
        <v>546</v>
      </c>
      <c r="B246" s="350" t="s">
        <v>547</v>
      </c>
      <c r="C246" s="346">
        <v>3847</v>
      </c>
      <c r="D246" s="346">
        <v>66</v>
      </c>
      <c r="E246" s="346">
        <v>173</v>
      </c>
      <c r="F246" s="346">
        <v>605</v>
      </c>
      <c r="G246" s="346">
        <v>155</v>
      </c>
      <c r="H246" s="346">
        <v>4846</v>
      </c>
      <c r="I246" s="345">
        <v>4691</v>
      </c>
      <c r="J246" s="345">
        <v>16</v>
      </c>
      <c r="K246" s="347">
        <v>92.62</v>
      </c>
      <c r="L246" s="347">
        <v>93.78</v>
      </c>
      <c r="M246" s="347">
        <v>4.6500000000000004</v>
      </c>
      <c r="N246" s="347">
        <v>93.78</v>
      </c>
      <c r="O246" s="348">
        <v>3572</v>
      </c>
      <c r="P246" s="345">
        <v>83.54</v>
      </c>
      <c r="Q246" s="345">
        <v>83.3</v>
      </c>
      <c r="R246" s="345">
        <v>40.4</v>
      </c>
      <c r="S246" s="345">
        <v>123.4</v>
      </c>
      <c r="T246" s="345">
        <v>676</v>
      </c>
      <c r="U246" s="345">
        <v>115.34</v>
      </c>
      <c r="V246" s="345">
        <v>304</v>
      </c>
      <c r="W246" s="345">
        <v>205.22</v>
      </c>
      <c r="X246" s="345">
        <v>8</v>
      </c>
      <c r="Y246" s="345">
        <v>0</v>
      </c>
      <c r="Z246" s="345">
        <v>22</v>
      </c>
      <c r="AA246" s="345">
        <v>0</v>
      </c>
      <c r="AB246" s="345">
        <v>13</v>
      </c>
      <c r="AC246" s="345">
        <v>12</v>
      </c>
      <c r="AD246" s="349">
        <v>3812</v>
      </c>
      <c r="AE246" s="349">
        <v>19</v>
      </c>
      <c r="AF246" s="349">
        <v>5</v>
      </c>
      <c r="AG246" s="349">
        <v>24</v>
      </c>
    </row>
    <row r="247" spans="1:33" x14ac:dyDescent="0.2">
      <c r="A247" s="344" t="s">
        <v>548</v>
      </c>
      <c r="B247" s="350" t="s">
        <v>549</v>
      </c>
      <c r="C247" s="346">
        <v>5788</v>
      </c>
      <c r="D247" s="346">
        <v>0</v>
      </c>
      <c r="E247" s="346">
        <v>216</v>
      </c>
      <c r="F247" s="346">
        <v>924</v>
      </c>
      <c r="G247" s="346">
        <v>503</v>
      </c>
      <c r="H247" s="346">
        <v>7431</v>
      </c>
      <c r="I247" s="345">
        <v>6928</v>
      </c>
      <c r="J247" s="345">
        <v>4</v>
      </c>
      <c r="K247" s="347">
        <v>89.35</v>
      </c>
      <c r="L247" s="347">
        <v>89.22</v>
      </c>
      <c r="M247" s="347">
        <v>4.58</v>
      </c>
      <c r="N247" s="347">
        <v>90.5</v>
      </c>
      <c r="O247" s="348">
        <v>4601</v>
      </c>
      <c r="P247" s="345">
        <v>87.62</v>
      </c>
      <c r="Q247" s="345">
        <v>82.69</v>
      </c>
      <c r="R247" s="345">
        <v>31.06</v>
      </c>
      <c r="S247" s="345">
        <v>118.68</v>
      </c>
      <c r="T247" s="345">
        <v>1102</v>
      </c>
      <c r="U247" s="345">
        <v>111.89</v>
      </c>
      <c r="V247" s="345">
        <v>1090</v>
      </c>
      <c r="W247" s="345">
        <v>0</v>
      </c>
      <c r="X247" s="345">
        <v>0</v>
      </c>
      <c r="Y247" s="345">
        <v>0</v>
      </c>
      <c r="Z247" s="345">
        <v>37</v>
      </c>
      <c r="AA247" s="345">
        <v>0</v>
      </c>
      <c r="AB247" s="345">
        <v>12</v>
      </c>
      <c r="AC247" s="345">
        <v>3</v>
      </c>
      <c r="AD247" s="349">
        <v>5788</v>
      </c>
      <c r="AE247" s="349">
        <v>13</v>
      </c>
      <c r="AF247" s="349">
        <v>24</v>
      </c>
      <c r="AG247" s="349">
        <v>37</v>
      </c>
    </row>
    <row r="248" spans="1:33" x14ac:dyDescent="0.2">
      <c r="A248" s="344" t="s">
        <v>550</v>
      </c>
      <c r="B248" s="350" t="s">
        <v>551</v>
      </c>
      <c r="C248" s="346">
        <v>5770</v>
      </c>
      <c r="D248" s="346">
        <v>2</v>
      </c>
      <c r="E248" s="346">
        <v>184</v>
      </c>
      <c r="F248" s="346">
        <v>902</v>
      </c>
      <c r="G248" s="346">
        <v>626</v>
      </c>
      <c r="H248" s="346">
        <v>7484</v>
      </c>
      <c r="I248" s="345">
        <v>6858</v>
      </c>
      <c r="J248" s="345">
        <v>0</v>
      </c>
      <c r="K248" s="347">
        <v>112.33</v>
      </c>
      <c r="L248" s="347">
        <v>107.8</v>
      </c>
      <c r="M248" s="347">
        <v>4.4000000000000004</v>
      </c>
      <c r="N248" s="347">
        <v>113.75</v>
      </c>
      <c r="O248" s="348">
        <v>5235</v>
      </c>
      <c r="P248" s="345">
        <v>94.11</v>
      </c>
      <c r="Q248" s="345">
        <v>86.36</v>
      </c>
      <c r="R248" s="345">
        <v>20.55</v>
      </c>
      <c r="S248" s="345">
        <v>112.16</v>
      </c>
      <c r="T248" s="345">
        <v>897</v>
      </c>
      <c r="U248" s="345">
        <v>164.55</v>
      </c>
      <c r="V248" s="345">
        <v>348</v>
      </c>
      <c r="W248" s="345">
        <v>164.02</v>
      </c>
      <c r="X248" s="345">
        <v>37</v>
      </c>
      <c r="Y248" s="345">
        <v>0</v>
      </c>
      <c r="Z248" s="345">
        <v>9</v>
      </c>
      <c r="AA248" s="345">
        <v>5</v>
      </c>
      <c r="AB248" s="345">
        <v>63</v>
      </c>
      <c r="AC248" s="345">
        <v>14</v>
      </c>
      <c r="AD248" s="349">
        <v>5585</v>
      </c>
      <c r="AE248" s="349">
        <v>40</v>
      </c>
      <c r="AF248" s="349">
        <v>5</v>
      </c>
      <c r="AG248" s="349">
        <v>45</v>
      </c>
    </row>
    <row r="249" spans="1:33" x14ac:dyDescent="0.2">
      <c r="A249" s="344" t="s">
        <v>552</v>
      </c>
      <c r="B249" s="350" t="s">
        <v>553</v>
      </c>
      <c r="C249" s="346">
        <v>3846</v>
      </c>
      <c r="D249" s="346">
        <v>3</v>
      </c>
      <c r="E249" s="346">
        <v>205</v>
      </c>
      <c r="F249" s="346">
        <v>1123</v>
      </c>
      <c r="G249" s="346">
        <v>133</v>
      </c>
      <c r="H249" s="346">
        <v>5310</v>
      </c>
      <c r="I249" s="345">
        <v>5177</v>
      </c>
      <c r="J249" s="345">
        <v>129</v>
      </c>
      <c r="K249" s="347">
        <v>88.69</v>
      </c>
      <c r="L249" s="347">
        <v>88.01</v>
      </c>
      <c r="M249" s="347">
        <v>2.71</v>
      </c>
      <c r="N249" s="347">
        <v>91.3</v>
      </c>
      <c r="O249" s="348">
        <v>3529</v>
      </c>
      <c r="P249" s="345">
        <v>87.81</v>
      </c>
      <c r="Q249" s="345">
        <v>81.75</v>
      </c>
      <c r="R249" s="345">
        <v>27.37</v>
      </c>
      <c r="S249" s="345">
        <v>115.03</v>
      </c>
      <c r="T249" s="345">
        <v>1301</v>
      </c>
      <c r="U249" s="345">
        <v>100.73</v>
      </c>
      <c r="V249" s="345">
        <v>304</v>
      </c>
      <c r="W249" s="345">
        <v>0</v>
      </c>
      <c r="X249" s="345">
        <v>0</v>
      </c>
      <c r="Y249" s="345">
        <v>16</v>
      </c>
      <c r="Z249" s="345">
        <v>6</v>
      </c>
      <c r="AA249" s="345">
        <v>0</v>
      </c>
      <c r="AB249" s="345">
        <v>19</v>
      </c>
      <c r="AC249" s="345">
        <v>6</v>
      </c>
      <c r="AD249" s="349">
        <v>3843</v>
      </c>
      <c r="AE249" s="349">
        <v>24</v>
      </c>
      <c r="AF249" s="349">
        <v>2</v>
      </c>
      <c r="AG249" s="349">
        <v>26</v>
      </c>
    </row>
    <row r="250" spans="1:33" x14ac:dyDescent="0.2">
      <c r="A250" s="344" t="s">
        <v>554</v>
      </c>
      <c r="B250" s="350" t="s">
        <v>555</v>
      </c>
      <c r="C250" s="346">
        <v>9050</v>
      </c>
      <c r="D250" s="346">
        <v>4</v>
      </c>
      <c r="E250" s="346">
        <v>288</v>
      </c>
      <c r="F250" s="346">
        <v>1703</v>
      </c>
      <c r="G250" s="346">
        <v>593</v>
      </c>
      <c r="H250" s="346">
        <v>11638</v>
      </c>
      <c r="I250" s="345">
        <v>11045</v>
      </c>
      <c r="J250" s="345">
        <v>2</v>
      </c>
      <c r="K250" s="347">
        <v>93.59</v>
      </c>
      <c r="L250" s="347">
        <v>93.11</v>
      </c>
      <c r="M250" s="347">
        <v>4.45</v>
      </c>
      <c r="N250" s="347">
        <v>94.86</v>
      </c>
      <c r="O250" s="348">
        <v>8215</v>
      </c>
      <c r="P250" s="345">
        <v>86.87</v>
      </c>
      <c r="Q250" s="345">
        <v>84.81</v>
      </c>
      <c r="R250" s="345">
        <v>27.19</v>
      </c>
      <c r="S250" s="345">
        <v>113.42</v>
      </c>
      <c r="T250" s="345">
        <v>1948</v>
      </c>
      <c r="U250" s="345">
        <v>114.16</v>
      </c>
      <c r="V250" s="345">
        <v>519</v>
      </c>
      <c r="W250" s="345">
        <v>117.36</v>
      </c>
      <c r="X250" s="345">
        <v>15</v>
      </c>
      <c r="Y250" s="345">
        <v>40</v>
      </c>
      <c r="Z250" s="345">
        <v>28</v>
      </c>
      <c r="AA250" s="345">
        <v>1</v>
      </c>
      <c r="AB250" s="345">
        <v>7</v>
      </c>
      <c r="AC250" s="345">
        <v>8</v>
      </c>
      <c r="AD250" s="349">
        <v>8941</v>
      </c>
      <c r="AE250" s="349">
        <v>53</v>
      </c>
      <c r="AF250" s="349">
        <v>27</v>
      </c>
      <c r="AG250" s="349">
        <v>80</v>
      </c>
    </row>
    <row r="251" spans="1:33" x14ac:dyDescent="0.2">
      <c r="A251" s="344" t="s">
        <v>556</v>
      </c>
      <c r="B251" s="350" t="s">
        <v>557</v>
      </c>
      <c r="C251" s="346">
        <v>5661</v>
      </c>
      <c r="D251" s="346">
        <v>0</v>
      </c>
      <c r="E251" s="346">
        <v>263</v>
      </c>
      <c r="F251" s="346">
        <v>647</v>
      </c>
      <c r="G251" s="346">
        <v>248</v>
      </c>
      <c r="H251" s="346">
        <v>6819</v>
      </c>
      <c r="I251" s="345">
        <v>6571</v>
      </c>
      <c r="J251" s="345">
        <v>0</v>
      </c>
      <c r="K251" s="347">
        <v>89.2</v>
      </c>
      <c r="L251" s="347">
        <v>89.04</v>
      </c>
      <c r="M251" s="347">
        <v>4.2</v>
      </c>
      <c r="N251" s="347">
        <v>90.33</v>
      </c>
      <c r="O251" s="348">
        <v>5537</v>
      </c>
      <c r="P251" s="345">
        <v>81.69</v>
      </c>
      <c r="Q251" s="345">
        <v>81.8</v>
      </c>
      <c r="R251" s="345">
        <v>42.26</v>
      </c>
      <c r="S251" s="345">
        <v>123.8</v>
      </c>
      <c r="T251" s="345">
        <v>804</v>
      </c>
      <c r="U251" s="345">
        <v>103.63</v>
      </c>
      <c r="V251" s="345">
        <v>91</v>
      </c>
      <c r="W251" s="345">
        <v>165</v>
      </c>
      <c r="X251" s="345">
        <v>102</v>
      </c>
      <c r="Y251" s="345">
        <v>0</v>
      </c>
      <c r="Z251" s="345">
        <v>12</v>
      </c>
      <c r="AA251" s="345">
        <v>0</v>
      </c>
      <c r="AB251" s="345">
        <v>9</v>
      </c>
      <c r="AC251" s="345">
        <v>7</v>
      </c>
      <c r="AD251" s="349">
        <v>5661</v>
      </c>
      <c r="AE251" s="349">
        <v>35</v>
      </c>
      <c r="AF251" s="349">
        <v>4</v>
      </c>
      <c r="AG251" s="349">
        <v>39</v>
      </c>
    </row>
    <row r="252" spans="1:33" x14ac:dyDescent="0.2">
      <c r="A252" s="344" t="s">
        <v>558</v>
      </c>
      <c r="B252" s="350" t="s">
        <v>559</v>
      </c>
      <c r="C252" s="346">
        <v>3716</v>
      </c>
      <c r="D252" s="346">
        <v>6</v>
      </c>
      <c r="E252" s="346">
        <v>434</v>
      </c>
      <c r="F252" s="346">
        <v>756</v>
      </c>
      <c r="G252" s="346">
        <v>203</v>
      </c>
      <c r="H252" s="346">
        <v>5115</v>
      </c>
      <c r="I252" s="345">
        <v>4912</v>
      </c>
      <c r="J252" s="345">
        <v>0</v>
      </c>
      <c r="K252" s="347">
        <v>80.61</v>
      </c>
      <c r="L252" s="347">
        <v>79.95</v>
      </c>
      <c r="M252" s="347">
        <v>3.37</v>
      </c>
      <c r="N252" s="347">
        <v>82.91</v>
      </c>
      <c r="O252" s="348">
        <v>3215</v>
      </c>
      <c r="P252" s="345">
        <v>83.46</v>
      </c>
      <c r="Q252" s="345">
        <v>77.59</v>
      </c>
      <c r="R252" s="345">
        <v>47.98</v>
      </c>
      <c r="S252" s="345">
        <v>130.77000000000001</v>
      </c>
      <c r="T252" s="345">
        <v>929</v>
      </c>
      <c r="U252" s="345">
        <v>97.12</v>
      </c>
      <c r="V252" s="345">
        <v>428</v>
      </c>
      <c r="W252" s="345">
        <v>106.16</v>
      </c>
      <c r="X252" s="345">
        <v>180</v>
      </c>
      <c r="Y252" s="345">
        <v>13</v>
      </c>
      <c r="Z252" s="345">
        <v>3</v>
      </c>
      <c r="AA252" s="345">
        <v>2</v>
      </c>
      <c r="AB252" s="345">
        <v>2</v>
      </c>
      <c r="AC252" s="345">
        <v>9</v>
      </c>
      <c r="AD252" s="349">
        <v>3596</v>
      </c>
      <c r="AE252" s="349">
        <v>39</v>
      </c>
      <c r="AF252" s="349">
        <v>32</v>
      </c>
      <c r="AG252" s="349">
        <v>71</v>
      </c>
    </row>
    <row r="253" spans="1:33" x14ac:dyDescent="0.2">
      <c r="A253" s="344" t="s">
        <v>560</v>
      </c>
      <c r="B253" s="350" t="s">
        <v>561</v>
      </c>
      <c r="C253" s="346">
        <v>5744</v>
      </c>
      <c r="D253" s="346">
        <v>83</v>
      </c>
      <c r="E253" s="346">
        <v>846</v>
      </c>
      <c r="F253" s="346">
        <v>1105</v>
      </c>
      <c r="G253" s="346">
        <v>1011</v>
      </c>
      <c r="H253" s="346">
        <v>8789</v>
      </c>
      <c r="I253" s="345">
        <v>7778</v>
      </c>
      <c r="J253" s="345">
        <v>52</v>
      </c>
      <c r="K253" s="347">
        <v>106.69</v>
      </c>
      <c r="L253" s="347">
        <v>106.07</v>
      </c>
      <c r="M253" s="347">
        <v>6.98</v>
      </c>
      <c r="N253" s="347">
        <v>112.78</v>
      </c>
      <c r="O253" s="348">
        <v>4580</v>
      </c>
      <c r="P253" s="345">
        <v>92.25</v>
      </c>
      <c r="Q253" s="345">
        <v>90.43</v>
      </c>
      <c r="R253" s="345">
        <v>36.51</v>
      </c>
      <c r="S253" s="345">
        <v>126.48</v>
      </c>
      <c r="T253" s="345">
        <v>1716</v>
      </c>
      <c r="U253" s="345">
        <v>140.25</v>
      </c>
      <c r="V253" s="345">
        <v>820</v>
      </c>
      <c r="W253" s="345">
        <v>123.28</v>
      </c>
      <c r="X253" s="345">
        <v>2</v>
      </c>
      <c r="Y253" s="345">
        <v>188</v>
      </c>
      <c r="Z253" s="345">
        <v>1</v>
      </c>
      <c r="AA253" s="345">
        <v>0</v>
      </c>
      <c r="AB253" s="345">
        <v>81</v>
      </c>
      <c r="AC253" s="345">
        <v>44</v>
      </c>
      <c r="AD253" s="349">
        <v>5625</v>
      </c>
      <c r="AE253" s="349">
        <v>26</v>
      </c>
      <c r="AF253" s="349">
        <v>37</v>
      </c>
      <c r="AG253" s="349">
        <v>63</v>
      </c>
    </row>
    <row r="254" spans="1:33" x14ac:dyDescent="0.2">
      <c r="A254" s="344" t="s">
        <v>562</v>
      </c>
      <c r="B254" s="350" t="s">
        <v>563</v>
      </c>
      <c r="C254" s="346">
        <v>2775</v>
      </c>
      <c r="D254" s="346">
        <v>0</v>
      </c>
      <c r="E254" s="346">
        <v>426</v>
      </c>
      <c r="F254" s="346">
        <v>325</v>
      </c>
      <c r="G254" s="346">
        <v>250</v>
      </c>
      <c r="H254" s="346">
        <v>3776</v>
      </c>
      <c r="I254" s="345">
        <v>3526</v>
      </c>
      <c r="J254" s="345">
        <v>2</v>
      </c>
      <c r="K254" s="347">
        <v>98.98</v>
      </c>
      <c r="L254" s="347">
        <v>97.45</v>
      </c>
      <c r="M254" s="347">
        <v>11.77</v>
      </c>
      <c r="N254" s="347">
        <v>108.49</v>
      </c>
      <c r="O254" s="348">
        <v>2489</v>
      </c>
      <c r="P254" s="345">
        <v>89.82</v>
      </c>
      <c r="Q254" s="345">
        <v>85.75</v>
      </c>
      <c r="R254" s="345">
        <v>55.3</v>
      </c>
      <c r="S254" s="345">
        <v>142.57</v>
      </c>
      <c r="T254" s="345">
        <v>499</v>
      </c>
      <c r="U254" s="345">
        <v>150.87</v>
      </c>
      <c r="V254" s="345">
        <v>271</v>
      </c>
      <c r="W254" s="345">
        <v>0</v>
      </c>
      <c r="X254" s="345">
        <v>0</v>
      </c>
      <c r="Y254" s="345">
        <v>0</v>
      </c>
      <c r="Z254" s="345">
        <v>1</v>
      </c>
      <c r="AA254" s="345">
        <v>1</v>
      </c>
      <c r="AB254" s="345">
        <v>32</v>
      </c>
      <c r="AC254" s="345">
        <v>4</v>
      </c>
      <c r="AD254" s="349">
        <v>2775</v>
      </c>
      <c r="AE254" s="349">
        <v>26</v>
      </c>
      <c r="AF254" s="349">
        <v>14</v>
      </c>
      <c r="AG254" s="349">
        <v>40</v>
      </c>
    </row>
    <row r="255" spans="1:33" x14ac:dyDescent="0.2">
      <c r="A255" s="344" t="s">
        <v>564</v>
      </c>
      <c r="B255" s="350" t="s">
        <v>565</v>
      </c>
      <c r="C255" s="346">
        <v>14777</v>
      </c>
      <c r="D255" s="346">
        <v>82</v>
      </c>
      <c r="E255" s="346">
        <v>1528</v>
      </c>
      <c r="F255" s="346">
        <v>647</v>
      </c>
      <c r="G255" s="346">
        <v>2745</v>
      </c>
      <c r="H255" s="346">
        <v>19779</v>
      </c>
      <c r="I255" s="345">
        <v>17034</v>
      </c>
      <c r="J255" s="345">
        <v>74</v>
      </c>
      <c r="K255" s="347">
        <v>122.47</v>
      </c>
      <c r="L255" s="347">
        <v>125.5</v>
      </c>
      <c r="M255" s="347">
        <v>11.27</v>
      </c>
      <c r="N255" s="347">
        <v>130.88999999999999</v>
      </c>
      <c r="O255" s="348">
        <v>12124</v>
      </c>
      <c r="P255" s="345">
        <v>106.29</v>
      </c>
      <c r="Q255" s="345">
        <v>105.86</v>
      </c>
      <c r="R255" s="345">
        <v>50.06</v>
      </c>
      <c r="S255" s="345">
        <v>151.51</v>
      </c>
      <c r="T255" s="345">
        <v>1967</v>
      </c>
      <c r="U255" s="345">
        <v>201.76</v>
      </c>
      <c r="V255" s="345">
        <v>913</v>
      </c>
      <c r="W255" s="345">
        <v>200.1</v>
      </c>
      <c r="X255" s="345">
        <v>20</v>
      </c>
      <c r="Y255" s="345">
        <v>33</v>
      </c>
      <c r="Z255" s="345">
        <v>4</v>
      </c>
      <c r="AA255" s="345">
        <v>15</v>
      </c>
      <c r="AB255" s="345">
        <v>271</v>
      </c>
      <c r="AC255" s="345">
        <v>122</v>
      </c>
      <c r="AD255" s="349">
        <v>13967</v>
      </c>
      <c r="AE255" s="349">
        <v>89</v>
      </c>
      <c r="AF255" s="349">
        <v>73</v>
      </c>
      <c r="AG255" s="349">
        <v>162</v>
      </c>
    </row>
    <row r="256" spans="1:33" x14ac:dyDescent="0.2">
      <c r="A256" s="344" t="s">
        <v>566</v>
      </c>
      <c r="B256" s="350" t="s">
        <v>567</v>
      </c>
      <c r="C256" s="345">
        <v>4888</v>
      </c>
      <c r="D256" s="345">
        <v>0</v>
      </c>
      <c r="E256" s="345">
        <v>115</v>
      </c>
      <c r="F256" s="345">
        <v>313</v>
      </c>
      <c r="G256" s="345">
        <v>432</v>
      </c>
      <c r="H256" s="345">
        <v>5748</v>
      </c>
      <c r="I256" s="345">
        <v>5316</v>
      </c>
      <c r="J256" s="345">
        <v>72</v>
      </c>
      <c r="K256" s="345">
        <v>117.98</v>
      </c>
      <c r="L256" s="347">
        <v>113.14</v>
      </c>
      <c r="M256" s="347">
        <v>5.38</v>
      </c>
      <c r="N256" s="347">
        <v>122.84</v>
      </c>
      <c r="O256" s="348">
        <v>4758</v>
      </c>
      <c r="P256" s="345">
        <v>111.01</v>
      </c>
      <c r="Q256" s="345">
        <v>102.52</v>
      </c>
      <c r="R256" s="345">
        <v>67.7</v>
      </c>
      <c r="S256" s="345">
        <v>175.86</v>
      </c>
      <c r="T256" s="345">
        <v>357</v>
      </c>
      <c r="U256" s="345">
        <v>215.82</v>
      </c>
      <c r="V256" s="345">
        <v>121</v>
      </c>
      <c r="W256" s="345">
        <v>135.97</v>
      </c>
      <c r="X256" s="345">
        <v>6</v>
      </c>
      <c r="Y256" s="345">
        <v>0</v>
      </c>
      <c r="Z256" s="345">
        <v>4</v>
      </c>
      <c r="AA256" s="345">
        <v>0</v>
      </c>
      <c r="AB256" s="345">
        <v>12</v>
      </c>
      <c r="AC256" s="345">
        <v>11</v>
      </c>
      <c r="AD256" s="345">
        <v>4882</v>
      </c>
      <c r="AE256" s="345">
        <v>14</v>
      </c>
      <c r="AF256" s="345">
        <v>9</v>
      </c>
      <c r="AG256" s="345">
        <v>23</v>
      </c>
    </row>
    <row r="257" spans="1:33" x14ac:dyDescent="0.2">
      <c r="A257" s="344" t="s">
        <v>568</v>
      </c>
      <c r="B257" s="350" t="s">
        <v>569</v>
      </c>
      <c r="C257" s="345">
        <v>1886</v>
      </c>
      <c r="D257" s="345">
        <v>83</v>
      </c>
      <c r="E257" s="345">
        <v>242</v>
      </c>
      <c r="F257" s="345">
        <v>193</v>
      </c>
      <c r="G257" s="345">
        <v>196</v>
      </c>
      <c r="H257" s="345">
        <v>2600</v>
      </c>
      <c r="I257" s="345">
        <v>2404</v>
      </c>
      <c r="J257" s="345">
        <v>6</v>
      </c>
      <c r="K257" s="345">
        <v>123.04</v>
      </c>
      <c r="L257" s="347">
        <v>119.56</v>
      </c>
      <c r="M257" s="347">
        <v>7.05</v>
      </c>
      <c r="N257" s="347">
        <v>129.16</v>
      </c>
      <c r="O257" s="348">
        <v>1581</v>
      </c>
      <c r="P257" s="345">
        <v>111.25</v>
      </c>
      <c r="Q257" s="345">
        <v>99.29</v>
      </c>
      <c r="R257" s="345">
        <v>36.229999999999997</v>
      </c>
      <c r="S257" s="345">
        <v>145.94</v>
      </c>
      <c r="T257" s="345">
        <v>374</v>
      </c>
      <c r="U257" s="345">
        <v>179.06</v>
      </c>
      <c r="V257" s="345">
        <v>193</v>
      </c>
      <c r="W257" s="345">
        <v>197.67</v>
      </c>
      <c r="X257" s="345">
        <v>38</v>
      </c>
      <c r="Y257" s="345">
        <v>0</v>
      </c>
      <c r="Z257" s="345">
        <v>13</v>
      </c>
      <c r="AA257" s="345">
        <v>0</v>
      </c>
      <c r="AB257" s="345">
        <v>23</v>
      </c>
      <c r="AC257" s="345">
        <v>7</v>
      </c>
      <c r="AD257" s="345">
        <v>1881</v>
      </c>
      <c r="AE257" s="345">
        <v>17</v>
      </c>
      <c r="AF257" s="345">
        <v>5</v>
      </c>
      <c r="AG257" s="345">
        <v>22</v>
      </c>
    </row>
    <row r="258" spans="1:33" x14ac:dyDescent="0.2">
      <c r="A258" s="344" t="s">
        <v>570</v>
      </c>
      <c r="B258" s="350" t="s">
        <v>571</v>
      </c>
      <c r="C258" s="345">
        <v>14591</v>
      </c>
      <c r="D258" s="345">
        <v>2</v>
      </c>
      <c r="E258" s="345">
        <v>638</v>
      </c>
      <c r="F258" s="345">
        <v>2071</v>
      </c>
      <c r="G258" s="345">
        <v>430</v>
      </c>
      <c r="H258" s="345">
        <v>17732</v>
      </c>
      <c r="I258" s="345">
        <v>17302</v>
      </c>
      <c r="J258" s="345">
        <v>6</v>
      </c>
      <c r="K258" s="345">
        <v>89.88</v>
      </c>
      <c r="L258" s="347">
        <v>89.99</v>
      </c>
      <c r="M258" s="347">
        <v>1.83</v>
      </c>
      <c r="N258" s="347">
        <v>91.53</v>
      </c>
      <c r="O258" s="348">
        <v>13568</v>
      </c>
      <c r="P258" s="345">
        <v>92.96</v>
      </c>
      <c r="Q258" s="345">
        <v>88.13</v>
      </c>
      <c r="R258" s="345">
        <v>31.87</v>
      </c>
      <c r="S258" s="345">
        <v>123.78</v>
      </c>
      <c r="T258" s="345">
        <v>2515</v>
      </c>
      <c r="U258" s="345">
        <v>101.46</v>
      </c>
      <c r="V258" s="345">
        <v>946</v>
      </c>
      <c r="W258" s="345">
        <v>0</v>
      </c>
      <c r="X258" s="345">
        <v>0</v>
      </c>
      <c r="Y258" s="345">
        <v>0</v>
      </c>
      <c r="Z258" s="345">
        <v>76</v>
      </c>
      <c r="AA258" s="345">
        <v>32</v>
      </c>
      <c r="AB258" s="345">
        <v>28</v>
      </c>
      <c r="AC258" s="345">
        <v>8</v>
      </c>
      <c r="AD258" s="345">
        <v>14545</v>
      </c>
      <c r="AE258" s="345">
        <v>139</v>
      </c>
      <c r="AF258" s="345">
        <v>167</v>
      </c>
      <c r="AG258" s="345">
        <v>306</v>
      </c>
    </row>
    <row r="259" spans="1:33" x14ac:dyDescent="0.2">
      <c r="A259" s="344" t="s">
        <v>572</v>
      </c>
      <c r="B259" s="350" t="s">
        <v>573</v>
      </c>
      <c r="C259" s="346">
        <v>6039</v>
      </c>
      <c r="D259" s="346">
        <v>1</v>
      </c>
      <c r="E259" s="346">
        <v>251</v>
      </c>
      <c r="F259" s="346">
        <v>1682</v>
      </c>
      <c r="G259" s="346">
        <v>337</v>
      </c>
      <c r="H259" s="346">
        <v>8310</v>
      </c>
      <c r="I259" s="345">
        <v>7973</v>
      </c>
      <c r="J259" s="345">
        <v>3</v>
      </c>
      <c r="K259" s="347">
        <v>84.14</v>
      </c>
      <c r="L259" s="347">
        <v>84.38</v>
      </c>
      <c r="M259" s="347">
        <v>4.01</v>
      </c>
      <c r="N259" s="347">
        <v>86.41</v>
      </c>
      <c r="O259" s="348">
        <v>5516</v>
      </c>
      <c r="P259" s="345">
        <v>78.05</v>
      </c>
      <c r="Q259" s="345">
        <v>86.27</v>
      </c>
      <c r="R259" s="345">
        <v>17.41</v>
      </c>
      <c r="S259" s="345">
        <v>94.93</v>
      </c>
      <c r="T259" s="345">
        <v>1767</v>
      </c>
      <c r="U259" s="345">
        <v>104</v>
      </c>
      <c r="V259" s="345">
        <v>519</v>
      </c>
      <c r="W259" s="345">
        <v>161.25</v>
      </c>
      <c r="X259" s="345">
        <v>130</v>
      </c>
      <c r="Y259" s="345">
        <v>0</v>
      </c>
      <c r="Z259" s="345">
        <v>14</v>
      </c>
      <c r="AA259" s="345">
        <v>8</v>
      </c>
      <c r="AB259" s="345">
        <v>57</v>
      </c>
      <c r="AC259" s="345">
        <v>5</v>
      </c>
      <c r="AD259" s="349">
        <v>6039</v>
      </c>
      <c r="AE259" s="349">
        <v>22</v>
      </c>
      <c r="AF259" s="349">
        <v>25</v>
      </c>
      <c r="AG259" s="349">
        <v>47</v>
      </c>
    </row>
    <row r="260" spans="1:33" x14ac:dyDescent="0.2">
      <c r="A260" s="344" t="s">
        <v>574</v>
      </c>
      <c r="B260" s="350" t="s">
        <v>575</v>
      </c>
      <c r="C260" s="346">
        <v>2656</v>
      </c>
      <c r="D260" s="346">
        <v>2</v>
      </c>
      <c r="E260" s="346">
        <v>121</v>
      </c>
      <c r="F260" s="346">
        <v>1038</v>
      </c>
      <c r="G260" s="346">
        <v>73</v>
      </c>
      <c r="H260" s="346">
        <v>3890</v>
      </c>
      <c r="I260" s="345">
        <v>3817</v>
      </c>
      <c r="J260" s="345">
        <v>11</v>
      </c>
      <c r="K260" s="347">
        <v>87.08</v>
      </c>
      <c r="L260" s="347">
        <v>86.98</v>
      </c>
      <c r="M260" s="347">
        <v>5.24</v>
      </c>
      <c r="N260" s="347">
        <v>88.32</v>
      </c>
      <c r="O260" s="348">
        <v>2396</v>
      </c>
      <c r="P260" s="345">
        <v>83.03</v>
      </c>
      <c r="Q260" s="345">
        <v>82.69</v>
      </c>
      <c r="R260" s="345">
        <v>19.14</v>
      </c>
      <c r="S260" s="345">
        <v>101.65</v>
      </c>
      <c r="T260" s="345">
        <v>1044</v>
      </c>
      <c r="U260" s="345">
        <v>96.39</v>
      </c>
      <c r="V260" s="345">
        <v>201</v>
      </c>
      <c r="W260" s="345">
        <v>138.03</v>
      </c>
      <c r="X260" s="345">
        <v>63</v>
      </c>
      <c r="Y260" s="345">
        <v>0</v>
      </c>
      <c r="Z260" s="345">
        <v>17</v>
      </c>
      <c r="AA260" s="345">
        <v>0</v>
      </c>
      <c r="AB260" s="345">
        <v>11</v>
      </c>
      <c r="AC260" s="345">
        <v>3</v>
      </c>
      <c r="AD260" s="349">
        <v>2498</v>
      </c>
      <c r="AE260" s="349">
        <v>27</v>
      </c>
      <c r="AF260" s="349">
        <v>4</v>
      </c>
      <c r="AG260" s="349">
        <v>31</v>
      </c>
    </row>
    <row r="261" spans="1:33" x14ac:dyDescent="0.2">
      <c r="A261" s="344" t="s">
        <v>576</v>
      </c>
      <c r="B261" s="350" t="s">
        <v>577</v>
      </c>
      <c r="C261" s="346">
        <v>1668</v>
      </c>
      <c r="D261" s="346">
        <v>3</v>
      </c>
      <c r="E261" s="346">
        <v>148</v>
      </c>
      <c r="F261" s="346">
        <v>313</v>
      </c>
      <c r="G261" s="346">
        <v>390</v>
      </c>
      <c r="H261" s="346">
        <v>2522</v>
      </c>
      <c r="I261" s="345">
        <v>2132</v>
      </c>
      <c r="J261" s="345">
        <v>7</v>
      </c>
      <c r="K261" s="347">
        <v>115.26</v>
      </c>
      <c r="L261" s="347">
        <v>114.28</v>
      </c>
      <c r="M261" s="347">
        <v>7.29</v>
      </c>
      <c r="N261" s="347">
        <v>121.6</v>
      </c>
      <c r="O261" s="348">
        <v>1389</v>
      </c>
      <c r="P261" s="345">
        <v>101.55</v>
      </c>
      <c r="Q261" s="345">
        <v>90.26</v>
      </c>
      <c r="R261" s="345">
        <v>33.71</v>
      </c>
      <c r="S261" s="345">
        <v>135.18</v>
      </c>
      <c r="T261" s="345">
        <v>407</v>
      </c>
      <c r="U261" s="345">
        <v>133.1</v>
      </c>
      <c r="V261" s="345">
        <v>132</v>
      </c>
      <c r="W261" s="345">
        <v>0</v>
      </c>
      <c r="X261" s="345">
        <v>0</v>
      </c>
      <c r="Y261" s="345">
        <v>0</v>
      </c>
      <c r="Z261" s="345">
        <v>0</v>
      </c>
      <c r="AA261" s="345">
        <v>0</v>
      </c>
      <c r="AB261" s="345">
        <v>122</v>
      </c>
      <c r="AC261" s="345">
        <v>26</v>
      </c>
      <c r="AD261" s="349">
        <v>1541</v>
      </c>
      <c r="AE261" s="349">
        <v>7</v>
      </c>
      <c r="AF261" s="349">
        <v>1</v>
      </c>
      <c r="AG261" s="349">
        <v>8</v>
      </c>
    </row>
    <row r="262" spans="1:33" x14ac:dyDescent="0.2">
      <c r="A262" s="344" t="s">
        <v>578</v>
      </c>
      <c r="B262" s="350" t="s">
        <v>579</v>
      </c>
      <c r="C262" s="346">
        <v>4327</v>
      </c>
      <c r="D262" s="346">
        <v>0</v>
      </c>
      <c r="E262" s="346">
        <v>403</v>
      </c>
      <c r="F262" s="346">
        <v>1323</v>
      </c>
      <c r="G262" s="346">
        <v>1167</v>
      </c>
      <c r="H262" s="346">
        <v>7220</v>
      </c>
      <c r="I262" s="345">
        <v>6053</v>
      </c>
      <c r="J262" s="345">
        <v>39</v>
      </c>
      <c r="K262" s="347">
        <v>84.42</v>
      </c>
      <c r="L262" s="347">
        <v>83.75</v>
      </c>
      <c r="M262" s="347">
        <v>7.68</v>
      </c>
      <c r="N262" s="347">
        <v>88.65</v>
      </c>
      <c r="O262" s="348">
        <v>3766</v>
      </c>
      <c r="P262" s="345">
        <v>84.47</v>
      </c>
      <c r="Q262" s="345">
        <v>78.400000000000006</v>
      </c>
      <c r="R262" s="345">
        <v>27.96</v>
      </c>
      <c r="S262" s="345">
        <v>111.66</v>
      </c>
      <c r="T262" s="345">
        <v>1626</v>
      </c>
      <c r="U262" s="345">
        <v>109.56</v>
      </c>
      <c r="V262" s="345">
        <v>420</v>
      </c>
      <c r="W262" s="345">
        <v>148.08000000000001</v>
      </c>
      <c r="X262" s="345">
        <v>64</v>
      </c>
      <c r="Y262" s="345">
        <v>12</v>
      </c>
      <c r="Z262" s="345">
        <v>6</v>
      </c>
      <c r="AA262" s="345">
        <v>0</v>
      </c>
      <c r="AB262" s="345">
        <v>16</v>
      </c>
      <c r="AC262" s="345">
        <v>18</v>
      </c>
      <c r="AD262" s="349">
        <v>4120</v>
      </c>
      <c r="AE262" s="349">
        <v>12</v>
      </c>
      <c r="AF262" s="349">
        <v>16</v>
      </c>
      <c r="AG262" s="349">
        <v>28</v>
      </c>
    </row>
    <row r="263" spans="1:33" x14ac:dyDescent="0.2">
      <c r="A263" s="344" t="s">
        <v>580</v>
      </c>
      <c r="B263" s="350" t="s">
        <v>581</v>
      </c>
      <c r="C263" s="346">
        <v>12700</v>
      </c>
      <c r="D263" s="346">
        <v>4</v>
      </c>
      <c r="E263" s="346">
        <v>298</v>
      </c>
      <c r="F263" s="346">
        <v>802</v>
      </c>
      <c r="G263" s="346">
        <v>170</v>
      </c>
      <c r="H263" s="346">
        <v>13974</v>
      </c>
      <c r="I263" s="345">
        <v>13804</v>
      </c>
      <c r="J263" s="345">
        <v>266</v>
      </c>
      <c r="K263" s="347">
        <v>81.95</v>
      </c>
      <c r="L263" s="347">
        <v>82.36</v>
      </c>
      <c r="M263" s="347">
        <v>9.49</v>
      </c>
      <c r="N263" s="347">
        <v>84.59</v>
      </c>
      <c r="O263" s="348">
        <v>11143</v>
      </c>
      <c r="P263" s="345">
        <v>84.32</v>
      </c>
      <c r="Q263" s="345">
        <v>79.86</v>
      </c>
      <c r="R263" s="345">
        <v>44.41</v>
      </c>
      <c r="S263" s="345">
        <v>127.65</v>
      </c>
      <c r="T263" s="345">
        <v>1023</v>
      </c>
      <c r="U263" s="345">
        <v>97.45</v>
      </c>
      <c r="V263" s="345">
        <v>1485</v>
      </c>
      <c r="W263" s="345">
        <v>174.85</v>
      </c>
      <c r="X263" s="345">
        <v>53</v>
      </c>
      <c r="Y263" s="345">
        <v>6</v>
      </c>
      <c r="Z263" s="345">
        <v>62</v>
      </c>
      <c r="AA263" s="345">
        <v>0</v>
      </c>
      <c r="AB263" s="345">
        <v>12</v>
      </c>
      <c r="AC263" s="345">
        <v>2</v>
      </c>
      <c r="AD263" s="349">
        <v>12700</v>
      </c>
      <c r="AE263" s="349">
        <v>97</v>
      </c>
      <c r="AF263" s="349">
        <v>105</v>
      </c>
      <c r="AG263" s="349">
        <v>202</v>
      </c>
    </row>
    <row r="264" spans="1:33" x14ac:dyDescent="0.2">
      <c r="A264" s="344" t="s">
        <v>582</v>
      </c>
      <c r="B264" s="350" t="s">
        <v>583</v>
      </c>
      <c r="C264" s="346">
        <v>5838</v>
      </c>
      <c r="D264" s="346">
        <v>71</v>
      </c>
      <c r="E264" s="346">
        <v>803</v>
      </c>
      <c r="F264" s="346">
        <v>1284</v>
      </c>
      <c r="G264" s="346">
        <v>273</v>
      </c>
      <c r="H264" s="346">
        <v>8269</v>
      </c>
      <c r="I264" s="345">
        <v>7996</v>
      </c>
      <c r="J264" s="345">
        <v>11</v>
      </c>
      <c r="K264" s="347">
        <v>77.17</v>
      </c>
      <c r="L264" s="347">
        <v>77.099999999999994</v>
      </c>
      <c r="M264" s="347">
        <v>4.34</v>
      </c>
      <c r="N264" s="347">
        <v>80.150000000000006</v>
      </c>
      <c r="O264" s="348">
        <v>4933</v>
      </c>
      <c r="P264" s="345">
        <v>93.03</v>
      </c>
      <c r="Q264" s="345">
        <v>89.48</v>
      </c>
      <c r="R264" s="345">
        <v>55.57</v>
      </c>
      <c r="S264" s="345">
        <v>146.6</v>
      </c>
      <c r="T264" s="345">
        <v>1670</v>
      </c>
      <c r="U264" s="345">
        <v>92.23</v>
      </c>
      <c r="V264" s="345">
        <v>445</v>
      </c>
      <c r="W264" s="345">
        <v>185.75</v>
      </c>
      <c r="X264" s="345">
        <v>120</v>
      </c>
      <c r="Y264" s="345">
        <v>0</v>
      </c>
      <c r="Z264" s="345">
        <v>6</v>
      </c>
      <c r="AA264" s="345">
        <v>1</v>
      </c>
      <c r="AB264" s="345">
        <v>3</v>
      </c>
      <c r="AC264" s="345">
        <v>6</v>
      </c>
      <c r="AD264" s="349">
        <v>5354</v>
      </c>
      <c r="AE264" s="349">
        <v>31</v>
      </c>
      <c r="AF264" s="349">
        <v>38</v>
      </c>
      <c r="AG264" s="349">
        <v>69</v>
      </c>
    </row>
    <row r="265" spans="1:33" x14ac:dyDescent="0.2">
      <c r="A265" s="344" t="s">
        <v>584</v>
      </c>
      <c r="B265" s="350" t="s">
        <v>585</v>
      </c>
      <c r="C265" s="346">
        <v>6571</v>
      </c>
      <c r="D265" s="346">
        <v>2</v>
      </c>
      <c r="E265" s="346">
        <v>85</v>
      </c>
      <c r="F265" s="346">
        <v>659</v>
      </c>
      <c r="G265" s="346">
        <v>592</v>
      </c>
      <c r="H265" s="346">
        <v>7909</v>
      </c>
      <c r="I265" s="345">
        <v>7317</v>
      </c>
      <c r="J265" s="345">
        <v>159</v>
      </c>
      <c r="K265" s="347">
        <v>105.69</v>
      </c>
      <c r="L265" s="347">
        <v>103</v>
      </c>
      <c r="M265" s="347">
        <v>4.63</v>
      </c>
      <c r="N265" s="347">
        <v>107.29</v>
      </c>
      <c r="O265" s="348">
        <v>6037</v>
      </c>
      <c r="P265" s="345">
        <v>85.57</v>
      </c>
      <c r="Q265" s="345">
        <v>89.43</v>
      </c>
      <c r="R265" s="345">
        <v>28.54</v>
      </c>
      <c r="S265" s="345">
        <v>113.77</v>
      </c>
      <c r="T265" s="345">
        <v>669</v>
      </c>
      <c r="U265" s="345">
        <v>133.9</v>
      </c>
      <c r="V265" s="345">
        <v>190</v>
      </c>
      <c r="W265" s="345">
        <v>164.68</v>
      </c>
      <c r="X265" s="345">
        <v>7</v>
      </c>
      <c r="Y265" s="345">
        <v>0</v>
      </c>
      <c r="Z265" s="345">
        <v>17</v>
      </c>
      <c r="AA265" s="345">
        <v>0</v>
      </c>
      <c r="AB265" s="345">
        <v>63</v>
      </c>
      <c r="AC265" s="345">
        <v>10</v>
      </c>
      <c r="AD265" s="349">
        <v>6194</v>
      </c>
      <c r="AE265" s="349">
        <v>37</v>
      </c>
      <c r="AF265" s="349">
        <v>81</v>
      </c>
      <c r="AG265" s="349">
        <v>118</v>
      </c>
    </row>
    <row r="266" spans="1:33" x14ac:dyDescent="0.2">
      <c r="A266" s="344" t="s">
        <v>586</v>
      </c>
      <c r="B266" s="350" t="s">
        <v>587</v>
      </c>
      <c r="C266" s="346">
        <v>1365</v>
      </c>
      <c r="D266" s="346">
        <v>0</v>
      </c>
      <c r="E266" s="346">
        <v>128</v>
      </c>
      <c r="F266" s="346">
        <v>146</v>
      </c>
      <c r="G266" s="346">
        <v>303</v>
      </c>
      <c r="H266" s="346">
        <v>1942</v>
      </c>
      <c r="I266" s="345">
        <v>1639</v>
      </c>
      <c r="J266" s="345">
        <v>0</v>
      </c>
      <c r="K266" s="347">
        <v>99.84</v>
      </c>
      <c r="L266" s="347">
        <v>97.38</v>
      </c>
      <c r="M266" s="347">
        <v>4.5599999999999996</v>
      </c>
      <c r="N266" s="347">
        <v>103.48</v>
      </c>
      <c r="O266" s="348">
        <v>1020</v>
      </c>
      <c r="P266" s="345">
        <v>87.92</v>
      </c>
      <c r="Q266" s="345">
        <v>82.14</v>
      </c>
      <c r="R266" s="345">
        <v>35.67</v>
      </c>
      <c r="S266" s="345">
        <v>118.64</v>
      </c>
      <c r="T266" s="345">
        <v>245</v>
      </c>
      <c r="U266" s="345">
        <v>124.78</v>
      </c>
      <c r="V266" s="345">
        <v>272</v>
      </c>
      <c r="W266" s="345">
        <v>0</v>
      </c>
      <c r="X266" s="345">
        <v>0</v>
      </c>
      <c r="Y266" s="345">
        <v>0</v>
      </c>
      <c r="Z266" s="345">
        <v>1</v>
      </c>
      <c r="AA266" s="345">
        <v>0</v>
      </c>
      <c r="AB266" s="345">
        <v>10</v>
      </c>
      <c r="AC266" s="345">
        <v>7</v>
      </c>
      <c r="AD266" s="349">
        <v>1299</v>
      </c>
      <c r="AE266" s="349">
        <v>3</v>
      </c>
      <c r="AF266" s="349">
        <v>2</v>
      </c>
      <c r="AG266" s="349">
        <v>5</v>
      </c>
    </row>
    <row r="267" spans="1:33" x14ac:dyDescent="0.2">
      <c r="A267" s="344" t="s">
        <v>588</v>
      </c>
      <c r="B267" s="350" t="s">
        <v>589</v>
      </c>
      <c r="C267" s="346">
        <v>31708</v>
      </c>
      <c r="D267" s="346">
        <v>38</v>
      </c>
      <c r="E267" s="346">
        <v>529</v>
      </c>
      <c r="F267" s="346">
        <v>1972</v>
      </c>
      <c r="G267" s="346">
        <v>292</v>
      </c>
      <c r="H267" s="346">
        <v>34539</v>
      </c>
      <c r="I267" s="345">
        <v>34247</v>
      </c>
      <c r="J267" s="345">
        <v>2638</v>
      </c>
      <c r="K267" s="347">
        <v>80.430000000000007</v>
      </c>
      <c r="L267" s="347">
        <v>80.33</v>
      </c>
      <c r="M267" s="347">
        <v>6.24</v>
      </c>
      <c r="N267" s="347">
        <v>81.61</v>
      </c>
      <c r="O267" s="348">
        <v>29894</v>
      </c>
      <c r="P267" s="345">
        <v>82.74</v>
      </c>
      <c r="Q267" s="345">
        <v>76.83</v>
      </c>
      <c r="R267" s="345">
        <v>32.99</v>
      </c>
      <c r="S267" s="345">
        <v>114.42</v>
      </c>
      <c r="T267" s="345">
        <v>2010</v>
      </c>
      <c r="U267" s="345">
        <v>99.89</v>
      </c>
      <c r="V267" s="345">
        <v>1498</v>
      </c>
      <c r="W267" s="345">
        <v>164.37</v>
      </c>
      <c r="X267" s="345">
        <v>433</v>
      </c>
      <c r="Y267" s="345">
        <v>6</v>
      </c>
      <c r="Z267" s="345">
        <v>4</v>
      </c>
      <c r="AA267" s="345">
        <v>0</v>
      </c>
      <c r="AB267" s="345">
        <v>72</v>
      </c>
      <c r="AC267" s="345">
        <v>7</v>
      </c>
      <c r="AD267" s="349">
        <v>31419</v>
      </c>
      <c r="AE267" s="349">
        <v>335</v>
      </c>
      <c r="AF267" s="349">
        <v>73</v>
      </c>
      <c r="AG267" s="349">
        <v>408</v>
      </c>
    </row>
    <row r="268" spans="1:33" x14ac:dyDescent="0.2">
      <c r="A268" s="344" t="s">
        <v>590</v>
      </c>
      <c r="B268" s="350" t="s">
        <v>591</v>
      </c>
      <c r="C268" s="346">
        <v>3003</v>
      </c>
      <c r="D268" s="346">
        <v>1</v>
      </c>
      <c r="E268" s="346">
        <v>127</v>
      </c>
      <c r="F268" s="346">
        <v>307</v>
      </c>
      <c r="G268" s="346">
        <v>261</v>
      </c>
      <c r="H268" s="346">
        <v>3699</v>
      </c>
      <c r="I268" s="345">
        <v>3438</v>
      </c>
      <c r="J268" s="345">
        <v>281</v>
      </c>
      <c r="K268" s="347">
        <v>114.24</v>
      </c>
      <c r="L268" s="347">
        <v>110.16</v>
      </c>
      <c r="M268" s="347">
        <v>5.0999999999999996</v>
      </c>
      <c r="N268" s="347">
        <v>116.47</v>
      </c>
      <c r="O268" s="348">
        <v>2978</v>
      </c>
      <c r="P268" s="345">
        <v>101.97</v>
      </c>
      <c r="Q268" s="345">
        <v>90.74</v>
      </c>
      <c r="R268" s="345">
        <v>25.46</v>
      </c>
      <c r="S268" s="345">
        <v>127.17</v>
      </c>
      <c r="T268" s="345">
        <v>394</v>
      </c>
      <c r="U268" s="345">
        <v>229.93</v>
      </c>
      <c r="V268" s="345">
        <v>20</v>
      </c>
      <c r="W268" s="345">
        <v>0</v>
      </c>
      <c r="X268" s="345">
        <v>0</v>
      </c>
      <c r="Y268" s="345">
        <v>3</v>
      </c>
      <c r="Z268" s="345">
        <v>4</v>
      </c>
      <c r="AA268" s="345">
        <v>0</v>
      </c>
      <c r="AB268" s="345">
        <v>25</v>
      </c>
      <c r="AC268" s="345">
        <v>15</v>
      </c>
      <c r="AD268" s="349">
        <v>3003</v>
      </c>
      <c r="AE268" s="349">
        <v>11</v>
      </c>
      <c r="AF268" s="349">
        <v>4</v>
      </c>
      <c r="AG268" s="349">
        <v>15</v>
      </c>
    </row>
    <row r="269" spans="1:33" x14ac:dyDescent="0.2">
      <c r="A269" s="344" t="s">
        <v>592</v>
      </c>
      <c r="B269" s="350" t="s">
        <v>593</v>
      </c>
      <c r="C269" s="346">
        <v>4662</v>
      </c>
      <c r="D269" s="346">
        <v>8</v>
      </c>
      <c r="E269" s="346">
        <v>368</v>
      </c>
      <c r="F269" s="346">
        <v>852</v>
      </c>
      <c r="G269" s="346">
        <v>587</v>
      </c>
      <c r="H269" s="346">
        <v>6477</v>
      </c>
      <c r="I269" s="345">
        <v>5890</v>
      </c>
      <c r="J269" s="345">
        <v>21</v>
      </c>
      <c r="K269" s="347">
        <v>119.7</v>
      </c>
      <c r="L269" s="347">
        <v>119.45</v>
      </c>
      <c r="M269" s="347">
        <v>7.68</v>
      </c>
      <c r="N269" s="347">
        <v>127</v>
      </c>
      <c r="O269" s="348">
        <v>4045</v>
      </c>
      <c r="P269" s="345">
        <v>112.55</v>
      </c>
      <c r="Q269" s="345">
        <v>103.73</v>
      </c>
      <c r="R269" s="345">
        <v>44.34</v>
      </c>
      <c r="S269" s="345">
        <v>154.57</v>
      </c>
      <c r="T269" s="345">
        <v>728</v>
      </c>
      <c r="U269" s="345">
        <v>180.85</v>
      </c>
      <c r="V269" s="345">
        <v>365</v>
      </c>
      <c r="W269" s="345">
        <v>220.29</v>
      </c>
      <c r="X269" s="345">
        <v>87</v>
      </c>
      <c r="Y269" s="345">
        <v>0</v>
      </c>
      <c r="Z269" s="345">
        <v>8</v>
      </c>
      <c r="AA269" s="345">
        <v>3</v>
      </c>
      <c r="AB269" s="345">
        <v>18</v>
      </c>
      <c r="AC269" s="345">
        <v>17</v>
      </c>
      <c r="AD269" s="349">
        <v>4464</v>
      </c>
      <c r="AE269" s="349">
        <v>21</v>
      </c>
      <c r="AF269" s="349">
        <v>17</v>
      </c>
      <c r="AG269" s="349">
        <v>38</v>
      </c>
    </row>
    <row r="270" spans="1:33" x14ac:dyDescent="0.2">
      <c r="A270" s="344" t="s">
        <v>594</v>
      </c>
      <c r="B270" s="350" t="s">
        <v>595</v>
      </c>
      <c r="C270" s="346">
        <v>7567</v>
      </c>
      <c r="D270" s="346">
        <v>0</v>
      </c>
      <c r="E270" s="346">
        <v>236</v>
      </c>
      <c r="F270" s="346">
        <v>437</v>
      </c>
      <c r="G270" s="346">
        <v>569</v>
      </c>
      <c r="H270" s="346">
        <v>8809</v>
      </c>
      <c r="I270" s="345">
        <v>8240</v>
      </c>
      <c r="J270" s="345">
        <v>2</v>
      </c>
      <c r="K270" s="347">
        <v>99.18</v>
      </c>
      <c r="L270" s="347">
        <v>98.82</v>
      </c>
      <c r="M270" s="347">
        <v>5.21</v>
      </c>
      <c r="N270" s="347">
        <v>101.61</v>
      </c>
      <c r="O270" s="348">
        <v>6510</v>
      </c>
      <c r="P270" s="345">
        <v>90.32</v>
      </c>
      <c r="Q270" s="345">
        <v>86.04</v>
      </c>
      <c r="R270" s="345">
        <v>45.89</v>
      </c>
      <c r="S270" s="345">
        <v>135.6</v>
      </c>
      <c r="T270" s="345">
        <v>602</v>
      </c>
      <c r="U270" s="345">
        <v>127.29</v>
      </c>
      <c r="V270" s="345">
        <v>944</v>
      </c>
      <c r="W270" s="345">
        <v>176.33</v>
      </c>
      <c r="X270" s="345">
        <v>1</v>
      </c>
      <c r="Y270" s="345">
        <v>14</v>
      </c>
      <c r="Z270" s="345">
        <v>4</v>
      </c>
      <c r="AA270" s="345">
        <v>0</v>
      </c>
      <c r="AB270" s="345">
        <v>54</v>
      </c>
      <c r="AC270" s="345">
        <v>15</v>
      </c>
      <c r="AD270" s="349">
        <v>7500</v>
      </c>
      <c r="AE270" s="349">
        <v>43</v>
      </c>
      <c r="AF270" s="349">
        <v>31</v>
      </c>
      <c r="AG270" s="349">
        <v>74</v>
      </c>
    </row>
    <row r="271" spans="1:33" x14ac:dyDescent="0.2">
      <c r="A271" s="344" t="s">
        <v>596</v>
      </c>
      <c r="B271" s="350" t="s">
        <v>597</v>
      </c>
      <c r="C271" s="346">
        <v>3630</v>
      </c>
      <c r="D271" s="346">
        <v>0</v>
      </c>
      <c r="E271" s="346">
        <v>528</v>
      </c>
      <c r="F271" s="346">
        <v>919</v>
      </c>
      <c r="G271" s="346">
        <v>902</v>
      </c>
      <c r="H271" s="346">
        <v>5979</v>
      </c>
      <c r="I271" s="345">
        <v>5077</v>
      </c>
      <c r="J271" s="345">
        <v>1</v>
      </c>
      <c r="K271" s="347">
        <v>98.63</v>
      </c>
      <c r="L271" s="347">
        <v>96.61</v>
      </c>
      <c r="M271" s="347">
        <v>7.34</v>
      </c>
      <c r="N271" s="347">
        <v>104.33</v>
      </c>
      <c r="O271" s="348">
        <v>3013</v>
      </c>
      <c r="P271" s="345">
        <v>84.37</v>
      </c>
      <c r="Q271" s="345">
        <v>81.14</v>
      </c>
      <c r="R271" s="345">
        <v>42.62</v>
      </c>
      <c r="S271" s="345">
        <v>124.76</v>
      </c>
      <c r="T271" s="345">
        <v>1320</v>
      </c>
      <c r="U271" s="345">
        <v>123.53</v>
      </c>
      <c r="V271" s="345">
        <v>378</v>
      </c>
      <c r="W271" s="345">
        <v>173.11</v>
      </c>
      <c r="X271" s="345">
        <v>78</v>
      </c>
      <c r="Y271" s="345">
        <v>0</v>
      </c>
      <c r="Z271" s="345">
        <v>2</v>
      </c>
      <c r="AA271" s="345">
        <v>0</v>
      </c>
      <c r="AB271" s="345">
        <v>58</v>
      </c>
      <c r="AC271" s="345">
        <v>36</v>
      </c>
      <c r="AD271" s="349">
        <v>3513</v>
      </c>
      <c r="AE271" s="349">
        <v>11</v>
      </c>
      <c r="AF271" s="349">
        <v>3</v>
      </c>
      <c r="AG271" s="349">
        <v>14</v>
      </c>
    </row>
    <row r="272" spans="1:33" x14ac:dyDescent="0.2">
      <c r="A272" s="344" t="s">
        <v>598</v>
      </c>
      <c r="B272" s="350" t="s">
        <v>599</v>
      </c>
      <c r="C272" s="346">
        <v>20105</v>
      </c>
      <c r="D272" s="346">
        <v>0</v>
      </c>
      <c r="E272" s="346">
        <v>516</v>
      </c>
      <c r="F272" s="346">
        <v>1600</v>
      </c>
      <c r="G272" s="346">
        <v>182</v>
      </c>
      <c r="H272" s="346">
        <v>22403</v>
      </c>
      <c r="I272" s="345">
        <v>22221</v>
      </c>
      <c r="J272" s="345">
        <v>55</v>
      </c>
      <c r="K272" s="347">
        <v>83.21</v>
      </c>
      <c r="L272" s="347">
        <v>80.06</v>
      </c>
      <c r="M272" s="347">
        <v>3.48</v>
      </c>
      <c r="N272" s="347">
        <v>86.37</v>
      </c>
      <c r="O272" s="348">
        <v>17284</v>
      </c>
      <c r="P272" s="345">
        <v>83.41</v>
      </c>
      <c r="Q272" s="345">
        <v>72.42</v>
      </c>
      <c r="R272" s="345">
        <v>33.56</v>
      </c>
      <c r="S272" s="345">
        <v>113.83</v>
      </c>
      <c r="T272" s="345">
        <v>1979</v>
      </c>
      <c r="U272" s="345">
        <v>103.76</v>
      </c>
      <c r="V272" s="345">
        <v>1760</v>
      </c>
      <c r="W272" s="345">
        <v>108.25</v>
      </c>
      <c r="X272" s="345">
        <v>22</v>
      </c>
      <c r="Y272" s="345">
        <v>10</v>
      </c>
      <c r="Z272" s="345">
        <v>63</v>
      </c>
      <c r="AA272" s="345">
        <v>0</v>
      </c>
      <c r="AB272" s="345">
        <v>0</v>
      </c>
      <c r="AC272" s="345">
        <v>3</v>
      </c>
      <c r="AD272" s="349">
        <v>19074</v>
      </c>
      <c r="AE272" s="349">
        <v>83</v>
      </c>
      <c r="AF272" s="349">
        <v>68</v>
      </c>
      <c r="AG272" s="349">
        <v>151</v>
      </c>
    </row>
    <row r="273" spans="1:33" x14ac:dyDescent="0.2">
      <c r="A273" s="344" t="s">
        <v>600</v>
      </c>
      <c r="B273" s="350" t="s">
        <v>601</v>
      </c>
      <c r="C273" s="346">
        <v>1412</v>
      </c>
      <c r="D273" s="346">
        <v>0</v>
      </c>
      <c r="E273" s="346">
        <v>124</v>
      </c>
      <c r="F273" s="346">
        <v>109</v>
      </c>
      <c r="G273" s="346">
        <v>127</v>
      </c>
      <c r="H273" s="346">
        <v>1772</v>
      </c>
      <c r="I273" s="345">
        <v>1645</v>
      </c>
      <c r="J273" s="345">
        <v>0</v>
      </c>
      <c r="K273" s="347">
        <v>89.31</v>
      </c>
      <c r="L273" s="347">
        <v>87.83</v>
      </c>
      <c r="M273" s="347">
        <v>5.1100000000000003</v>
      </c>
      <c r="N273" s="347">
        <v>93.44</v>
      </c>
      <c r="O273" s="348">
        <v>1235</v>
      </c>
      <c r="P273" s="345">
        <v>83.76</v>
      </c>
      <c r="Q273" s="345">
        <v>79.73</v>
      </c>
      <c r="R273" s="345">
        <v>30.87</v>
      </c>
      <c r="S273" s="345">
        <v>113.56</v>
      </c>
      <c r="T273" s="345">
        <v>201</v>
      </c>
      <c r="U273" s="345">
        <v>107.64</v>
      </c>
      <c r="V273" s="345">
        <v>159</v>
      </c>
      <c r="W273" s="345">
        <v>0</v>
      </c>
      <c r="X273" s="345">
        <v>0</v>
      </c>
      <c r="Y273" s="345">
        <v>0</v>
      </c>
      <c r="Z273" s="345">
        <v>0</v>
      </c>
      <c r="AA273" s="345">
        <v>0</v>
      </c>
      <c r="AB273" s="345">
        <v>0</v>
      </c>
      <c r="AC273" s="345">
        <v>6</v>
      </c>
      <c r="AD273" s="349">
        <v>1412</v>
      </c>
      <c r="AE273" s="349">
        <v>3</v>
      </c>
      <c r="AF273" s="349">
        <v>4</v>
      </c>
      <c r="AG273" s="349">
        <v>7</v>
      </c>
    </row>
    <row r="274" spans="1:33" x14ac:dyDescent="0.2">
      <c r="A274" s="344" t="s">
        <v>602</v>
      </c>
      <c r="B274" s="350" t="s">
        <v>603</v>
      </c>
      <c r="C274" s="346">
        <v>1036</v>
      </c>
      <c r="D274" s="346">
        <v>0</v>
      </c>
      <c r="E274" s="346">
        <v>115</v>
      </c>
      <c r="F274" s="346">
        <v>70</v>
      </c>
      <c r="G274" s="346">
        <v>213</v>
      </c>
      <c r="H274" s="346">
        <v>1434</v>
      </c>
      <c r="I274" s="345">
        <v>1221</v>
      </c>
      <c r="J274" s="345">
        <v>0</v>
      </c>
      <c r="K274" s="347">
        <v>125.57</v>
      </c>
      <c r="L274" s="347">
        <v>123.64</v>
      </c>
      <c r="M274" s="347">
        <v>6.87</v>
      </c>
      <c r="N274" s="347">
        <v>132.06</v>
      </c>
      <c r="O274" s="348">
        <v>679</v>
      </c>
      <c r="P274" s="345">
        <v>136.22</v>
      </c>
      <c r="Q274" s="345">
        <v>101.56</v>
      </c>
      <c r="R274" s="345">
        <v>52.83</v>
      </c>
      <c r="S274" s="345">
        <v>189.05</v>
      </c>
      <c r="T274" s="345">
        <v>86</v>
      </c>
      <c r="U274" s="345">
        <v>178.51</v>
      </c>
      <c r="V274" s="345">
        <v>256</v>
      </c>
      <c r="W274" s="345">
        <v>131.30000000000001</v>
      </c>
      <c r="X274" s="345">
        <v>7</v>
      </c>
      <c r="Y274" s="345">
        <v>0</v>
      </c>
      <c r="Z274" s="345">
        <v>0</v>
      </c>
      <c r="AA274" s="345">
        <v>0</v>
      </c>
      <c r="AB274" s="345">
        <v>6</v>
      </c>
      <c r="AC274" s="345">
        <v>3</v>
      </c>
      <c r="AD274" s="349">
        <v>990</v>
      </c>
      <c r="AE274" s="349">
        <v>2</v>
      </c>
      <c r="AF274" s="349">
        <v>1</v>
      </c>
      <c r="AG274" s="349">
        <v>3</v>
      </c>
    </row>
    <row r="275" spans="1:33" x14ac:dyDescent="0.2">
      <c r="A275" s="344" t="s">
        <v>604</v>
      </c>
      <c r="B275" s="350" t="s">
        <v>605</v>
      </c>
      <c r="C275" s="346">
        <v>4047</v>
      </c>
      <c r="D275" s="346">
        <v>0</v>
      </c>
      <c r="E275" s="346">
        <v>167</v>
      </c>
      <c r="F275" s="346">
        <v>1394</v>
      </c>
      <c r="G275" s="346">
        <v>580</v>
      </c>
      <c r="H275" s="346">
        <v>6188</v>
      </c>
      <c r="I275" s="345">
        <v>5608</v>
      </c>
      <c r="J275" s="345">
        <v>1</v>
      </c>
      <c r="K275" s="347">
        <v>88.84</v>
      </c>
      <c r="L275" s="347">
        <v>86.36</v>
      </c>
      <c r="M275" s="347">
        <v>3.87</v>
      </c>
      <c r="N275" s="347">
        <v>92.51</v>
      </c>
      <c r="O275" s="348">
        <v>3423</v>
      </c>
      <c r="P275" s="345">
        <v>86.33</v>
      </c>
      <c r="Q275" s="345">
        <v>80.59</v>
      </c>
      <c r="R275" s="345">
        <v>18.55</v>
      </c>
      <c r="S275" s="345">
        <v>104.15</v>
      </c>
      <c r="T275" s="345">
        <v>1284</v>
      </c>
      <c r="U275" s="345">
        <v>126.77</v>
      </c>
      <c r="V275" s="345">
        <v>562</v>
      </c>
      <c r="W275" s="345">
        <v>98.4</v>
      </c>
      <c r="X275" s="345">
        <v>10</v>
      </c>
      <c r="Y275" s="345">
        <v>0</v>
      </c>
      <c r="Z275" s="345">
        <v>13</v>
      </c>
      <c r="AA275" s="345">
        <v>0</v>
      </c>
      <c r="AB275" s="345">
        <v>41</v>
      </c>
      <c r="AC275" s="345">
        <v>2</v>
      </c>
      <c r="AD275" s="349">
        <v>4012</v>
      </c>
      <c r="AE275" s="349">
        <v>7</v>
      </c>
      <c r="AF275" s="349">
        <v>20</v>
      </c>
      <c r="AG275" s="349">
        <v>27</v>
      </c>
    </row>
    <row r="276" spans="1:33" x14ac:dyDescent="0.2">
      <c r="A276" s="344" t="s">
        <v>606</v>
      </c>
      <c r="B276" s="350" t="s">
        <v>607</v>
      </c>
      <c r="C276" s="346">
        <v>11289</v>
      </c>
      <c r="D276" s="346">
        <v>0</v>
      </c>
      <c r="E276" s="346">
        <v>333</v>
      </c>
      <c r="F276" s="346">
        <v>1858</v>
      </c>
      <c r="G276" s="346">
        <v>409</v>
      </c>
      <c r="H276" s="346">
        <v>13889</v>
      </c>
      <c r="I276" s="345">
        <v>13480</v>
      </c>
      <c r="J276" s="345">
        <v>19</v>
      </c>
      <c r="K276" s="347">
        <v>90.93</v>
      </c>
      <c r="L276" s="347">
        <v>87.73</v>
      </c>
      <c r="M276" s="347">
        <v>5.77</v>
      </c>
      <c r="N276" s="347">
        <v>93.11</v>
      </c>
      <c r="O276" s="348">
        <v>10234</v>
      </c>
      <c r="P276" s="345">
        <v>87.7</v>
      </c>
      <c r="Q276" s="345">
        <v>87.1</v>
      </c>
      <c r="R276" s="345">
        <v>37.4</v>
      </c>
      <c r="S276" s="345">
        <v>124.16</v>
      </c>
      <c r="T276" s="345">
        <v>1868</v>
      </c>
      <c r="U276" s="345">
        <v>110.84</v>
      </c>
      <c r="V276" s="345">
        <v>762</v>
      </c>
      <c r="W276" s="345">
        <v>183.44</v>
      </c>
      <c r="X276" s="345">
        <v>208</v>
      </c>
      <c r="Y276" s="345">
        <v>0</v>
      </c>
      <c r="Z276" s="345">
        <v>63</v>
      </c>
      <c r="AA276" s="345">
        <v>134</v>
      </c>
      <c r="AB276" s="345">
        <v>74</v>
      </c>
      <c r="AC276" s="345">
        <v>5</v>
      </c>
      <c r="AD276" s="349">
        <v>11249</v>
      </c>
      <c r="AE276" s="349">
        <v>25</v>
      </c>
      <c r="AF276" s="349">
        <v>204</v>
      </c>
      <c r="AG276" s="349">
        <v>229</v>
      </c>
    </row>
    <row r="277" spans="1:33" x14ac:dyDescent="0.2">
      <c r="A277" s="344" t="s">
        <v>608</v>
      </c>
      <c r="B277" s="350" t="s">
        <v>609</v>
      </c>
      <c r="C277" s="346">
        <v>1904</v>
      </c>
      <c r="D277" s="346">
        <v>0</v>
      </c>
      <c r="E277" s="346">
        <v>237</v>
      </c>
      <c r="F277" s="346">
        <v>547</v>
      </c>
      <c r="G277" s="346">
        <v>78</v>
      </c>
      <c r="H277" s="346">
        <v>2766</v>
      </c>
      <c r="I277" s="345">
        <v>2688</v>
      </c>
      <c r="J277" s="345">
        <v>0</v>
      </c>
      <c r="K277" s="347">
        <v>99.32</v>
      </c>
      <c r="L277" s="347">
        <v>99</v>
      </c>
      <c r="M277" s="347">
        <v>4.16</v>
      </c>
      <c r="N277" s="347">
        <v>102.73</v>
      </c>
      <c r="O277" s="348">
        <v>1683</v>
      </c>
      <c r="P277" s="345">
        <v>91.83</v>
      </c>
      <c r="Q277" s="345">
        <v>85.24</v>
      </c>
      <c r="R277" s="345">
        <v>34.51</v>
      </c>
      <c r="S277" s="345">
        <v>125.9</v>
      </c>
      <c r="T277" s="345">
        <v>765</v>
      </c>
      <c r="U277" s="345">
        <v>122.12</v>
      </c>
      <c r="V277" s="345">
        <v>160</v>
      </c>
      <c r="W277" s="345">
        <v>0</v>
      </c>
      <c r="X277" s="345">
        <v>0</v>
      </c>
      <c r="Y277" s="345">
        <v>2</v>
      </c>
      <c r="Z277" s="345">
        <v>0</v>
      </c>
      <c r="AA277" s="345">
        <v>7</v>
      </c>
      <c r="AB277" s="345">
        <v>1</v>
      </c>
      <c r="AC277" s="345">
        <v>1</v>
      </c>
      <c r="AD277" s="349">
        <v>1892</v>
      </c>
      <c r="AE277" s="349">
        <v>5</v>
      </c>
      <c r="AF277" s="349">
        <v>2</v>
      </c>
      <c r="AG277" s="349">
        <v>7</v>
      </c>
    </row>
    <row r="278" spans="1:33" x14ac:dyDescent="0.2">
      <c r="A278" s="344" t="s">
        <v>610</v>
      </c>
      <c r="B278" s="350" t="s">
        <v>611</v>
      </c>
      <c r="C278" s="346">
        <v>7043</v>
      </c>
      <c r="D278" s="346">
        <v>0</v>
      </c>
      <c r="E278" s="346">
        <v>356</v>
      </c>
      <c r="F278" s="346">
        <v>362</v>
      </c>
      <c r="G278" s="346">
        <v>680</v>
      </c>
      <c r="H278" s="346">
        <v>8441</v>
      </c>
      <c r="I278" s="345">
        <v>7761</v>
      </c>
      <c r="J278" s="345">
        <v>1</v>
      </c>
      <c r="K278" s="347">
        <v>107.95</v>
      </c>
      <c r="L278" s="347">
        <v>107.86</v>
      </c>
      <c r="M278" s="347">
        <v>3.48</v>
      </c>
      <c r="N278" s="347">
        <v>111.03</v>
      </c>
      <c r="O278" s="348">
        <v>6197</v>
      </c>
      <c r="P278" s="345">
        <v>93.45</v>
      </c>
      <c r="Q278" s="345">
        <v>91</v>
      </c>
      <c r="R278" s="345">
        <v>32.869999999999997</v>
      </c>
      <c r="S278" s="345">
        <v>125.9</v>
      </c>
      <c r="T278" s="345">
        <v>555</v>
      </c>
      <c r="U278" s="345">
        <v>141.5</v>
      </c>
      <c r="V278" s="345">
        <v>597</v>
      </c>
      <c r="W278" s="345">
        <v>153.53</v>
      </c>
      <c r="X278" s="345">
        <v>1</v>
      </c>
      <c r="Y278" s="345">
        <v>220</v>
      </c>
      <c r="Z278" s="345">
        <v>12</v>
      </c>
      <c r="AA278" s="345">
        <v>5</v>
      </c>
      <c r="AB278" s="345">
        <v>77</v>
      </c>
      <c r="AC278" s="345">
        <v>11</v>
      </c>
      <c r="AD278" s="349">
        <v>6878</v>
      </c>
      <c r="AE278" s="349">
        <v>20</v>
      </c>
      <c r="AF278" s="349">
        <v>9</v>
      </c>
      <c r="AG278" s="349">
        <v>29</v>
      </c>
    </row>
    <row r="279" spans="1:33" x14ac:dyDescent="0.2">
      <c r="A279" s="344" t="s">
        <v>612</v>
      </c>
      <c r="B279" s="350" t="s">
        <v>613</v>
      </c>
      <c r="C279" s="346">
        <v>4252</v>
      </c>
      <c r="D279" s="346">
        <v>0</v>
      </c>
      <c r="E279" s="346">
        <v>81</v>
      </c>
      <c r="F279" s="346">
        <v>557</v>
      </c>
      <c r="G279" s="346">
        <v>583</v>
      </c>
      <c r="H279" s="346">
        <v>5473</v>
      </c>
      <c r="I279" s="345">
        <v>4890</v>
      </c>
      <c r="J279" s="345">
        <v>0</v>
      </c>
      <c r="K279" s="347">
        <v>96.28</v>
      </c>
      <c r="L279" s="347">
        <v>95.78</v>
      </c>
      <c r="M279" s="347">
        <v>3.94</v>
      </c>
      <c r="N279" s="347">
        <v>98.57</v>
      </c>
      <c r="O279" s="348">
        <v>3831</v>
      </c>
      <c r="P279" s="345">
        <v>87.96</v>
      </c>
      <c r="Q279" s="345">
        <v>84.25</v>
      </c>
      <c r="R279" s="345">
        <v>33.24</v>
      </c>
      <c r="S279" s="345">
        <v>121.15</v>
      </c>
      <c r="T279" s="345">
        <v>624</v>
      </c>
      <c r="U279" s="345">
        <v>131.94999999999999</v>
      </c>
      <c r="V279" s="345">
        <v>412</v>
      </c>
      <c r="W279" s="345">
        <v>154.69999999999999</v>
      </c>
      <c r="X279" s="345">
        <v>4</v>
      </c>
      <c r="Y279" s="345">
        <v>0</v>
      </c>
      <c r="Z279" s="345">
        <v>15</v>
      </c>
      <c r="AA279" s="345">
        <v>1</v>
      </c>
      <c r="AB279" s="345">
        <v>113</v>
      </c>
      <c r="AC279" s="345">
        <v>9</v>
      </c>
      <c r="AD279" s="349">
        <v>4246</v>
      </c>
      <c r="AE279" s="349">
        <v>27</v>
      </c>
      <c r="AF279" s="349">
        <v>5</v>
      </c>
      <c r="AG279" s="349">
        <v>32</v>
      </c>
    </row>
    <row r="280" spans="1:33" x14ac:dyDescent="0.2">
      <c r="A280" s="344" t="s">
        <v>614</v>
      </c>
      <c r="B280" s="350" t="s">
        <v>615</v>
      </c>
      <c r="C280" s="346">
        <v>3974</v>
      </c>
      <c r="D280" s="346">
        <v>0</v>
      </c>
      <c r="E280" s="346">
        <v>112</v>
      </c>
      <c r="F280" s="346">
        <v>682</v>
      </c>
      <c r="G280" s="346">
        <v>134</v>
      </c>
      <c r="H280" s="346">
        <v>4902</v>
      </c>
      <c r="I280" s="345">
        <v>4768</v>
      </c>
      <c r="J280" s="345">
        <v>31</v>
      </c>
      <c r="K280" s="347">
        <v>92.57</v>
      </c>
      <c r="L280" s="347">
        <v>90.1</v>
      </c>
      <c r="M280" s="347">
        <v>7.15</v>
      </c>
      <c r="N280" s="347">
        <v>97.64</v>
      </c>
      <c r="O280" s="348">
        <v>3697</v>
      </c>
      <c r="P280" s="345">
        <v>94.52</v>
      </c>
      <c r="Q280" s="345">
        <v>82.03</v>
      </c>
      <c r="R280" s="345">
        <v>35.07</v>
      </c>
      <c r="S280" s="345">
        <v>129.18</v>
      </c>
      <c r="T280" s="345">
        <v>776</v>
      </c>
      <c r="U280" s="345">
        <v>119.84</v>
      </c>
      <c r="V280" s="345">
        <v>238</v>
      </c>
      <c r="W280" s="345">
        <v>0</v>
      </c>
      <c r="X280" s="345">
        <v>0</v>
      </c>
      <c r="Y280" s="345">
        <v>0</v>
      </c>
      <c r="Z280" s="345">
        <v>5</v>
      </c>
      <c r="AA280" s="345">
        <v>9</v>
      </c>
      <c r="AB280" s="345">
        <v>11</v>
      </c>
      <c r="AC280" s="345">
        <v>5</v>
      </c>
      <c r="AD280" s="349">
        <v>3974</v>
      </c>
      <c r="AE280" s="349">
        <v>15</v>
      </c>
      <c r="AF280" s="349">
        <v>33</v>
      </c>
      <c r="AG280" s="349">
        <v>48</v>
      </c>
    </row>
    <row r="281" spans="1:33" x14ac:dyDescent="0.2">
      <c r="A281" s="344" t="s">
        <v>616</v>
      </c>
      <c r="B281" s="350" t="s">
        <v>617</v>
      </c>
      <c r="C281" s="346">
        <v>4599</v>
      </c>
      <c r="D281" s="346">
        <v>46</v>
      </c>
      <c r="E281" s="346">
        <v>77</v>
      </c>
      <c r="F281" s="346">
        <v>885</v>
      </c>
      <c r="G281" s="346">
        <v>184</v>
      </c>
      <c r="H281" s="346">
        <v>5791</v>
      </c>
      <c r="I281" s="345">
        <v>5607</v>
      </c>
      <c r="J281" s="345">
        <v>88</v>
      </c>
      <c r="K281" s="347">
        <v>114.39</v>
      </c>
      <c r="L281" s="347">
        <v>118.68</v>
      </c>
      <c r="M281" s="347">
        <v>6.01</v>
      </c>
      <c r="N281" s="347">
        <v>117.03</v>
      </c>
      <c r="O281" s="348">
        <v>4363</v>
      </c>
      <c r="P281" s="345">
        <v>100.53</v>
      </c>
      <c r="Q281" s="345">
        <v>98.27</v>
      </c>
      <c r="R281" s="345">
        <v>18.22</v>
      </c>
      <c r="S281" s="345">
        <v>117.81</v>
      </c>
      <c r="T281" s="345">
        <v>904</v>
      </c>
      <c r="U281" s="345">
        <v>162.12</v>
      </c>
      <c r="V281" s="345">
        <v>163</v>
      </c>
      <c r="W281" s="345">
        <v>0</v>
      </c>
      <c r="X281" s="345">
        <v>0</v>
      </c>
      <c r="Y281" s="345">
        <v>0</v>
      </c>
      <c r="Z281" s="345">
        <v>8</v>
      </c>
      <c r="AA281" s="345">
        <v>0</v>
      </c>
      <c r="AB281" s="345">
        <v>0</v>
      </c>
      <c r="AC281" s="345">
        <v>1</v>
      </c>
      <c r="AD281" s="349">
        <v>4589</v>
      </c>
      <c r="AE281" s="349">
        <v>7</v>
      </c>
      <c r="AF281" s="349">
        <v>38</v>
      </c>
      <c r="AG281" s="349">
        <v>45</v>
      </c>
    </row>
    <row r="282" spans="1:33" x14ac:dyDescent="0.2">
      <c r="A282" s="344" t="s">
        <v>618</v>
      </c>
      <c r="B282" s="350" t="s">
        <v>619</v>
      </c>
      <c r="C282" s="346">
        <v>1647</v>
      </c>
      <c r="D282" s="346">
        <v>0</v>
      </c>
      <c r="E282" s="346">
        <v>72</v>
      </c>
      <c r="F282" s="346">
        <v>91</v>
      </c>
      <c r="G282" s="346">
        <v>294</v>
      </c>
      <c r="H282" s="346">
        <v>2104</v>
      </c>
      <c r="I282" s="345">
        <v>1810</v>
      </c>
      <c r="J282" s="345">
        <v>1</v>
      </c>
      <c r="K282" s="347">
        <v>105.6</v>
      </c>
      <c r="L282" s="347">
        <v>105.35</v>
      </c>
      <c r="M282" s="347">
        <v>7.39</v>
      </c>
      <c r="N282" s="347">
        <v>110.52</v>
      </c>
      <c r="O282" s="348">
        <v>1235</v>
      </c>
      <c r="P282" s="345">
        <v>110.93</v>
      </c>
      <c r="Q282" s="345">
        <v>106.33</v>
      </c>
      <c r="R282" s="345">
        <v>58.92</v>
      </c>
      <c r="S282" s="345">
        <v>159.96</v>
      </c>
      <c r="T282" s="345">
        <v>131</v>
      </c>
      <c r="U282" s="345">
        <v>151.80000000000001</v>
      </c>
      <c r="V282" s="345">
        <v>344</v>
      </c>
      <c r="W282" s="345">
        <v>0</v>
      </c>
      <c r="X282" s="345">
        <v>0</v>
      </c>
      <c r="Y282" s="345">
        <v>0</v>
      </c>
      <c r="Z282" s="345">
        <v>1</v>
      </c>
      <c r="AA282" s="345">
        <v>0</v>
      </c>
      <c r="AB282" s="345">
        <v>24</v>
      </c>
      <c r="AC282" s="345">
        <v>10</v>
      </c>
      <c r="AD282" s="349">
        <v>1630</v>
      </c>
      <c r="AE282" s="349">
        <v>23</v>
      </c>
      <c r="AF282" s="349">
        <v>8</v>
      </c>
      <c r="AG282" s="349">
        <v>31</v>
      </c>
    </row>
    <row r="283" spans="1:33" x14ac:dyDescent="0.2">
      <c r="A283" s="344" t="s">
        <v>620</v>
      </c>
      <c r="B283" s="350" t="s">
        <v>621</v>
      </c>
      <c r="C283" s="346">
        <v>7546</v>
      </c>
      <c r="D283" s="346">
        <v>16</v>
      </c>
      <c r="E283" s="346">
        <v>41</v>
      </c>
      <c r="F283" s="346">
        <v>535</v>
      </c>
      <c r="G283" s="346">
        <v>923</v>
      </c>
      <c r="H283" s="346">
        <v>9061</v>
      </c>
      <c r="I283" s="345">
        <v>8138</v>
      </c>
      <c r="J283" s="345">
        <v>1</v>
      </c>
      <c r="K283" s="347">
        <v>115.17</v>
      </c>
      <c r="L283" s="347">
        <v>115.16</v>
      </c>
      <c r="M283" s="347">
        <v>1.1000000000000001</v>
      </c>
      <c r="N283" s="347">
        <v>116.26</v>
      </c>
      <c r="O283" s="348">
        <v>6430</v>
      </c>
      <c r="P283" s="345">
        <v>95.83</v>
      </c>
      <c r="Q283" s="345">
        <v>93.89</v>
      </c>
      <c r="R283" s="345">
        <v>22.58</v>
      </c>
      <c r="S283" s="345">
        <v>118.28</v>
      </c>
      <c r="T283" s="345">
        <v>552</v>
      </c>
      <c r="U283" s="345">
        <v>142.05000000000001</v>
      </c>
      <c r="V283" s="345">
        <v>1033</v>
      </c>
      <c r="W283" s="345">
        <v>0</v>
      </c>
      <c r="X283" s="345">
        <v>0</v>
      </c>
      <c r="Y283" s="345">
        <v>0</v>
      </c>
      <c r="Z283" s="345">
        <v>7</v>
      </c>
      <c r="AA283" s="345">
        <v>0</v>
      </c>
      <c r="AB283" s="345">
        <v>62</v>
      </c>
      <c r="AC283" s="345">
        <v>16</v>
      </c>
      <c r="AD283" s="349">
        <v>7538</v>
      </c>
      <c r="AE283" s="349">
        <v>21</v>
      </c>
      <c r="AF283" s="349">
        <v>15</v>
      </c>
      <c r="AG283" s="349">
        <v>36</v>
      </c>
    </row>
    <row r="284" spans="1:33" x14ac:dyDescent="0.2">
      <c r="A284" s="344" t="s">
        <v>622</v>
      </c>
      <c r="B284" s="350" t="s">
        <v>623</v>
      </c>
      <c r="C284" s="346">
        <v>4151</v>
      </c>
      <c r="D284" s="346">
        <v>43</v>
      </c>
      <c r="E284" s="346">
        <v>263</v>
      </c>
      <c r="F284" s="346">
        <v>941</v>
      </c>
      <c r="G284" s="346">
        <v>522</v>
      </c>
      <c r="H284" s="346">
        <v>5920</v>
      </c>
      <c r="I284" s="345">
        <v>5398</v>
      </c>
      <c r="J284" s="345">
        <v>11</v>
      </c>
      <c r="K284" s="347">
        <v>89.78</v>
      </c>
      <c r="L284" s="347">
        <v>84.9</v>
      </c>
      <c r="M284" s="347">
        <v>7.03</v>
      </c>
      <c r="N284" s="347">
        <v>95.56</v>
      </c>
      <c r="O284" s="348">
        <v>3756</v>
      </c>
      <c r="P284" s="345">
        <v>86.3</v>
      </c>
      <c r="Q284" s="345">
        <v>76.989999999999995</v>
      </c>
      <c r="R284" s="345">
        <v>44.61</v>
      </c>
      <c r="S284" s="345">
        <v>127.93</v>
      </c>
      <c r="T284" s="345">
        <v>913</v>
      </c>
      <c r="U284" s="345">
        <v>114.95</v>
      </c>
      <c r="V284" s="345">
        <v>411</v>
      </c>
      <c r="W284" s="345">
        <v>153.47</v>
      </c>
      <c r="X284" s="345">
        <v>1</v>
      </c>
      <c r="Y284" s="345">
        <v>0</v>
      </c>
      <c r="Z284" s="345">
        <v>13</v>
      </c>
      <c r="AA284" s="345">
        <v>0</v>
      </c>
      <c r="AB284" s="345">
        <v>13</v>
      </c>
      <c r="AC284" s="345">
        <v>10</v>
      </c>
      <c r="AD284" s="349">
        <v>4144</v>
      </c>
      <c r="AE284" s="349">
        <v>16</v>
      </c>
      <c r="AF284" s="349">
        <v>10</v>
      </c>
      <c r="AG284" s="349">
        <v>26</v>
      </c>
    </row>
    <row r="285" spans="1:33" x14ac:dyDescent="0.2">
      <c r="A285" s="344" t="s">
        <v>624</v>
      </c>
      <c r="B285" s="350" t="s">
        <v>625</v>
      </c>
      <c r="C285" s="346">
        <v>2420</v>
      </c>
      <c r="D285" s="346">
        <v>0</v>
      </c>
      <c r="E285" s="346">
        <v>13</v>
      </c>
      <c r="F285" s="346">
        <v>345</v>
      </c>
      <c r="G285" s="346">
        <v>191</v>
      </c>
      <c r="H285" s="346">
        <v>2969</v>
      </c>
      <c r="I285" s="345">
        <v>2778</v>
      </c>
      <c r="J285" s="345">
        <v>7</v>
      </c>
      <c r="K285" s="347">
        <v>84.08</v>
      </c>
      <c r="L285" s="347">
        <v>81.349999999999994</v>
      </c>
      <c r="M285" s="347">
        <v>5.04</v>
      </c>
      <c r="N285" s="347">
        <v>86.75</v>
      </c>
      <c r="O285" s="348">
        <v>2310</v>
      </c>
      <c r="P285" s="345">
        <v>68.86</v>
      </c>
      <c r="Q285" s="345">
        <v>66.180000000000007</v>
      </c>
      <c r="R285" s="345">
        <v>29.29</v>
      </c>
      <c r="S285" s="345">
        <v>90.53</v>
      </c>
      <c r="T285" s="345">
        <v>296</v>
      </c>
      <c r="U285" s="345">
        <v>108.4</v>
      </c>
      <c r="V285" s="345">
        <v>90</v>
      </c>
      <c r="W285" s="345">
        <v>147.85</v>
      </c>
      <c r="X285" s="345">
        <v>41</v>
      </c>
      <c r="Y285" s="345">
        <v>43</v>
      </c>
      <c r="Z285" s="345">
        <v>0</v>
      </c>
      <c r="AA285" s="345">
        <v>0</v>
      </c>
      <c r="AB285" s="345">
        <v>1</v>
      </c>
      <c r="AC285" s="345">
        <v>1</v>
      </c>
      <c r="AD285" s="349">
        <v>2412</v>
      </c>
      <c r="AE285" s="349">
        <v>5</v>
      </c>
      <c r="AF285" s="349">
        <v>2</v>
      </c>
      <c r="AG285" s="349">
        <v>7</v>
      </c>
    </row>
    <row r="286" spans="1:33" x14ac:dyDescent="0.2">
      <c r="A286" s="344" t="s">
        <v>626</v>
      </c>
      <c r="B286" s="350" t="s">
        <v>627</v>
      </c>
      <c r="C286" s="346">
        <v>29070</v>
      </c>
      <c r="D286" s="346">
        <v>102</v>
      </c>
      <c r="E286" s="346">
        <v>1435</v>
      </c>
      <c r="F286" s="346">
        <v>886</v>
      </c>
      <c r="G286" s="346">
        <v>2988</v>
      </c>
      <c r="H286" s="346">
        <v>34481</v>
      </c>
      <c r="I286" s="345">
        <v>31493</v>
      </c>
      <c r="J286" s="345">
        <v>104</v>
      </c>
      <c r="K286" s="347">
        <v>125.85</v>
      </c>
      <c r="L286" s="347">
        <v>124.06</v>
      </c>
      <c r="M286" s="347">
        <v>13.5</v>
      </c>
      <c r="N286" s="347">
        <v>138.38999999999999</v>
      </c>
      <c r="O286" s="348">
        <v>25608</v>
      </c>
      <c r="P286" s="345">
        <v>112.06</v>
      </c>
      <c r="Q286" s="345">
        <v>111.81</v>
      </c>
      <c r="R286" s="345">
        <v>48.4</v>
      </c>
      <c r="S286" s="345">
        <v>158.49</v>
      </c>
      <c r="T286" s="345">
        <v>1885</v>
      </c>
      <c r="U286" s="345">
        <v>204.26</v>
      </c>
      <c r="V286" s="345">
        <v>1777</v>
      </c>
      <c r="W286" s="345">
        <v>198.29</v>
      </c>
      <c r="X286" s="345">
        <v>119</v>
      </c>
      <c r="Y286" s="345">
        <v>0</v>
      </c>
      <c r="Z286" s="345">
        <v>71</v>
      </c>
      <c r="AA286" s="345">
        <v>116</v>
      </c>
      <c r="AB286" s="345">
        <v>389</v>
      </c>
      <c r="AC286" s="345">
        <v>144</v>
      </c>
      <c r="AD286" s="349">
        <v>27864</v>
      </c>
      <c r="AE286" s="349">
        <v>173</v>
      </c>
      <c r="AF286" s="349">
        <v>248</v>
      </c>
      <c r="AG286" s="349">
        <v>421</v>
      </c>
    </row>
    <row r="287" spans="1:33" x14ac:dyDescent="0.2">
      <c r="A287" s="344" t="s">
        <v>628</v>
      </c>
      <c r="B287" s="350" t="s">
        <v>629</v>
      </c>
      <c r="C287" s="346">
        <v>11744</v>
      </c>
      <c r="D287" s="346">
        <v>4</v>
      </c>
      <c r="E287" s="346">
        <v>430</v>
      </c>
      <c r="F287" s="346">
        <v>3349</v>
      </c>
      <c r="G287" s="346">
        <v>568</v>
      </c>
      <c r="H287" s="346">
        <v>16095</v>
      </c>
      <c r="I287" s="345">
        <v>15527</v>
      </c>
      <c r="J287" s="345">
        <v>9</v>
      </c>
      <c r="K287" s="347">
        <v>89.19</v>
      </c>
      <c r="L287" s="347">
        <v>90.53</v>
      </c>
      <c r="M287" s="347">
        <v>4.29</v>
      </c>
      <c r="N287" s="347">
        <v>93.12</v>
      </c>
      <c r="O287" s="348">
        <v>9925</v>
      </c>
      <c r="P287" s="345">
        <v>89.28</v>
      </c>
      <c r="Q287" s="345">
        <v>88.39</v>
      </c>
      <c r="R287" s="345">
        <v>21.19</v>
      </c>
      <c r="S287" s="345">
        <v>110.46</v>
      </c>
      <c r="T287" s="345">
        <v>3642</v>
      </c>
      <c r="U287" s="345">
        <v>121.05</v>
      </c>
      <c r="V287" s="345">
        <v>1706</v>
      </c>
      <c r="W287" s="345">
        <v>160</v>
      </c>
      <c r="X287" s="345">
        <v>74</v>
      </c>
      <c r="Y287" s="345">
        <v>0</v>
      </c>
      <c r="Z287" s="345">
        <v>59</v>
      </c>
      <c r="AA287" s="345">
        <v>0</v>
      </c>
      <c r="AB287" s="345">
        <v>29</v>
      </c>
      <c r="AC287" s="345">
        <v>22</v>
      </c>
      <c r="AD287" s="349">
        <v>11668</v>
      </c>
      <c r="AE287" s="349">
        <v>57</v>
      </c>
      <c r="AF287" s="349">
        <v>34</v>
      </c>
      <c r="AG287" s="349">
        <v>91</v>
      </c>
    </row>
    <row r="288" spans="1:33" x14ac:dyDescent="0.2">
      <c r="A288" s="344" t="s">
        <v>630</v>
      </c>
      <c r="B288" s="350" t="s">
        <v>631</v>
      </c>
      <c r="C288" s="346">
        <v>6211</v>
      </c>
      <c r="D288" s="346">
        <v>0</v>
      </c>
      <c r="E288" s="346">
        <v>209</v>
      </c>
      <c r="F288" s="346">
        <v>834</v>
      </c>
      <c r="G288" s="346">
        <v>416</v>
      </c>
      <c r="H288" s="346">
        <v>7670</v>
      </c>
      <c r="I288" s="345">
        <v>7254</v>
      </c>
      <c r="J288" s="345">
        <v>1</v>
      </c>
      <c r="K288" s="347">
        <v>112</v>
      </c>
      <c r="L288" s="347">
        <v>107.42</v>
      </c>
      <c r="M288" s="347">
        <v>4.6500000000000004</v>
      </c>
      <c r="N288" s="347">
        <v>115.69</v>
      </c>
      <c r="O288" s="348">
        <v>5525</v>
      </c>
      <c r="P288" s="345">
        <v>100.21</v>
      </c>
      <c r="Q288" s="345">
        <v>91.79</v>
      </c>
      <c r="R288" s="345">
        <v>23.56</v>
      </c>
      <c r="S288" s="345">
        <v>122.72</v>
      </c>
      <c r="T288" s="345">
        <v>719</v>
      </c>
      <c r="U288" s="345">
        <v>155.36000000000001</v>
      </c>
      <c r="V288" s="345">
        <v>511</v>
      </c>
      <c r="W288" s="345">
        <v>133.58000000000001</v>
      </c>
      <c r="X288" s="345">
        <v>111</v>
      </c>
      <c r="Y288" s="345">
        <v>0</v>
      </c>
      <c r="Z288" s="345">
        <v>2</v>
      </c>
      <c r="AA288" s="345">
        <v>2</v>
      </c>
      <c r="AB288" s="345">
        <v>29</v>
      </c>
      <c r="AC288" s="345">
        <v>9</v>
      </c>
      <c r="AD288" s="349">
        <v>6056</v>
      </c>
      <c r="AE288" s="349">
        <v>25</v>
      </c>
      <c r="AF288" s="349">
        <v>23</v>
      </c>
      <c r="AG288" s="349">
        <v>48</v>
      </c>
    </row>
    <row r="289" spans="1:33" x14ac:dyDescent="0.2">
      <c r="A289" s="344" t="s">
        <v>632</v>
      </c>
      <c r="B289" s="350" t="s">
        <v>633</v>
      </c>
      <c r="C289" s="346">
        <v>1430</v>
      </c>
      <c r="D289" s="346">
        <v>2</v>
      </c>
      <c r="E289" s="346">
        <v>55</v>
      </c>
      <c r="F289" s="346">
        <v>213</v>
      </c>
      <c r="G289" s="346">
        <v>378</v>
      </c>
      <c r="H289" s="346">
        <v>2078</v>
      </c>
      <c r="I289" s="345">
        <v>1700</v>
      </c>
      <c r="J289" s="345">
        <v>1</v>
      </c>
      <c r="K289" s="347">
        <v>109.12</v>
      </c>
      <c r="L289" s="347">
        <v>109.2</v>
      </c>
      <c r="M289" s="347">
        <v>6.19</v>
      </c>
      <c r="N289" s="347">
        <v>113.33</v>
      </c>
      <c r="O289" s="348">
        <v>1009</v>
      </c>
      <c r="P289" s="345">
        <v>98.43</v>
      </c>
      <c r="Q289" s="345">
        <v>95.64</v>
      </c>
      <c r="R289" s="345">
        <v>57.67</v>
      </c>
      <c r="S289" s="345">
        <v>155.87</v>
      </c>
      <c r="T289" s="345">
        <v>253</v>
      </c>
      <c r="U289" s="345">
        <v>151.87</v>
      </c>
      <c r="V289" s="345">
        <v>391</v>
      </c>
      <c r="W289" s="345">
        <v>0</v>
      </c>
      <c r="X289" s="345">
        <v>0</v>
      </c>
      <c r="Y289" s="345">
        <v>0</v>
      </c>
      <c r="Z289" s="345">
        <v>0</v>
      </c>
      <c r="AA289" s="345">
        <v>3</v>
      </c>
      <c r="AB289" s="345">
        <v>9</v>
      </c>
      <c r="AC289" s="345">
        <v>7</v>
      </c>
      <c r="AD289" s="349">
        <v>1417</v>
      </c>
      <c r="AE289" s="349">
        <v>6</v>
      </c>
      <c r="AF289" s="349">
        <v>7</v>
      </c>
      <c r="AG289" s="349">
        <v>13</v>
      </c>
    </row>
    <row r="290" spans="1:33" x14ac:dyDescent="0.2">
      <c r="A290" s="344" t="s">
        <v>634</v>
      </c>
      <c r="B290" s="350" t="s">
        <v>635</v>
      </c>
      <c r="C290" s="346">
        <v>6580</v>
      </c>
      <c r="D290" s="346">
        <v>19</v>
      </c>
      <c r="E290" s="346">
        <v>141</v>
      </c>
      <c r="F290" s="346">
        <v>492</v>
      </c>
      <c r="G290" s="346">
        <v>594</v>
      </c>
      <c r="H290" s="346">
        <v>7826</v>
      </c>
      <c r="I290" s="345">
        <v>7232</v>
      </c>
      <c r="J290" s="345">
        <v>23</v>
      </c>
      <c r="K290" s="347">
        <v>109.29</v>
      </c>
      <c r="L290" s="347">
        <v>109.45</v>
      </c>
      <c r="M290" s="347">
        <v>5.3</v>
      </c>
      <c r="N290" s="347">
        <v>110.08</v>
      </c>
      <c r="O290" s="348">
        <v>5514</v>
      </c>
      <c r="P290" s="345">
        <v>101.07</v>
      </c>
      <c r="Q290" s="345">
        <v>94.44</v>
      </c>
      <c r="R290" s="345">
        <v>28.45</v>
      </c>
      <c r="S290" s="345">
        <v>125.88</v>
      </c>
      <c r="T290" s="345">
        <v>609</v>
      </c>
      <c r="U290" s="345">
        <v>161.88</v>
      </c>
      <c r="V290" s="345">
        <v>979</v>
      </c>
      <c r="W290" s="345">
        <v>187.96</v>
      </c>
      <c r="X290" s="345">
        <v>29</v>
      </c>
      <c r="Y290" s="345">
        <v>0</v>
      </c>
      <c r="Z290" s="345">
        <v>23</v>
      </c>
      <c r="AA290" s="345">
        <v>1</v>
      </c>
      <c r="AB290" s="345">
        <v>63</v>
      </c>
      <c r="AC290" s="345">
        <v>22</v>
      </c>
      <c r="AD290" s="349">
        <v>6522</v>
      </c>
      <c r="AE290" s="349">
        <v>30</v>
      </c>
      <c r="AF290" s="349">
        <v>14</v>
      </c>
      <c r="AG290" s="349">
        <v>44</v>
      </c>
    </row>
    <row r="291" spans="1:33" x14ac:dyDescent="0.2">
      <c r="A291" s="344" t="s">
        <v>636</v>
      </c>
      <c r="B291" s="350" t="s">
        <v>637</v>
      </c>
      <c r="C291" s="346">
        <v>32465</v>
      </c>
      <c r="D291" s="346">
        <v>7</v>
      </c>
      <c r="E291" s="346">
        <v>2245</v>
      </c>
      <c r="F291" s="346">
        <v>619</v>
      </c>
      <c r="G291" s="346">
        <v>498</v>
      </c>
      <c r="H291" s="346">
        <v>35834</v>
      </c>
      <c r="I291" s="345">
        <v>35336</v>
      </c>
      <c r="J291" s="345">
        <v>15</v>
      </c>
      <c r="K291" s="347">
        <v>83.77</v>
      </c>
      <c r="L291" s="347">
        <v>84.3</v>
      </c>
      <c r="M291" s="347">
        <v>5.73</v>
      </c>
      <c r="N291" s="347">
        <v>84.5</v>
      </c>
      <c r="O291" s="348">
        <v>30221</v>
      </c>
      <c r="P291" s="345">
        <v>80.28</v>
      </c>
      <c r="Q291" s="345">
        <v>79.38</v>
      </c>
      <c r="R291" s="345">
        <v>37.58</v>
      </c>
      <c r="S291" s="345">
        <v>116.03</v>
      </c>
      <c r="T291" s="345">
        <v>2682</v>
      </c>
      <c r="U291" s="345">
        <v>98.48</v>
      </c>
      <c r="V291" s="345">
        <v>1854</v>
      </c>
      <c r="W291" s="345">
        <v>0</v>
      </c>
      <c r="X291" s="345">
        <v>0</v>
      </c>
      <c r="Y291" s="345">
        <v>0</v>
      </c>
      <c r="Z291" s="345">
        <v>175</v>
      </c>
      <c r="AA291" s="345">
        <v>7</v>
      </c>
      <c r="AB291" s="345">
        <v>87</v>
      </c>
      <c r="AC291" s="345">
        <v>9</v>
      </c>
      <c r="AD291" s="349">
        <v>32427</v>
      </c>
      <c r="AE291" s="349">
        <v>116</v>
      </c>
      <c r="AF291" s="349">
        <v>125</v>
      </c>
      <c r="AG291" s="349">
        <v>241</v>
      </c>
    </row>
    <row r="292" spans="1:33" x14ac:dyDescent="0.2">
      <c r="A292" s="344" t="s">
        <v>638</v>
      </c>
      <c r="B292" s="350" t="s">
        <v>639</v>
      </c>
      <c r="C292" s="346">
        <v>26888</v>
      </c>
      <c r="D292" s="346">
        <v>8</v>
      </c>
      <c r="E292" s="346">
        <v>331</v>
      </c>
      <c r="F292" s="346">
        <v>798</v>
      </c>
      <c r="G292" s="346">
        <v>511</v>
      </c>
      <c r="H292" s="346">
        <v>28536</v>
      </c>
      <c r="I292" s="345">
        <v>28025</v>
      </c>
      <c r="J292" s="345">
        <v>2</v>
      </c>
      <c r="K292" s="347">
        <v>86.48</v>
      </c>
      <c r="L292" s="347">
        <v>87.43</v>
      </c>
      <c r="M292" s="347">
        <v>8.3699999999999992</v>
      </c>
      <c r="N292" s="347">
        <v>90.63</v>
      </c>
      <c r="O292" s="348">
        <v>24879</v>
      </c>
      <c r="P292" s="345">
        <v>104.8</v>
      </c>
      <c r="Q292" s="345">
        <v>98.7</v>
      </c>
      <c r="R292" s="345">
        <v>42.97</v>
      </c>
      <c r="S292" s="345">
        <v>145.69999999999999</v>
      </c>
      <c r="T292" s="345">
        <v>1014</v>
      </c>
      <c r="U292" s="345">
        <v>107.29</v>
      </c>
      <c r="V292" s="345">
        <v>1741</v>
      </c>
      <c r="W292" s="345">
        <v>128.13999999999999</v>
      </c>
      <c r="X292" s="345">
        <v>62</v>
      </c>
      <c r="Y292" s="345">
        <v>0</v>
      </c>
      <c r="Z292" s="345">
        <v>138</v>
      </c>
      <c r="AA292" s="345">
        <v>44</v>
      </c>
      <c r="AB292" s="345">
        <v>10</v>
      </c>
      <c r="AC292" s="345">
        <v>11</v>
      </c>
      <c r="AD292" s="349">
        <v>26831</v>
      </c>
      <c r="AE292" s="349">
        <v>162</v>
      </c>
      <c r="AF292" s="349">
        <v>21</v>
      </c>
      <c r="AG292" s="349">
        <v>183</v>
      </c>
    </row>
    <row r="293" spans="1:33" x14ac:dyDescent="0.2">
      <c r="A293" s="344" t="s">
        <v>640</v>
      </c>
      <c r="B293" s="350" t="s">
        <v>641</v>
      </c>
      <c r="C293" s="346">
        <v>10628</v>
      </c>
      <c r="D293" s="346">
        <v>8</v>
      </c>
      <c r="E293" s="346">
        <v>1034</v>
      </c>
      <c r="F293" s="346">
        <v>838</v>
      </c>
      <c r="G293" s="346">
        <v>1341</v>
      </c>
      <c r="H293" s="346">
        <v>13849</v>
      </c>
      <c r="I293" s="345">
        <v>12508</v>
      </c>
      <c r="J293" s="345">
        <v>15</v>
      </c>
      <c r="K293" s="347">
        <v>122.04</v>
      </c>
      <c r="L293" s="347">
        <v>117.68</v>
      </c>
      <c r="M293" s="347">
        <v>9.6300000000000008</v>
      </c>
      <c r="N293" s="347">
        <v>126.95</v>
      </c>
      <c r="O293" s="348">
        <v>8804</v>
      </c>
      <c r="P293" s="345">
        <v>101.54</v>
      </c>
      <c r="Q293" s="345">
        <v>99.41</v>
      </c>
      <c r="R293" s="345">
        <v>34.6</v>
      </c>
      <c r="S293" s="345">
        <v>131.81</v>
      </c>
      <c r="T293" s="345">
        <v>1238</v>
      </c>
      <c r="U293" s="345">
        <v>175.4</v>
      </c>
      <c r="V293" s="345">
        <v>1326</v>
      </c>
      <c r="W293" s="345">
        <v>171.89</v>
      </c>
      <c r="X293" s="345">
        <v>62</v>
      </c>
      <c r="Y293" s="345">
        <v>0</v>
      </c>
      <c r="Z293" s="345">
        <v>8</v>
      </c>
      <c r="AA293" s="345">
        <v>2</v>
      </c>
      <c r="AB293" s="345">
        <v>177</v>
      </c>
      <c r="AC293" s="345">
        <v>18</v>
      </c>
      <c r="AD293" s="349">
        <v>10256</v>
      </c>
      <c r="AE293" s="349">
        <v>41</v>
      </c>
      <c r="AF293" s="349">
        <v>26</v>
      </c>
      <c r="AG293" s="349">
        <v>67</v>
      </c>
    </row>
    <row r="294" spans="1:33" x14ac:dyDescent="0.2">
      <c r="A294" s="344" t="s">
        <v>642</v>
      </c>
      <c r="B294" s="350" t="s">
        <v>643</v>
      </c>
      <c r="C294" s="346">
        <v>8440</v>
      </c>
      <c r="D294" s="346">
        <v>64</v>
      </c>
      <c r="E294" s="346">
        <v>1063</v>
      </c>
      <c r="F294" s="346">
        <v>1073</v>
      </c>
      <c r="G294" s="346">
        <v>2101</v>
      </c>
      <c r="H294" s="346">
        <v>12741</v>
      </c>
      <c r="I294" s="345">
        <v>10640</v>
      </c>
      <c r="J294" s="345">
        <v>161</v>
      </c>
      <c r="K294" s="347">
        <v>131.24</v>
      </c>
      <c r="L294" s="347">
        <v>137.47</v>
      </c>
      <c r="M294" s="347">
        <v>6.64</v>
      </c>
      <c r="N294" s="347">
        <v>135.37</v>
      </c>
      <c r="O294" s="348">
        <v>7542</v>
      </c>
      <c r="P294" s="345">
        <v>123.08</v>
      </c>
      <c r="Q294" s="345">
        <v>119.82</v>
      </c>
      <c r="R294" s="345">
        <v>35.9</v>
      </c>
      <c r="S294" s="345">
        <v>155.43</v>
      </c>
      <c r="T294" s="345">
        <v>2047</v>
      </c>
      <c r="U294" s="345">
        <v>203.86</v>
      </c>
      <c r="V294" s="345">
        <v>519</v>
      </c>
      <c r="W294" s="345">
        <v>231.71</v>
      </c>
      <c r="X294" s="345">
        <v>8</v>
      </c>
      <c r="Y294" s="345">
        <v>10</v>
      </c>
      <c r="Z294" s="345">
        <v>0</v>
      </c>
      <c r="AA294" s="345">
        <v>6</v>
      </c>
      <c r="AB294" s="345">
        <v>286</v>
      </c>
      <c r="AC294" s="345">
        <v>79</v>
      </c>
      <c r="AD294" s="349">
        <v>8152</v>
      </c>
      <c r="AE294" s="349">
        <v>44</v>
      </c>
      <c r="AF294" s="349">
        <v>25</v>
      </c>
      <c r="AG294" s="349">
        <v>69</v>
      </c>
    </row>
    <row r="295" spans="1:33" x14ac:dyDescent="0.2">
      <c r="A295" s="344" t="s">
        <v>644</v>
      </c>
      <c r="B295" s="350" t="s">
        <v>645</v>
      </c>
      <c r="C295" s="346">
        <v>11692</v>
      </c>
      <c r="D295" s="346">
        <v>0</v>
      </c>
      <c r="E295" s="346">
        <v>378</v>
      </c>
      <c r="F295" s="346">
        <v>2359</v>
      </c>
      <c r="G295" s="346">
        <v>663</v>
      </c>
      <c r="H295" s="346">
        <v>15092</v>
      </c>
      <c r="I295" s="345">
        <v>14429</v>
      </c>
      <c r="J295" s="345">
        <v>5</v>
      </c>
      <c r="K295" s="347">
        <v>84.86</v>
      </c>
      <c r="L295" s="347">
        <v>86.48</v>
      </c>
      <c r="M295" s="347">
        <v>5.3</v>
      </c>
      <c r="N295" s="347">
        <v>86.47</v>
      </c>
      <c r="O295" s="348">
        <v>11075</v>
      </c>
      <c r="P295" s="345">
        <v>82.32</v>
      </c>
      <c r="Q295" s="345">
        <v>84.62</v>
      </c>
      <c r="R295" s="345">
        <v>37.380000000000003</v>
      </c>
      <c r="S295" s="345">
        <v>99.56</v>
      </c>
      <c r="T295" s="345">
        <v>2694</v>
      </c>
      <c r="U295" s="345">
        <v>105.23</v>
      </c>
      <c r="V295" s="345">
        <v>560</v>
      </c>
      <c r="W295" s="345">
        <v>100.47</v>
      </c>
      <c r="X295" s="345">
        <v>2</v>
      </c>
      <c r="Y295" s="345">
        <v>0</v>
      </c>
      <c r="Z295" s="345">
        <v>61</v>
      </c>
      <c r="AA295" s="345">
        <v>0</v>
      </c>
      <c r="AB295" s="345">
        <v>29</v>
      </c>
      <c r="AC295" s="345">
        <v>10</v>
      </c>
      <c r="AD295" s="349">
        <v>11692</v>
      </c>
      <c r="AE295" s="349">
        <v>40</v>
      </c>
      <c r="AF295" s="349">
        <v>54</v>
      </c>
      <c r="AG295" s="349">
        <v>94</v>
      </c>
    </row>
    <row r="296" spans="1:33" x14ac:dyDescent="0.2">
      <c r="A296" s="344" t="s">
        <v>646</v>
      </c>
      <c r="B296" s="350" t="s">
        <v>647</v>
      </c>
      <c r="C296" s="346">
        <v>2404</v>
      </c>
      <c r="D296" s="346">
        <v>0</v>
      </c>
      <c r="E296" s="346">
        <v>162</v>
      </c>
      <c r="F296" s="346">
        <v>593</v>
      </c>
      <c r="G296" s="346">
        <v>562</v>
      </c>
      <c r="H296" s="346">
        <v>3721</v>
      </c>
      <c r="I296" s="345">
        <v>3159</v>
      </c>
      <c r="J296" s="345">
        <v>77</v>
      </c>
      <c r="K296" s="347">
        <v>103.54</v>
      </c>
      <c r="L296" s="347">
        <v>102.21</v>
      </c>
      <c r="M296" s="347">
        <v>7.26</v>
      </c>
      <c r="N296" s="347">
        <v>109.76</v>
      </c>
      <c r="O296" s="348">
        <v>1970</v>
      </c>
      <c r="P296" s="345">
        <v>95.94</v>
      </c>
      <c r="Q296" s="345">
        <v>89.56</v>
      </c>
      <c r="R296" s="345">
        <v>33.79</v>
      </c>
      <c r="S296" s="345">
        <v>129.47</v>
      </c>
      <c r="T296" s="345">
        <v>523</v>
      </c>
      <c r="U296" s="345">
        <v>133.13</v>
      </c>
      <c r="V296" s="345">
        <v>347</v>
      </c>
      <c r="W296" s="345">
        <v>190.06</v>
      </c>
      <c r="X296" s="345">
        <v>115</v>
      </c>
      <c r="Y296" s="345">
        <v>1</v>
      </c>
      <c r="Z296" s="345">
        <v>2</v>
      </c>
      <c r="AA296" s="345">
        <v>0</v>
      </c>
      <c r="AB296" s="345">
        <v>44</v>
      </c>
      <c r="AC296" s="345">
        <v>18</v>
      </c>
      <c r="AD296" s="349">
        <v>2322</v>
      </c>
      <c r="AE296" s="349">
        <v>13</v>
      </c>
      <c r="AF296" s="349">
        <v>13</v>
      </c>
      <c r="AG296" s="349">
        <v>26</v>
      </c>
    </row>
    <row r="297" spans="1:33" x14ac:dyDescent="0.2">
      <c r="A297" s="344" t="s">
        <v>648</v>
      </c>
      <c r="B297" s="350" t="s">
        <v>649</v>
      </c>
      <c r="C297" s="346">
        <v>5382</v>
      </c>
      <c r="D297" s="346">
        <v>90</v>
      </c>
      <c r="E297" s="346">
        <v>328</v>
      </c>
      <c r="F297" s="346">
        <v>599</v>
      </c>
      <c r="G297" s="346">
        <v>331</v>
      </c>
      <c r="H297" s="346">
        <v>6730</v>
      </c>
      <c r="I297" s="345">
        <v>6399</v>
      </c>
      <c r="J297" s="345">
        <v>131</v>
      </c>
      <c r="K297" s="347">
        <v>114.58</v>
      </c>
      <c r="L297" s="347">
        <v>118.57</v>
      </c>
      <c r="M297" s="347">
        <v>7.22</v>
      </c>
      <c r="N297" s="347">
        <v>117.94</v>
      </c>
      <c r="O297" s="348">
        <v>4959</v>
      </c>
      <c r="P297" s="345">
        <v>90.12</v>
      </c>
      <c r="Q297" s="345">
        <v>89.23</v>
      </c>
      <c r="R297" s="345">
        <v>34.08</v>
      </c>
      <c r="S297" s="345">
        <v>123.21</v>
      </c>
      <c r="T297" s="345">
        <v>724</v>
      </c>
      <c r="U297" s="345">
        <v>171.22</v>
      </c>
      <c r="V297" s="345">
        <v>310</v>
      </c>
      <c r="W297" s="345">
        <v>0</v>
      </c>
      <c r="X297" s="345">
        <v>0</v>
      </c>
      <c r="Y297" s="345">
        <v>0</v>
      </c>
      <c r="Z297" s="345">
        <v>20</v>
      </c>
      <c r="AA297" s="345">
        <v>0</v>
      </c>
      <c r="AB297" s="345">
        <v>16</v>
      </c>
      <c r="AC297" s="345">
        <v>31</v>
      </c>
      <c r="AD297" s="349">
        <v>5382</v>
      </c>
      <c r="AE297" s="349">
        <v>39</v>
      </c>
      <c r="AF297" s="349">
        <v>12</v>
      </c>
      <c r="AG297" s="349">
        <v>51</v>
      </c>
    </row>
    <row r="298" spans="1:33" x14ac:dyDescent="0.2">
      <c r="A298" s="344" t="s">
        <v>650</v>
      </c>
      <c r="B298" s="350" t="s">
        <v>651</v>
      </c>
      <c r="C298" s="346">
        <v>1107</v>
      </c>
      <c r="D298" s="346">
        <v>0</v>
      </c>
      <c r="E298" s="346">
        <v>128</v>
      </c>
      <c r="F298" s="346">
        <v>164</v>
      </c>
      <c r="G298" s="346">
        <v>365</v>
      </c>
      <c r="H298" s="346">
        <v>1764</v>
      </c>
      <c r="I298" s="345">
        <v>1399</v>
      </c>
      <c r="J298" s="345">
        <v>0</v>
      </c>
      <c r="K298" s="347">
        <v>119.45</v>
      </c>
      <c r="L298" s="347">
        <v>118.82</v>
      </c>
      <c r="M298" s="347">
        <v>4.7699999999999996</v>
      </c>
      <c r="N298" s="347">
        <v>123.92</v>
      </c>
      <c r="O298" s="348">
        <v>908</v>
      </c>
      <c r="P298" s="345">
        <v>103.03</v>
      </c>
      <c r="Q298" s="345">
        <v>99.41</v>
      </c>
      <c r="R298" s="345">
        <v>32.21</v>
      </c>
      <c r="S298" s="345">
        <v>134.05000000000001</v>
      </c>
      <c r="T298" s="345">
        <v>135</v>
      </c>
      <c r="U298" s="345">
        <v>180.47</v>
      </c>
      <c r="V298" s="345">
        <v>151</v>
      </c>
      <c r="W298" s="345">
        <v>121.1</v>
      </c>
      <c r="X298" s="345">
        <v>3</v>
      </c>
      <c r="Y298" s="345">
        <v>0</v>
      </c>
      <c r="Z298" s="345">
        <v>0</v>
      </c>
      <c r="AA298" s="345">
        <v>0</v>
      </c>
      <c r="AB298" s="345">
        <v>15</v>
      </c>
      <c r="AC298" s="345">
        <v>10</v>
      </c>
      <c r="AD298" s="349">
        <v>1059</v>
      </c>
      <c r="AE298" s="349">
        <v>2</v>
      </c>
      <c r="AF298" s="349">
        <v>2</v>
      </c>
      <c r="AG298" s="349">
        <v>4</v>
      </c>
    </row>
    <row r="299" spans="1:33" x14ac:dyDescent="0.2">
      <c r="A299" s="344" t="s">
        <v>652</v>
      </c>
      <c r="B299" s="350" t="s">
        <v>653</v>
      </c>
      <c r="C299" s="346">
        <v>2079</v>
      </c>
      <c r="D299" s="346">
        <v>0</v>
      </c>
      <c r="E299" s="346">
        <v>94</v>
      </c>
      <c r="F299" s="346">
        <v>343</v>
      </c>
      <c r="G299" s="346">
        <v>473</v>
      </c>
      <c r="H299" s="346">
        <v>2989</v>
      </c>
      <c r="I299" s="345">
        <v>2516</v>
      </c>
      <c r="J299" s="345">
        <v>0</v>
      </c>
      <c r="K299" s="347">
        <v>104.96</v>
      </c>
      <c r="L299" s="347">
        <v>103.16</v>
      </c>
      <c r="M299" s="347">
        <v>5.4</v>
      </c>
      <c r="N299" s="347">
        <v>109.18</v>
      </c>
      <c r="O299" s="348">
        <v>1388</v>
      </c>
      <c r="P299" s="345">
        <v>82.14</v>
      </c>
      <c r="Q299" s="345">
        <v>78.5</v>
      </c>
      <c r="R299" s="345">
        <v>37.36</v>
      </c>
      <c r="S299" s="345">
        <v>116.04</v>
      </c>
      <c r="T299" s="345">
        <v>238</v>
      </c>
      <c r="U299" s="345">
        <v>145.91999999999999</v>
      </c>
      <c r="V299" s="345">
        <v>673</v>
      </c>
      <c r="W299" s="345">
        <v>178.67</v>
      </c>
      <c r="X299" s="345">
        <v>55</v>
      </c>
      <c r="Y299" s="345">
        <v>0</v>
      </c>
      <c r="Z299" s="345">
        <v>2</v>
      </c>
      <c r="AA299" s="345">
        <v>0</v>
      </c>
      <c r="AB299" s="345">
        <v>12</v>
      </c>
      <c r="AC299" s="345">
        <v>16</v>
      </c>
      <c r="AD299" s="349">
        <v>2072</v>
      </c>
      <c r="AE299" s="349">
        <v>16</v>
      </c>
      <c r="AF299" s="349">
        <v>5</v>
      </c>
      <c r="AG299" s="349">
        <v>21</v>
      </c>
    </row>
    <row r="300" spans="1:33" x14ac:dyDescent="0.2">
      <c r="A300" s="344" t="s">
        <v>654</v>
      </c>
      <c r="B300" s="350" t="s">
        <v>655</v>
      </c>
      <c r="C300" s="346">
        <v>2709</v>
      </c>
      <c r="D300" s="346">
        <v>0</v>
      </c>
      <c r="E300" s="346">
        <v>315</v>
      </c>
      <c r="F300" s="346">
        <v>329</v>
      </c>
      <c r="G300" s="346">
        <v>346</v>
      </c>
      <c r="H300" s="346">
        <v>3699</v>
      </c>
      <c r="I300" s="345">
        <v>3353</v>
      </c>
      <c r="J300" s="345">
        <v>140</v>
      </c>
      <c r="K300" s="347">
        <v>112.42</v>
      </c>
      <c r="L300" s="347">
        <v>111.11</v>
      </c>
      <c r="M300" s="347">
        <v>7.79</v>
      </c>
      <c r="N300" s="347">
        <v>118.58</v>
      </c>
      <c r="O300" s="348">
        <v>2204</v>
      </c>
      <c r="P300" s="345">
        <v>100.91</v>
      </c>
      <c r="Q300" s="345">
        <v>98.39</v>
      </c>
      <c r="R300" s="345">
        <v>38.61</v>
      </c>
      <c r="S300" s="345">
        <v>139.36000000000001</v>
      </c>
      <c r="T300" s="345">
        <v>244</v>
      </c>
      <c r="U300" s="345">
        <v>153.26</v>
      </c>
      <c r="V300" s="345">
        <v>364</v>
      </c>
      <c r="W300" s="345">
        <v>0</v>
      </c>
      <c r="X300" s="345">
        <v>0</v>
      </c>
      <c r="Y300" s="345">
        <v>0</v>
      </c>
      <c r="Z300" s="345">
        <v>0</v>
      </c>
      <c r="AA300" s="345">
        <v>0</v>
      </c>
      <c r="AB300" s="345">
        <v>9</v>
      </c>
      <c r="AC300" s="345">
        <v>15</v>
      </c>
      <c r="AD300" s="349">
        <v>2577</v>
      </c>
      <c r="AE300" s="349">
        <v>8</v>
      </c>
      <c r="AF300" s="349">
        <v>4</v>
      </c>
      <c r="AG300" s="349">
        <v>12</v>
      </c>
    </row>
    <row r="301" spans="1:33" x14ac:dyDescent="0.2">
      <c r="A301" s="344" t="s">
        <v>656</v>
      </c>
      <c r="B301" s="350" t="s">
        <v>657</v>
      </c>
      <c r="C301" s="346">
        <v>7907</v>
      </c>
      <c r="D301" s="346">
        <v>4</v>
      </c>
      <c r="E301" s="346">
        <v>318</v>
      </c>
      <c r="F301" s="346">
        <v>819</v>
      </c>
      <c r="G301" s="346">
        <v>594</v>
      </c>
      <c r="H301" s="346">
        <v>9642</v>
      </c>
      <c r="I301" s="345">
        <v>9048</v>
      </c>
      <c r="J301" s="345">
        <v>1</v>
      </c>
      <c r="K301" s="347">
        <v>118.8</v>
      </c>
      <c r="L301" s="347">
        <v>120.41</v>
      </c>
      <c r="M301" s="347">
        <v>5.0199999999999996</v>
      </c>
      <c r="N301" s="347">
        <v>121.42</v>
      </c>
      <c r="O301" s="348">
        <v>7529</v>
      </c>
      <c r="P301" s="345">
        <v>110.98</v>
      </c>
      <c r="Q301" s="345">
        <v>96.84</v>
      </c>
      <c r="R301" s="345">
        <v>23.24</v>
      </c>
      <c r="S301" s="345">
        <v>132.85</v>
      </c>
      <c r="T301" s="345">
        <v>973</v>
      </c>
      <c r="U301" s="345">
        <v>150.69</v>
      </c>
      <c r="V301" s="345">
        <v>354</v>
      </c>
      <c r="W301" s="345">
        <v>182.81</v>
      </c>
      <c r="X301" s="345">
        <v>81</v>
      </c>
      <c r="Y301" s="345">
        <v>0</v>
      </c>
      <c r="Z301" s="345">
        <v>4</v>
      </c>
      <c r="AA301" s="345">
        <v>0</v>
      </c>
      <c r="AB301" s="345">
        <v>57</v>
      </c>
      <c r="AC301" s="345">
        <v>17</v>
      </c>
      <c r="AD301" s="349">
        <v>7893</v>
      </c>
      <c r="AE301" s="349">
        <v>21</v>
      </c>
      <c r="AF301" s="349">
        <v>10</v>
      </c>
      <c r="AG301" s="349">
        <v>31</v>
      </c>
    </row>
    <row r="302" spans="1:33" x14ac:dyDescent="0.2">
      <c r="A302" s="344" t="s">
        <v>658</v>
      </c>
      <c r="B302" s="350" t="s">
        <v>659</v>
      </c>
      <c r="C302" s="346">
        <v>2253</v>
      </c>
      <c r="D302" s="346">
        <v>8</v>
      </c>
      <c r="E302" s="346">
        <v>38</v>
      </c>
      <c r="F302" s="346">
        <v>147</v>
      </c>
      <c r="G302" s="346">
        <v>106</v>
      </c>
      <c r="H302" s="346">
        <v>2552</v>
      </c>
      <c r="I302" s="345">
        <v>2446</v>
      </c>
      <c r="J302" s="345">
        <v>3</v>
      </c>
      <c r="K302" s="347">
        <v>91.89</v>
      </c>
      <c r="L302" s="347">
        <v>82.92</v>
      </c>
      <c r="M302" s="347">
        <v>8.58</v>
      </c>
      <c r="N302" s="347">
        <v>94.88</v>
      </c>
      <c r="O302" s="348">
        <v>2112</v>
      </c>
      <c r="P302" s="345">
        <v>88.84</v>
      </c>
      <c r="Q302" s="345">
        <v>77.22</v>
      </c>
      <c r="R302" s="345">
        <v>35.06</v>
      </c>
      <c r="S302" s="345">
        <v>122.3</v>
      </c>
      <c r="T302" s="345">
        <v>110</v>
      </c>
      <c r="U302" s="345">
        <v>114.97</v>
      </c>
      <c r="V302" s="345">
        <v>98</v>
      </c>
      <c r="W302" s="345">
        <v>85.21</v>
      </c>
      <c r="X302" s="345">
        <v>4</v>
      </c>
      <c r="Y302" s="345">
        <v>0</v>
      </c>
      <c r="Z302" s="345">
        <v>5</v>
      </c>
      <c r="AA302" s="345">
        <v>0</v>
      </c>
      <c r="AB302" s="345">
        <v>8</v>
      </c>
      <c r="AC302" s="345">
        <v>4</v>
      </c>
      <c r="AD302" s="349">
        <v>2185</v>
      </c>
      <c r="AE302" s="349">
        <v>4</v>
      </c>
      <c r="AF302" s="349">
        <v>10</v>
      </c>
      <c r="AG302" s="349">
        <v>14</v>
      </c>
    </row>
    <row r="303" spans="1:33" x14ac:dyDescent="0.2">
      <c r="A303" s="344" t="s">
        <v>660</v>
      </c>
      <c r="B303" s="350" t="s">
        <v>661</v>
      </c>
      <c r="C303" s="346">
        <v>728</v>
      </c>
      <c r="D303" s="346">
        <v>5</v>
      </c>
      <c r="E303" s="346">
        <v>139</v>
      </c>
      <c r="F303" s="346">
        <v>374</v>
      </c>
      <c r="G303" s="346">
        <v>273</v>
      </c>
      <c r="H303" s="346">
        <v>1519</v>
      </c>
      <c r="I303" s="345">
        <v>1246</v>
      </c>
      <c r="J303" s="345">
        <v>0</v>
      </c>
      <c r="K303" s="347">
        <v>92.11</v>
      </c>
      <c r="L303" s="347">
        <v>89.31</v>
      </c>
      <c r="M303" s="347">
        <v>5.89</v>
      </c>
      <c r="N303" s="347">
        <v>95.82</v>
      </c>
      <c r="O303" s="348">
        <v>501</v>
      </c>
      <c r="P303" s="345">
        <v>101.58</v>
      </c>
      <c r="Q303" s="345">
        <v>94.65</v>
      </c>
      <c r="R303" s="345">
        <v>36.25</v>
      </c>
      <c r="S303" s="345">
        <v>137.38</v>
      </c>
      <c r="T303" s="345">
        <v>480</v>
      </c>
      <c r="U303" s="345">
        <v>107.28</v>
      </c>
      <c r="V303" s="345">
        <v>200</v>
      </c>
      <c r="W303" s="345">
        <v>0</v>
      </c>
      <c r="X303" s="345">
        <v>0</v>
      </c>
      <c r="Y303" s="345">
        <v>0</v>
      </c>
      <c r="Z303" s="345">
        <v>0</v>
      </c>
      <c r="AA303" s="345">
        <v>1</v>
      </c>
      <c r="AB303" s="345">
        <v>14</v>
      </c>
      <c r="AC303" s="345">
        <v>1</v>
      </c>
      <c r="AD303" s="349">
        <v>717</v>
      </c>
      <c r="AE303" s="349">
        <v>9</v>
      </c>
      <c r="AF303" s="349">
        <v>1</v>
      </c>
      <c r="AG303" s="349">
        <v>10</v>
      </c>
    </row>
    <row r="304" spans="1:33" x14ac:dyDescent="0.2">
      <c r="A304" s="344" t="s">
        <v>662</v>
      </c>
      <c r="B304" s="350" t="s">
        <v>663</v>
      </c>
      <c r="C304" s="346">
        <v>4204</v>
      </c>
      <c r="D304" s="346">
        <v>0</v>
      </c>
      <c r="E304" s="346">
        <v>60</v>
      </c>
      <c r="F304" s="346">
        <v>422</v>
      </c>
      <c r="G304" s="346">
        <v>313</v>
      </c>
      <c r="H304" s="346">
        <v>4999</v>
      </c>
      <c r="I304" s="345">
        <v>4686</v>
      </c>
      <c r="J304" s="345">
        <v>1</v>
      </c>
      <c r="K304" s="347">
        <v>80.63</v>
      </c>
      <c r="L304" s="347">
        <v>80.73</v>
      </c>
      <c r="M304" s="347">
        <v>4.62</v>
      </c>
      <c r="N304" s="347">
        <v>81.95</v>
      </c>
      <c r="O304" s="348">
        <v>4055</v>
      </c>
      <c r="P304" s="345">
        <v>75.62</v>
      </c>
      <c r="Q304" s="345">
        <v>75.66</v>
      </c>
      <c r="R304" s="345">
        <v>28.08</v>
      </c>
      <c r="S304" s="345">
        <v>103.29</v>
      </c>
      <c r="T304" s="345">
        <v>477</v>
      </c>
      <c r="U304" s="345">
        <v>97.48</v>
      </c>
      <c r="V304" s="345">
        <v>120</v>
      </c>
      <c r="W304" s="345">
        <v>0</v>
      </c>
      <c r="X304" s="345">
        <v>0</v>
      </c>
      <c r="Y304" s="345">
        <v>0</v>
      </c>
      <c r="Z304" s="345">
        <v>6</v>
      </c>
      <c r="AA304" s="345">
        <v>0</v>
      </c>
      <c r="AB304" s="345">
        <v>7</v>
      </c>
      <c r="AC304" s="345">
        <v>5</v>
      </c>
      <c r="AD304" s="349">
        <v>4185</v>
      </c>
      <c r="AE304" s="349">
        <v>42</v>
      </c>
      <c r="AF304" s="349">
        <v>4</v>
      </c>
      <c r="AG304" s="349">
        <v>46</v>
      </c>
    </row>
    <row r="305" spans="1:33" x14ac:dyDescent="0.2">
      <c r="A305" s="344" t="s">
        <v>800</v>
      </c>
      <c r="B305" s="350" t="s">
        <v>798</v>
      </c>
      <c r="C305" s="346">
        <v>10750</v>
      </c>
      <c r="D305" s="346">
        <v>39</v>
      </c>
      <c r="E305" s="346">
        <v>384</v>
      </c>
      <c r="F305" s="346">
        <v>2353</v>
      </c>
      <c r="G305" s="346">
        <v>1932</v>
      </c>
      <c r="H305" s="346">
        <v>15458</v>
      </c>
      <c r="I305" s="345">
        <v>13526</v>
      </c>
      <c r="J305" s="345">
        <v>29</v>
      </c>
      <c r="K305" s="347">
        <v>98.01</v>
      </c>
      <c r="L305" s="347">
        <v>97.7</v>
      </c>
      <c r="M305" s="347">
        <v>5.82</v>
      </c>
      <c r="N305" s="347">
        <v>101.78</v>
      </c>
      <c r="O305" s="348">
        <v>9305</v>
      </c>
      <c r="P305" s="345">
        <v>94.27</v>
      </c>
      <c r="Q305" s="345">
        <v>93.57</v>
      </c>
      <c r="R305" s="345">
        <v>29.42</v>
      </c>
      <c r="S305" s="345">
        <v>114.99</v>
      </c>
      <c r="T305" s="345">
        <v>2713</v>
      </c>
      <c r="U305" s="345">
        <v>123.47</v>
      </c>
      <c r="V305" s="345">
        <v>1052</v>
      </c>
      <c r="W305" s="345">
        <v>0</v>
      </c>
      <c r="X305" s="345">
        <v>0</v>
      </c>
      <c r="Y305" s="345">
        <v>49</v>
      </c>
      <c r="Z305" s="345">
        <v>41</v>
      </c>
      <c r="AA305" s="345">
        <v>2</v>
      </c>
      <c r="AB305" s="345">
        <v>84</v>
      </c>
      <c r="AC305" s="345">
        <v>38</v>
      </c>
      <c r="AD305" s="349">
        <v>10496</v>
      </c>
      <c r="AE305" s="349">
        <v>79</v>
      </c>
      <c r="AF305" s="349">
        <v>25</v>
      </c>
      <c r="AG305" s="349">
        <v>104</v>
      </c>
    </row>
    <row r="306" spans="1:33" x14ac:dyDescent="0.2">
      <c r="A306" s="344" t="s">
        <v>664</v>
      </c>
      <c r="B306" s="350" t="s">
        <v>665</v>
      </c>
      <c r="C306" s="346">
        <v>5480</v>
      </c>
      <c r="D306" s="346">
        <v>4</v>
      </c>
      <c r="E306" s="346">
        <v>127</v>
      </c>
      <c r="F306" s="346">
        <v>159</v>
      </c>
      <c r="G306" s="346">
        <v>541</v>
      </c>
      <c r="H306" s="346">
        <v>6311</v>
      </c>
      <c r="I306" s="345">
        <v>5770</v>
      </c>
      <c r="J306" s="345">
        <v>40</v>
      </c>
      <c r="K306" s="347">
        <v>110.48</v>
      </c>
      <c r="L306" s="347">
        <v>110.28</v>
      </c>
      <c r="M306" s="347">
        <v>4.8499999999999996</v>
      </c>
      <c r="N306" s="347">
        <v>112.26</v>
      </c>
      <c r="O306" s="348">
        <v>4927</v>
      </c>
      <c r="P306" s="345">
        <v>97.5</v>
      </c>
      <c r="Q306" s="345">
        <v>92.41</v>
      </c>
      <c r="R306" s="345">
        <v>53.69</v>
      </c>
      <c r="S306" s="345">
        <v>149.66</v>
      </c>
      <c r="T306" s="345">
        <v>281</v>
      </c>
      <c r="U306" s="345">
        <v>156.87</v>
      </c>
      <c r="V306" s="345">
        <v>403</v>
      </c>
      <c r="W306" s="345">
        <v>0</v>
      </c>
      <c r="X306" s="345">
        <v>0</v>
      </c>
      <c r="Y306" s="345">
        <v>0</v>
      </c>
      <c r="Z306" s="345">
        <v>6</v>
      </c>
      <c r="AA306" s="345">
        <v>0</v>
      </c>
      <c r="AB306" s="345">
        <v>36</v>
      </c>
      <c r="AC306" s="345">
        <v>8</v>
      </c>
      <c r="AD306" s="349">
        <v>5322</v>
      </c>
      <c r="AE306" s="349">
        <v>31</v>
      </c>
      <c r="AF306" s="349">
        <v>21</v>
      </c>
      <c r="AG306" s="349">
        <v>52</v>
      </c>
    </row>
    <row r="307" spans="1:33" x14ac:dyDescent="0.2">
      <c r="A307" s="344" t="s">
        <v>666</v>
      </c>
      <c r="B307" s="350" t="s">
        <v>667</v>
      </c>
      <c r="C307" s="346">
        <v>10472</v>
      </c>
      <c r="D307" s="346">
        <v>8</v>
      </c>
      <c r="E307" s="346">
        <v>431</v>
      </c>
      <c r="F307" s="346">
        <v>1223</v>
      </c>
      <c r="G307" s="346">
        <v>546</v>
      </c>
      <c r="H307" s="346">
        <v>12680</v>
      </c>
      <c r="I307" s="345">
        <v>12134</v>
      </c>
      <c r="J307" s="345">
        <v>3</v>
      </c>
      <c r="K307" s="347">
        <v>91.98</v>
      </c>
      <c r="L307" s="347">
        <v>91.73</v>
      </c>
      <c r="M307" s="347">
        <v>4.4400000000000004</v>
      </c>
      <c r="N307" s="347">
        <v>93.01</v>
      </c>
      <c r="O307" s="348">
        <v>9065</v>
      </c>
      <c r="P307" s="345">
        <v>87.57</v>
      </c>
      <c r="Q307" s="345">
        <v>86.25</v>
      </c>
      <c r="R307" s="345">
        <v>38.78</v>
      </c>
      <c r="S307" s="345">
        <v>124.23</v>
      </c>
      <c r="T307" s="345">
        <v>1591</v>
      </c>
      <c r="U307" s="345">
        <v>124.78</v>
      </c>
      <c r="V307" s="345">
        <v>1215</v>
      </c>
      <c r="W307" s="345">
        <v>98.2</v>
      </c>
      <c r="X307" s="345">
        <v>17</v>
      </c>
      <c r="Y307" s="345">
        <v>18</v>
      </c>
      <c r="Z307" s="345">
        <v>39</v>
      </c>
      <c r="AA307" s="345">
        <v>0</v>
      </c>
      <c r="AB307" s="345">
        <v>10</v>
      </c>
      <c r="AC307" s="345">
        <v>20</v>
      </c>
      <c r="AD307" s="349">
        <v>10386</v>
      </c>
      <c r="AE307" s="349">
        <v>60</v>
      </c>
      <c r="AF307" s="349">
        <v>31</v>
      </c>
      <c r="AG307" s="349">
        <v>91</v>
      </c>
    </row>
    <row r="308" spans="1:33" x14ac:dyDescent="0.2">
      <c r="A308" s="344" t="s">
        <v>668</v>
      </c>
      <c r="B308" s="350" t="s">
        <v>669</v>
      </c>
      <c r="C308" s="346">
        <v>12110</v>
      </c>
      <c r="D308" s="346">
        <v>907</v>
      </c>
      <c r="E308" s="346">
        <v>1360</v>
      </c>
      <c r="F308" s="346">
        <v>970</v>
      </c>
      <c r="G308" s="346">
        <v>569</v>
      </c>
      <c r="H308" s="346">
        <v>15916</v>
      </c>
      <c r="I308" s="345">
        <v>15347</v>
      </c>
      <c r="J308" s="345">
        <v>177</v>
      </c>
      <c r="K308" s="347">
        <v>130.12</v>
      </c>
      <c r="L308" s="347">
        <v>140.47999999999999</v>
      </c>
      <c r="M308" s="347">
        <v>10.94</v>
      </c>
      <c r="N308" s="347">
        <v>138.11000000000001</v>
      </c>
      <c r="O308" s="348">
        <v>9754</v>
      </c>
      <c r="P308" s="345">
        <v>117.99</v>
      </c>
      <c r="Q308" s="345">
        <v>115.57</v>
      </c>
      <c r="R308" s="345">
        <v>69.61</v>
      </c>
      <c r="S308" s="345">
        <v>166.21</v>
      </c>
      <c r="T308" s="345">
        <v>1900</v>
      </c>
      <c r="U308" s="345">
        <v>208.88</v>
      </c>
      <c r="V308" s="345">
        <v>583</v>
      </c>
      <c r="W308" s="345">
        <v>152.81</v>
      </c>
      <c r="X308" s="345">
        <v>1</v>
      </c>
      <c r="Y308" s="345">
        <v>0</v>
      </c>
      <c r="Z308" s="345">
        <v>0</v>
      </c>
      <c r="AA308" s="345">
        <v>12</v>
      </c>
      <c r="AB308" s="345">
        <v>0</v>
      </c>
      <c r="AC308" s="345">
        <v>16</v>
      </c>
      <c r="AD308" s="349">
        <v>10537</v>
      </c>
      <c r="AE308" s="349">
        <v>47</v>
      </c>
      <c r="AF308" s="349">
        <v>137</v>
      </c>
      <c r="AG308" s="349">
        <v>184</v>
      </c>
    </row>
    <row r="309" spans="1:33" x14ac:dyDescent="0.2">
      <c r="A309" s="344" t="s">
        <v>670</v>
      </c>
      <c r="B309" s="350" t="s">
        <v>671</v>
      </c>
      <c r="C309" s="346">
        <v>2005</v>
      </c>
      <c r="D309" s="346">
        <v>0</v>
      </c>
      <c r="E309" s="346">
        <v>587</v>
      </c>
      <c r="F309" s="346">
        <v>990</v>
      </c>
      <c r="G309" s="346">
        <v>96</v>
      </c>
      <c r="H309" s="346">
        <v>3678</v>
      </c>
      <c r="I309" s="345">
        <v>3582</v>
      </c>
      <c r="J309" s="345">
        <v>14</v>
      </c>
      <c r="K309" s="347">
        <v>80.28</v>
      </c>
      <c r="L309" s="347">
        <v>78.41</v>
      </c>
      <c r="M309" s="347">
        <v>8.69</v>
      </c>
      <c r="N309" s="347">
        <v>84.86</v>
      </c>
      <c r="O309" s="348">
        <v>1644</v>
      </c>
      <c r="P309" s="345">
        <v>84.84</v>
      </c>
      <c r="Q309" s="345">
        <v>75.59</v>
      </c>
      <c r="R309" s="345">
        <v>47.71</v>
      </c>
      <c r="S309" s="345">
        <v>130.53</v>
      </c>
      <c r="T309" s="345">
        <v>1424</v>
      </c>
      <c r="U309" s="345">
        <v>98.6</v>
      </c>
      <c r="V309" s="345">
        <v>241</v>
      </c>
      <c r="W309" s="345">
        <v>161.38</v>
      </c>
      <c r="X309" s="345">
        <v>20</v>
      </c>
      <c r="Y309" s="345">
        <v>0</v>
      </c>
      <c r="Z309" s="345">
        <v>1</v>
      </c>
      <c r="AA309" s="345">
        <v>16</v>
      </c>
      <c r="AB309" s="345">
        <v>26</v>
      </c>
      <c r="AC309" s="345">
        <v>3</v>
      </c>
      <c r="AD309" s="349">
        <v>1915</v>
      </c>
      <c r="AE309" s="349">
        <v>19</v>
      </c>
      <c r="AF309" s="349">
        <v>16</v>
      </c>
      <c r="AG309" s="349">
        <v>35</v>
      </c>
    </row>
    <row r="310" spans="1:33" x14ac:dyDescent="0.2">
      <c r="A310" s="344" t="s">
        <v>672</v>
      </c>
      <c r="B310" s="350" t="s">
        <v>673</v>
      </c>
      <c r="C310" s="346">
        <v>21411</v>
      </c>
      <c r="D310" s="346">
        <v>29</v>
      </c>
      <c r="E310" s="346">
        <v>657</v>
      </c>
      <c r="F310" s="346">
        <v>3037</v>
      </c>
      <c r="G310" s="346">
        <v>1410</v>
      </c>
      <c r="H310" s="346">
        <v>26544</v>
      </c>
      <c r="I310" s="345">
        <v>25134</v>
      </c>
      <c r="J310" s="345">
        <v>31</v>
      </c>
      <c r="K310" s="347">
        <v>101.06</v>
      </c>
      <c r="L310" s="347">
        <v>100.03</v>
      </c>
      <c r="M310" s="347">
        <v>3.54</v>
      </c>
      <c r="N310" s="347">
        <v>103.11</v>
      </c>
      <c r="O310" s="348">
        <v>18957</v>
      </c>
      <c r="P310" s="345">
        <v>94.13</v>
      </c>
      <c r="Q310" s="345">
        <v>90.67</v>
      </c>
      <c r="R310" s="345">
        <v>23</v>
      </c>
      <c r="S310" s="345">
        <v>116.07</v>
      </c>
      <c r="T310" s="345">
        <v>3297</v>
      </c>
      <c r="U310" s="345">
        <v>126</v>
      </c>
      <c r="V310" s="345">
        <v>1951</v>
      </c>
      <c r="W310" s="345">
        <v>125.67</v>
      </c>
      <c r="X310" s="345">
        <v>34</v>
      </c>
      <c r="Y310" s="345">
        <v>46</v>
      </c>
      <c r="Z310" s="345">
        <v>31</v>
      </c>
      <c r="AA310" s="345">
        <v>8</v>
      </c>
      <c r="AB310" s="345">
        <v>100</v>
      </c>
      <c r="AC310" s="345">
        <v>46</v>
      </c>
      <c r="AD310" s="349">
        <v>20931</v>
      </c>
      <c r="AE310" s="349">
        <v>102</v>
      </c>
      <c r="AF310" s="349">
        <v>127</v>
      </c>
      <c r="AG310" s="349">
        <v>229</v>
      </c>
    </row>
    <row r="311" spans="1:33" x14ac:dyDescent="0.2">
      <c r="A311" s="344" t="s">
        <v>674</v>
      </c>
      <c r="B311" s="350" t="s">
        <v>675</v>
      </c>
      <c r="C311" s="346">
        <v>2153</v>
      </c>
      <c r="D311" s="346">
        <v>0</v>
      </c>
      <c r="E311" s="346">
        <v>199</v>
      </c>
      <c r="F311" s="346">
        <v>224</v>
      </c>
      <c r="G311" s="346">
        <v>363</v>
      </c>
      <c r="H311" s="346">
        <v>2939</v>
      </c>
      <c r="I311" s="345">
        <v>2576</v>
      </c>
      <c r="J311" s="345">
        <v>3</v>
      </c>
      <c r="K311" s="347">
        <v>114.86</v>
      </c>
      <c r="L311" s="347">
        <v>112.77</v>
      </c>
      <c r="M311" s="347">
        <v>6.91</v>
      </c>
      <c r="N311" s="347">
        <v>121.19</v>
      </c>
      <c r="O311" s="348">
        <v>1723</v>
      </c>
      <c r="P311" s="345">
        <v>98.25</v>
      </c>
      <c r="Q311" s="345">
        <v>93.06</v>
      </c>
      <c r="R311" s="345">
        <v>43.23</v>
      </c>
      <c r="S311" s="345">
        <v>138.04</v>
      </c>
      <c r="T311" s="345">
        <v>402</v>
      </c>
      <c r="U311" s="345">
        <v>166.12</v>
      </c>
      <c r="V311" s="345">
        <v>272</v>
      </c>
      <c r="W311" s="345">
        <v>0</v>
      </c>
      <c r="X311" s="345">
        <v>0</v>
      </c>
      <c r="Y311" s="345">
        <v>51</v>
      </c>
      <c r="Z311" s="345">
        <v>1</v>
      </c>
      <c r="AA311" s="345">
        <v>7</v>
      </c>
      <c r="AB311" s="345">
        <v>30</v>
      </c>
      <c r="AC311" s="345">
        <v>11</v>
      </c>
      <c r="AD311" s="349">
        <v>2018</v>
      </c>
      <c r="AE311" s="349">
        <v>10</v>
      </c>
      <c r="AF311" s="349">
        <v>3</v>
      </c>
      <c r="AG311" s="349">
        <v>13</v>
      </c>
    </row>
    <row r="312" spans="1:33" x14ac:dyDescent="0.2">
      <c r="A312" s="344" t="s">
        <v>676</v>
      </c>
      <c r="B312" s="350" t="s">
        <v>677</v>
      </c>
      <c r="C312" s="346">
        <v>6685</v>
      </c>
      <c r="D312" s="346">
        <v>16</v>
      </c>
      <c r="E312" s="346">
        <v>207</v>
      </c>
      <c r="F312" s="346">
        <v>904</v>
      </c>
      <c r="G312" s="346">
        <v>233</v>
      </c>
      <c r="H312" s="346">
        <v>8045</v>
      </c>
      <c r="I312" s="345">
        <v>7812</v>
      </c>
      <c r="J312" s="345">
        <v>19</v>
      </c>
      <c r="K312" s="347">
        <v>123.02</v>
      </c>
      <c r="L312" s="347">
        <v>123.71</v>
      </c>
      <c r="M312" s="347">
        <v>7.84</v>
      </c>
      <c r="N312" s="347">
        <v>126.38</v>
      </c>
      <c r="O312" s="348">
        <v>6361</v>
      </c>
      <c r="P312" s="345">
        <v>109.25</v>
      </c>
      <c r="Q312" s="345">
        <v>100.77</v>
      </c>
      <c r="R312" s="345">
        <v>22.68</v>
      </c>
      <c r="S312" s="345">
        <v>131.72</v>
      </c>
      <c r="T312" s="345">
        <v>1069</v>
      </c>
      <c r="U312" s="345">
        <v>175.58</v>
      </c>
      <c r="V312" s="345">
        <v>285</v>
      </c>
      <c r="W312" s="345">
        <v>146.74</v>
      </c>
      <c r="X312" s="345">
        <v>1</v>
      </c>
      <c r="Y312" s="345">
        <v>35</v>
      </c>
      <c r="Z312" s="345">
        <v>9</v>
      </c>
      <c r="AA312" s="345">
        <v>46</v>
      </c>
      <c r="AB312" s="345">
        <v>0</v>
      </c>
      <c r="AC312" s="345">
        <v>13</v>
      </c>
      <c r="AD312" s="349">
        <v>6678</v>
      </c>
      <c r="AE312" s="349">
        <v>9</v>
      </c>
      <c r="AF312" s="349">
        <v>8</v>
      </c>
      <c r="AG312" s="349">
        <v>17</v>
      </c>
    </row>
    <row r="313" spans="1:33" x14ac:dyDescent="0.2">
      <c r="A313" s="344" t="s">
        <v>678</v>
      </c>
      <c r="B313" s="350" t="s">
        <v>679</v>
      </c>
      <c r="C313" s="346">
        <v>17898</v>
      </c>
      <c r="D313" s="346">
        <v>12</v>
      </c>
      <c r="E313" s="346">
        <v>1138</v>
      </c>
      <c r="F313" s="346">
        <v>3720</v>
      </c>
      <c r="G313" s="346">
        <v>461</v>
      </c>
      <c r="H313" s="346">
        <v>23229</v>
      </c>
      <c r="I313" s="345">
        <v>22768</v>
      </c>
      <c r="J313" s="345">
        <v>27</v>
      </c>
      <c r="K313" s="347">
        <v>87.37</v>
      </c>
      <c r="L313" s="347">
        <v>84.65</v>
      </c>
      <c r="M313" s="347">
        <v>6.94</v>
      </c>
      <c r="N313" s="347">
        <v>89.58</v>
      </c>
      <c r="O313" s="348">
        <v>14347</v>
      </c>
      <c r="P313" s="345">
        <v>84.25</v>
      </c>
      <c r="Q313" s="345">
        <v>80.239999999999995</v>
      </c>
      <c r="R313" s="345">
        <v>23.67</v>
      </c>
      <c r="S313" s="345">
        <v>106.14</v>
      </c>
      <c r="T313" s="345">
        <v>3704</v>
      </c>
      <c r="U313" s="345">
        <v>109.61</v>
      </c>
      <c r="V313" s="345">
        <v>1748</v>
      </c>
      <c r="W313" s="345">
        <v>139.83000000000001</v>
      </c>
      <c r="X313" s="345">
        <v>129</v>
      </c>
      <c r="Y313" s="345">
        <v>0</v>
      </c>
      <c r="Z313" s="345">
        <v>90</v>
      </c>
      <c r="AA313" s="345">
        <v>31</v>
      </c>
      <c r="AB313" s="345">
        <v>1</v>
      </c>
      <c r="AC313" s="345">
        <v>4</v>
      </c>
      <c r="AD313" s="349">
        <v>15970</v>
      </c>
      <c r="AE313" s="349">
        <v>107</v>
      </c>
      <c r="AF313" s="349">
        <v>384</v>
      </c>
      <c r="AG313" s="349">
        <v>491</v>
      </c>
    </row>
    <row r="314" spans="1:33" x14ac:dyDescent="0.2">
      <c r="A314" s="344" t="s">
        <v>680</v>
      </c>
      <c r="B314" s="350" t="s">
        <v>681</v>
      </c>
      <c r="C314" s="346">
        <v>874</v>
      </c>
      <c r="D314" s="346">
        <v>3</v>
      </c>
      <c r="E314" s="346">
        <v>163</v>
      </c>
      <c r="F314" s="346">
        <v>298</v>
      </c>
      <c r="G314" s="346">
        <v>255</v>
      </c>
      <c r="H314" s="346">
        <v>1593</v>
      </c>
      <c r="I314" s="345">
        <v>1338</v>
      </c>
      <c r="J314" s="345">
        <v>2</v>
      </c>
      <c r="K314" s="347">
        <v>124.37</v>
      </c>
      <c r="L314" s="347">
        <v>122.36</v>
      </c>
      <c r="M314" s="347">
        <v>9.6999999999999993</v>
      </c>
      <c r="N314" s="347">
        <v>132.29</v>
      </c>
      <c r="O314" s="348">
        <v>720</v>
      </c>
      <c r="P314" s="345">
        <v>102.34</v>
      </c>
      <c r="Q314" s="345">
        <v>93.78</v>
      </c>
      <c r="R314" s="345">
        <v>34.56</v>
      </c>
      <c r="S314" s="345">
        <v>136.32</v>
      </c>
      <c r="T314" s="345">
        <v>237</v>
      </c>
      <c r="U314" s="345">
        <v>197.54</v>
      </c>
      <c r="V314" s="345">
        <v>30</v>
      </c>
      <c r="W314" s="345">
        <v>141.56</v>
      </c>
      <c r="X314" s="345">
        <v>5</v>
      </c>
      <c r="Y314" s="345">
        <v>0</v>
      </c>
      <c r="Z314" s="345">
        <v>0</v>
      </c>
      <c r="AA314" s="345">
        <v>0</v>
      </c>
      <c r="AB314" s="345">
        <v>21</v>
      </c>
      <c r="AC314" s="345">
        <v>5</v>
      </c>
      <c r="AD314" s="349">
        <v>758</v>
      </c>
      <c r="AE314" s="349">
        <v>1</v>
      </c>
      <c r="AF314" s="349">
        <v>6</v>
      </c>
      <c r="AG314" s="349">
        <v>7</v>
      </c>
    </row>
    <row r="315" spans="1:33" x14ac:dyDescent="0.2">
      <c r="A315" s="344" t="s">
        <v>682</v>
      </c>
      <c r="B315" s="350" t="s">
        <v>683</v>
      </c>
      <c r="C315" s="346">
        <v>1480</v>
      </c>
      <c r="D315" s="346">
        <v>3</v>
      </c>
      <c r="E315" s="346">
        <v>138</v>
      </c>
      <c r="F315" s="346">
        <v>160</v>
      </c>
      <c r="G315" s="346">
        <v>607</v>
      </c>
      <c r="H315" s="346">
        <v>2388</v>
      </c>
      <c r="I315" s="345">
        <v>1781</v>
      </c>
      <c r="J315" s="345">
        <v>2</v>
      </c>
      <c r="K315" s="347">
        <v>129.08000000000001</v>
      </c>
      <c r="L315" s="347">
        <v>127.34</v>
      </c>
      <c r="M315" s="347">
        <v>6.09</v>
      </c>
      <c r="N315" s="347">
        <v>134.18</v>
      </c>
      <c r="O315" s="348">
        <v>1339</v>
      </c>
      <c r="P315" s="345">
        <v>108.92</v>
      </c>
      <c r="Q315" s="345">
        <v>105.57</v>
      </c>
      <c r="R315" s="345">
        <v>35.24</v>
      </c>
      <c r="S315" s="345">
        <v>141.81</v>
      </c>
      <c r="T315" s="345">
        <v>225</v>
      </c>
      <c r="U315" s="345">
        <v>158.09</v>
      </c>
      <c r="V315" s="345">
        <v>109</v>
      </c>
      <c r="W315" s="345">
        <v>0</v>
      </c>
      <c r="X315" s="345">
        <v>0</v>
      </c>
      <c r="Y315" s="345">
        <v>0</v>
      </c>
      <c r="Z315" s="345">
        <v>35</v>
      </c>
      <c r="AA315" s="345">
        <v>3</v>
      </c>
      <c r="AB315" s="345">
        <v>93</v>
      </c>
      <c r="AC315" s="345">
        <v>18</v>
      </c>
      <c r="AD315" s="349">
        <v>1460</v>
      </c>
      <c r="AE315" s="349">
        <v>7</v>
      </c>
      <c r="AF315" s="349">
        <v>3</v>
      </c>
      <c r="AG315" s="349">
        <v>10</v>
      </c>
    </row>
    <row r="316" spans="1:33" x14ac:dyDescent="0.2">
      <c r="A316" s="344" t="s">
        <v>684</v>
      </c>
      <c r="B316" s="350" t="s">
        <v>685</v>
      </c>
      <c r="C316" s="346">
        <v>4186</v>
      </c>
      <c r="D316" s="346">
        <v>2</v>
      </c>
      <c r="E316" s="346">
        <v>547</v>
      </c>
      <c r="F316" s="346">
        <v>1493</v>
      </c>
      <c r="G316" s="346">
        <v>285</v>
      </c>
      <c r="H316" s="346">
        <v>6513</v>
      </c>
      <c r="I316" s="345">
        <v>6228</v>
      </c>
      <c r="J316" s="345">
        <v>0</v>
      </c>
      <c r="K316" s="347">
        <v>89.31</v>
      </c>
      <c r="L316" s="347">
        <v>87.38</v>
      </c>
      <c r="M316" s="347">
        <v>6.27</v>
      </c>
      <c r="N316" s="347">
        <v>94.73</v>
      </c>
      <c r="O316" s="348">
        <v>3813</v>
      </c>
      <c r="P316" s="345">
        <v>95.43</v>
      </c>
      <c r="Q316" s="345">
        <v>91.11</v>
      </c>
      <c r="R316" s="345">
        <v>52.18</v>
      </c>
      <c r="S316" s="345">
        <v>145.4</v>
      </c>
      <c r="T316" s="345">
        <v>1868</v>
      </c>
      <c r="U316" s="345">
        <v>104.21</v>
      </c>
      <c r="V316" s="345">
        <v>234</v>
      </c>
      <c r="W316" s="345">
        <v>171.25</v>
      </c>
      <c r="X316" s="345">
        <v>36</v>
      </c>
      <c r="Y316" s="345">
        <v>0</v>
      </c>
      <c r="Z316" s="345">
        <v>3</v>
      </c>
      <c r="AA316" s="345">
        <v>2</v>
      </c>
      <c r="AB316" s="345">
        <v>0</v>
      </c>
      <c r="AC316" s="345">
        <v>12</v>
      </c>
      <c r="AD316" s="349">
        <v>4186</v>
      </c>
      <c r="AE316" s="349">
        <v>13</v>
      </c>
      <c r="AF316" s="349">
        <v>22</v>
      </c>
      <c r="AG316" s="349">
        <v>35</v>
      </c>
    </row>
    <row r="317" spans="1:33" x14ac:dyDescent="0.2">
      <c r="A317" s="344" t="s">
        <v>686</v>
      </c>
      <c r="B317" s="350" t="s">
        <v>687</v>
      </c>
      <c r="C317" s="346">
        <v>6071</v>
      </c>
      <c r="D317" s="346">
        <v>57</v>
      </c>
      <c r="E317" s="346">
        <v>389</v>
      </c>
      <c r="F317" s="346">
        <v>965</v>
      </c>
      <c r="G317" s="346">
        <v>470</v>
      </c>
      <c r="H317" s="346">
        <v>7952</v>
      </c>
      <c r="I317" s="345">
        <v>7482</v>
      </c>
      <c r="J317" s="345">
        <v>0</v>
      </c>
      <c r="K317" s="347">
        <v>87.71</v>
      </c>
      <c r="L317" s="347">
        <v>89.49</v>
      </c>
      <c r="M317" s="347">
        <v>5.56</v>
      </c>
      <c r="N317" s="347">
        <v>92.86</v>
      </c>
      <c r="O317" s="348">
        <v>5271</v>
      </c>
      <c r="P317" s="345">
        <v>79.650000000000006</v>
      </c>
      <c r="Q317" s="345">
        <v>79.39</v>
      </c>
      <c r="R317" s="345">
        <v>37.130000000000003</v>
      </c>
      <c r="S317" s="345">
        <v>115.1</v>
      </c>
      <c r="T317" s="345">
        <v>1088</v>
      </c>
      <c r="U317" s="345">
        <v>108.33</v>
      </c>
      <c r="V317" s="345">
        <v>702</v>
      </c>
      <c r="W317" s="345">
        <v>182.23</v>
      </c>
      <c r="X317" s="345">
        <v>128</v>
      </c>
      <c r="Y317" s="345">
        <v>0</v>
      </c>
      <c r="Z317" s="345">
        <v>32</v>
      </c>
      <c r="AA317" s="345">
        <v>0</v>
      </c>
      <c r="AB317" s="345">
        <v>16</v>
      </c>
      <c r="AC317" s="345">
        <v>23</v>
      </c>
      <c r="AD317" s="349">
        <v>6014</v>
      </c>
      <c r="AE317" s="349">
        <v>11</v>
      </c>
      <c r="AF317" s="349">
        <v>14</v>
      </c>
      <c r="AG317" s="349">
        <v>25</v>
      </c>
    </row>
    <row r="318" spans="1:33" x14ac:dyDescent="0.2">
      <c r="A318" s="344" t="s">
        <v>688</v>
      </c>
      <c r="B318" s="350" t="s">
        <v>689</v>
      </c>
      <c r="C318" s="346">
        <v>4038</v>
      </c>
      <c r="D318" s="346">
        <v>40</v>
      </c>
      <c r="E318" s="346">
        <v>264</v>
      </c>
      <c r="F318" s="346">
        <v>489</v>
      </c>
      <c r="G318" s="346">
        <v>137</v>
      </c>
      <c r="H318" s="346">
        <v>4968</v>
      </c>
      <c r="I318" s="345">
        <v>4831</v>
      </c>
      <c r="J318" s="345">
        <v>23</v>
      </c>
      <c r="K318" s="347">
        <v>102.04</v>
      </c>
      <c r="L318" s="347">
        <v>101.16</v>
      </c>
      <c r="M318" s="347">
        <v>6.71</v>
      </c>
      <c r="N318" s="347">
        <v>106.15</v>
      </c>
      <c r="O318" s="348">
        <v>3760</v>
      </c>
      <c r="P318" s="345">
        <v>91.18</v>
      </c>
      <c r="Q318" s="345">
        <v>85.91</v>
      </c>
      <c r="R318" s="345">
        <v>33.32</v>
      </c>
      <c r="S318" s="345">
        <v>122.63</v>
      </c>
      <c r="T318" s="345">
        <v>553</v>
      </c>
      <c r="U318" s="345">
        <v>140.37</v>
      </c>
      <c r="V318" s="345">
        <v>151</v>
      </c>
      <c r="W318" s="345">
        <v>0</v>
      </c>
      <c r="X318" s="345">
        <v>0</v>
      </c>
      <c r="Y318" s="345">
        <v>6</v>
      </c>
      <c r="Z318" s="345">
        <v>2</v>
      </c>
      <c r="AA318" s="345">
        <v>1</v>
      </c>
      <c r="AB318" s="345">
        <v>12</v>
      </c>
      <c r="AC318" s="345">
        <v>4</v>
      </c>
      <c r="AD318" s="349">
        <v>4009</v>
      </c>
      <c r="AE318" s="349">
        <v>13</v>
      </c>
      <c r="AF318" s="349">
        <v>7</v>
      </c>
      <c r="AG318" s="349">
        <v>20</v>
      </c>
    </row>
    <row r="319" spans="1:33" x14ac:dyDescent="0.2">
      <c r="A319" s="344" t="s">
        <v>690</v>
      </c>
      <c r="B319" s="350" t="s">
        <v>691</v>
      </c>
      <c r="C319" s="346">
        <v>7236</v>
      </c>
      <c r="D319" s="346">
        <v>7</v>
      </c>
      <c r="E319" s="346">
        <v>43</v>
      </c>
      <c r="F319" s="346">
        <v>856</v>
      </c>
      <c r="G319" s="346">
        <v>388</v>
      </c>
      <c r="H319" s="346">
        <v>8530</v>
      </c>
      <c r="I319" s="345">
        <v>8142</v>
      </c>
      <c r="J319" s="345">
        <v>6</v>
      </c>
      <c r="K319" s="347">
        <v>95.35</v>
      </c>
      <c r="L319" s="347">
        <v>93.57</v>
      </c>
      <c r="M319" s="347">
        <v>3.49</v>
      </c>
      <c r="N319" s="347">
        <v>97.1</v>
      </c>
      <c r="O319" s="348">
        <v>6303</v>
      </c>
      <c r="P319" s="345">
        <v>85.89</v>
      </c>
      <c r="Q319" s="345">
        <v>87.63</v>
      </c>
      <c r="R319" s="345">
        <v>31.37</v>
      </c>
      <c r="S319" s="345">
        <v>117.05</v>
      </c>
      <c r="T319" s="345">
        <v>870</v>
      </c>
      <c r="U319" s="345">
        <v>115.18</v>
      </c>
      <c r="V319" s="345">
        <v>922</v>
      </c>
      <c r="W319" s="345">
        <v>198.77</v>
      </c>
      <c r="X319" s="345">
        <v>29</v>
      </c>
      <c r="Y319" s="345">
        <v>0</v>
      </c>
      <c r="Z319" s="345">
        <v>20</v>
      </c>
      <c r="AA319" s="345">
        <v>1</v>
      </c>
      <c r="AB319" s="345">
        <v>44</v>
      </c>
      <c r="AC319" s="345">
        <v>5</v>
      </c>
      <c r="AD319" s="349">
        <v>7236</v>
      </c>
      <c r="AE319" s="349">
        <v>26</v>
      </c>
      <c r="AF319" s="349">
        <v>18</v>
      </c>
      <c r="AG319" s="349">
        <v>44</v>
      </c>
    </row>
    <row r="320" spans="1:33" x14ac:dyDescent="0.2">
      <c r="A320" s="344" t="s">
        <v>692</v>
      </c>
      <c r="B320" s="350" t="s">
        <v>693</v>
      </c>
      <c r="C320" s="346">
        <v>3226</v>
      </c>
      <c r="D320" s="346">
        <v>3</v>
      </c>
      <c r="E320" s="346">
        <v>227</v>
      </c>
      <c r="F320" s="346">
        <v>400</v>
      </c>
      <c r="G320" s="346">
        <v>133</v>
      </c>
      <c r="H320" s="346">
        <v>3989</v>
      </c>
      <c r="I320" s="345">
        <v>3856</v>
      </c>
      <c r="J320" s="345">
        <v>0</v>
      </c>
      <c r="K320" s="347">
        <v>85.93</v>
      </c>
      <c r="L320" s="347">
        <v>81</v>
      </c>
      <c r="M320" s="347">
        <v>4.38</v>
      </c>
      <c r="N320" s="347">
        <v>88.56</v>
      </c>
      <c r="O320" s="348">
        <v>2980</v>
      </c>
      <c r="P320" s="345">
        <v>92.42</v>
      </c>
      <c r="Q320" s="345">
        <v>73.88</v>
      </c>
      <c r="R320" s="345">
        <v>31.98</v>
      </c>
      <c r="S320" s="345">
        <v>122.96</v>
      </c>
      <c r="T320" s="345">
        <v>576</v>
      </c>
      <c r="U320" s="345">
        <v>103.59</v>
      </c>
      <c r="V320" s="345">
        <v>200</v>
      </c>
      <c r="W320" s="345">
        <v>0</v>
      </c>
      <c r="X320" s="345">
        <v>0</v>
      </c>
      <c r="Y320" s="345">
        <v>0</v>
      </c>
      <c r="Z320" s="345">
        <v>2</v>
      </c>
      <c r="AA320" s="345">
        <v>3</v>
      </c>
      <c r="AB320" s="345">
        <v>0</v>
      </c>
      <c r="AC320" s="345">
        <v>5</v>
      </c>
      <c r="AD320" s="349">
        <v>3195</v>
      </c>
      <c r="AE320" s="349">
        <v>19</v>
      </c>
      <c r="AF320" s="349">
        <v>32</v>
      </c>
      <c r="AG320" s="349">
        <v>51</v>
      </c>
    </row>
    <row r="321" spans="1:33" x14ac:dyDescent="0.2">
      <c r="A321" s="344" t="s">
        <v>694</v>
      </c>
      <c r="B321" s="350" t="s">
        <v>695</v>
      </c>
      <c r="C321" s="346">
        <v>4439</v>
      </c>
      <c r="D321" s="346">
        <v>0</v>
      </c>
      <c r="E321" s="346">
        <v>2214</v>
      </c>
      <c r="F321" s="346">
        <v>72</v>
      </c>
      <c r="G321" s="346">
        <v>398</v>
      </c>
      <c r="H321" s="346">
        <v>7123</v>
      </c>
      <c r="I321" s="345">
        <v>6725</v>
      </c>
      <c r="J321" s="345">
        <v>0</v>
      </c>
      <c r="K321" s="347">
        <v>89.34</v>
      </c>
      <c r="L321" s="347">
        <v>86.69</v>
      </c>
      <c r="M321" s="347">
        <v>4.72</v>
      </c>
      <c r="N321" s="347">
        <v>93.87</v>
      </c>
      <c r="O321" s="348">
        <v>4129</v>
      </c>
      <c r="P321" s="345">
        <v>85.68</v>
      </c>
      <c r="Q321" s="345">
        <v>79.61</v>
      </c>
      <c r="R321" s="345">
        <v>15.42</v>
      </c>
      <c r="S321" s="345">
        <v>101.05</v>
      </c>
      <c r="T321" s="345">
        <v>2142</v>
      </c>
      <c r="U321" s="345">
        <v>97.91</v>
      </c>
      <c r="V321" s="345">
        <v>280</v>
      </c>
      <c r="W321" s="345">
        <v>169.4</v>
      </c>
      <c r="X321" s="345">
        <v>115</v>
      </c>
      <c r="Y321" s="345">
        <v>0</v>
      </c>
      <c r="Z321" s="345">
        <v>16</v>
      </c>
      <c r="AA321" s="345">
        <v>0</v>
      </c>
      <c r="AB321" s="345">
        <v>45</v>
      </c>
      <c r="AC321" s="345">
        <v>12</v>
      </c>
      <c r="AD321" s="349">
        <v>4439</v>
      </c>
      <c r="AE321" s="349">
        <v>18</v>
      </c>
      <c r="AF321" s="349">
        <v>25</v>
      </c>
      <c r="AG321" s="349">
        <v>43</v>
      </c>
    </row>
    <row r="322" spans="1:33" x14ac:dyDescent="0.2">
      <c r="A322" s="344" t="s">
        <v>696</v>
      </c>
      <c r="B322" s="350" t="s">
        <v>697</v>
      </c>
      <c r="C322" s="346">
        <v>3873</v>
      </c>
      <c r="D322" s="346">
        <v>11</v>
      </c>
      <c r="E322" s="346">
        <v>391</v>
      </c>
      <c r="F322" s="346">
        <v>678</v>
      </c>
      <c r="G322" s="346">
        <v>411</v>
      </c>
      <c r="H322" s="346">
        <v>5364</v>
      </c>
      <c r="I322" s="345">
        <v>4953</v>
      </c>
      <c r="J322" s="345">
        <v>20</v>
      </c>
      <c r="K322" s="347">
        <v>94.11</v>
      </c>
      <c r="L322" s="347">
        <v>93.31</v>
      </c>
      <c r="M322" s="347">
        <v>6.73</v>
      </c>
      <c r="N322" s="347">
        <v>97.3</v>
      </c>
      <c r="O322" s="348">
        <v>2980</v>
      </c>
      <c r="P322" s="345">
        <v>82.24</v>
      </c>
      <c r="Q322" s="345">
        <v>77.260000000000005</v>
      </c>
      <c r="R322" s="345">
        <v>26.8</v>
      </c>
      <c r="S322" s="345">
        <v>108.32</v>
      </c>
      <c r="T322" s="345">
        <v>675</v>
      </c>
      <c r="U322" s="345">
        <v>109.62</v>
      </c>
      <c r="V322" s="345">
        <v>454</v>
      </c>
      <c r="W322" s="345">
        <v>0</v>
      </c>
      <c r="X322" s="345">
        <v>0</v>
      </c>
      <c r="Y322" s="345">
        <v>0</v>
      </c>
      <c r="Z322" s="345">
        <v>1</v>
      </c>
      <c r="AA322" s="345">
        <v>1</v>
      </c>
      <c r="AB322" s="345">
        <v>11</v>
      </c>
      <c r="AC322" s="345">
        <v>5</v>
      </c>
      <c r="AD322" s="349">
        <v>3534</v>
      </c>
      <c r="AE322" s="349">
        <v>7</v>
      </c>
      <c r="AF322" s="349">
        <v>5</v>
      </c>
      <c r="AG322" s="349">
        <v>12</v>
      </c>
    </row>
  </sheetData>
  <pageMargins left="0.7" right="0.7" top="0.75" bottom="0.75" header="0.3" footer="0.3"/>
  <pageSetup paperSize="9" orientation="portrait" r:id="rId1"/>
  <headerFooter>
    <oddFooter>&amp;C&amp;1#&amp;"Calibri"&amp;12&amp;K0078D7OFFICIAL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6D1ED10495DE94DB1659A33E5BC6327" ma:contentTypeVersion="11" ma:contentTypeDescription="Create a new document." ma:contentTypeScope="" ma:versionID="78ec334556cb2511db941a74b32f8ac8">
  <xsd:schema xmlns:xsd="http://www.w3.org/2001/XMLSchema" xmlns:xs="http://www.w3.org/2001/XMLSchema" xmlns:p="http://schemas.microsoft.com/office/2006/metadata/properties" xmlns:ns3="ca0888e1-ea96-4789-bf97-35736e00a9ce" xmlns:ns4="d9c622cc-8e44-42df-8592-1faa16b6fa1e" targetNamespace="http://schemas.microsoft.com/office/2006/metadata/properties" ma:root="true" ma:fieldsID="e0d5e9a7be2498717e6d3a78d5299426" ns3:_="" ns4:_="">
    <xsd:import namespace="ca0888e1-ea96-4789-bf97-35736e00a9ce"/>
    <xsd:import namespace="d9c622cc-8e44-42df-8592-1faa16b6fa1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88e1-ea96-4789-bf97-35736e00a9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c622cc-8e44-42df-8592-1faa16b6fa1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5B2B8A-EF39-4E21-B808-E94F438BA70C}">
  <ds:schemaRefs>
    <ds:schemaRef ds:uri="http://schemas.microsoft.com/sharepoint/v3/contenttype/forms"/>
  </ds:schemaRefs>
</ds:datastoreItem>
</file>

<file path=customXml/itemProps2.xml><?xml version="1.0" encoding="utf-8"?>
<ds:datastoreItem xmlns:ds="http://schemas.openxmlformats.org/officeDocument/2006/customXml" ds:itemID="{289E6E93-FE99-4488-90CD-3FCE20FDC4C6}">
  <ds:schemaRefs>
    <ds:schemaRef ds:uri="d9c622cc-8e44-42df-8592-1faa16b6fa1e"/>
    <ds:schemaRef ds:uri="http://schemas.microsoft.com/office/2006/metadata/properties"/>
    <ds:schemaRef ds:uri="http://purl.org/dc/elements/1.1/"/>
    <ds:schemaRef ds:uri="http://schemas.openxmlformats.org/package/2006/metadata/core-properties"/>
    <ds:schemaRef ds:uri="http://purl.org/dc/dcmitype/"/>
    <ds:schemaRef ds:uri="http://www.w3.org/XML/1998/namespace"/>
    <ds:schemaRef ds:uri="http://schemas.microsoft.com/office/2006/documentManagement/types"/>
    <ds:schemaRef ds:uri="http://schemas.microsoft.com/office/infopath/2007/PartnerControls"/>
    <ds:schemaRef ds:uri="ca0888e1-ea96-4789-bf97-35736e00a9ce"/>
    <ds:schemaRef ds:uri="http://purl.org/dc/terms/"/>
  </ds:schemaRefs>
</ds:datastoreItem>
</file>

<file path=customXml/itemProps3.xml><?xml version="1.0" encoding="utf-8"?>
<ds:datastoreItem xmlns:ds="http://schemas.openxmlformats.org/officeDocument/2006/customXml" ds:itemID="{C38E2DBB-0536-40C2-8E24-735223904C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88e1-ea96-4789-bf97-35736e00a9ce"/>
    <ds:schemaRef ds:uri="d9c622cc-8e44-42df-8592-1faa16b6fa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Introduction and Contents</vt:lpstr>
      <vt:lpstr>Glossary</vt:lpstr>
      <vt:lpstr>Version History</vt:lpstr>
      <vt:lpstr>PRP LA trend tool 2015-23</vt:lpstr>
      <vt:lpstr>How to use the search function</vt:lpstr>
      <vt:lpstr>PRPcounts</vt:lpstr>
      <vt:lpstr>Y_1</vt:lpstr>
      <vt:lpstr>Y_2</vt:lpstr>
      <vt:lpstr>Y_3</vt:lpstr>
      <vt:lpstr>Y_4</vt:lpstr>
      <vt:lpstr>Y_5</vt:lpstr>
      <vt:lpstr>Y_6</vt:lpstr>
      <vt:lpstr>Y_7</vt:lpstr>
      <vt:lpstr>Y_8</vt:lpstr>
      <vt:lpstr>Y_9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Parker</dc:creator>
  <cp:lastModifiedBy>Paul Kester</cp:lastModifiedBy>
  <cp:lastPrinted>2023-10-11T14:12:22Z</cp:lastPrinted>
  <dcterms:created xsi:type="dcterms:W3CDTF">2021-03-24T10:19:47Z</dcterms:created>
  <dcterms:modified xsi:type="dcterms:W3CDTF">2023-10-20T14:26:58Z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0x010100E6D1ED10495DE94DB1659A33E5BC6327</vt:lpwstr>
  </property>
  <property fmtid="{D5CDD505-2E9C-101B-9397-08002B2CF9AE}" pid="3" name="MSIP_Label_727fb50e-81d5-40a5-b712-4eff31972ce4_Enabled">
    <vt:lpwstr>True</vt:lpwstr>
  </property>
  <property fmtid="{D5CDD505-2E9C-101B-9397-08002B2CF9AE}" pid="4" name="MSIP_Label_727fb50e-81d5-40a5-b712-4eff31972ce4_SiteId">
    <vt:lpwstr>faa8e269-0811-4538-82e7-4d29009219bf</vt:lpwstr>
  </property>
  <property fmtid="{D5CDD505-2E9C-101B-9397-08002B2CF9AE}" pid="5" name="MSIP_Label_727fb50e-81d5-40a5-b712-4eff31972ce4_Owner">
    <vt:lpwstr>Kelly.Barrett@rsh.gov.uk</vt:lpwstr>
  </property>
  <property fmtid="{D5CDD505-2E9C-101B-9397-08002B2CF9AE}" pid="6" name="MSIP_Label_727fb50e-81d5-40a5-b712-4eff31972ce4_SetDate">
    <vt:lpwstr>2021-09-21T11:16:28.8357106Z</vt:lpwstr>
  </property>
  <property fmtid="{D5CDD505-2E9C-101B-9397-08002B2CF9AE}" pid="7" name="MSIP_Label_727fb50e-81d5-40a5-b712-4eff31972ce4_Name">
    <vt:lpwstr>Official</vt:lpwstr>
  </property>
  <property fmtid="{D5CDD505-2E9C-101B-9397-08002B2CF9AE}" pid="8" name="MSIP_Label_727fb50e-81d5-40a5-b712-4eff31972ce4_Application">
    <vt:lpwstr>Microsoft Azure Information Protection</vt:lpwstr>
  </property>
  <property fmtid="{D5CDD505-2E9C-101B-9397-08002B2CF9AE}" pid="9" name="MSIP_Label_727fb50e-81d5-40a5-b712-4eff31972ce4_ActionId">
    <vt:lpwstr>bf01dcef-0ac8-4598-816c-afa41276594c</vt:lpwstr>
  </property>
  <property fmtid="{D5CDD505-2E9C-101B-9397-08002B2CF9AE}" pid="10" name="MSIP_Label_727fb50e-81d5-40a5-b712-4eff31972ce4_Extended_MSFT_Method">
    <vt:lpwstr>Automatic</vt:lpwstr>
  </property>
  <property fmtid="{D5CDD505-2E9C-101B-9397-08002B2CF9AE}" pid="11" name="Sensitivity">
    <vt:lpwstr>Official</vt:lpwstr>
  </property>
</Properties>
</file>