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32767" windowWidth="19440" windowHeight="12000" tabRatio="629" activeTab="0"/>
  </bookViews>
  <sheets>
    <sheet name="Coal Production" sheetId="1" r:id="rId1"/>
    <sheet name="Coal Availability &amp; Consumption" sheetId="2" r:id="rId2"/>
    <sheet name="Sources" sheetId="3" r:id="rId3"/>
  </sheets>
  <definedNames>
    <definedName name="_xlnm.Print_Area" localSheetId="1">'Coal Availability &amp; Consumption'!$A$6:$S$138</definedName>
    <definedName name="_xlnm.Print_Area" localSheetId="0">'Coal Production'!$A$5:$I$130</definedName>
  </definedNames>
  <calcPr fullCalcOnLoad="1"/>
</workbook>
</file>

<file path=xl/comments1.xml><?xml version="1.0" encoding="utf-8"?>
<comments xmlns="http://schemas.openxmlformats.org/spreadsheetml/2006/main">
  <authors>
    <author>Janes</author>
  </authors>
  <commentList>
    <comment ref="I24" authorId="0">
      <text>
        <r>
          <rPr>
            <sz val="10"/>
            <rFont val="Tahoma"/>
            <family val="2"/>
          </rPr>
          <t>Average since privatisation = 1995-2002 - includes all employees and contractors</t>
        </r>
      </text>
    </comment>
  </commentList>
</comments>
</file>

<file path=xl/sharedStrings.xml><?xml version="1.0" encoding="utf-8"?>
<sst xmlns="http://schemas.openxmlformats.org/spreadsheetml/2006/main" count="856" uniqueCount="454">
  <si>
    <t>Cell I82 from Digest of United Kingdom Energy Statistics 1978 Table 19</t>
  </si>
  <si>
    <t>Cells I83:I93 from Digest of United Kingdom Energy Statistics 1979 Table 17</t>
  </si>
  <si>
    <t>Cells J75:J84 from Digest of United Kingdom Energy Statistics 2000 Table 2.11</t>
  </si>
  <si>
    <t>Cells K75:K84 from Digest of United Kingdom Energy Statistics 2000 Table 2.11</t>
  </si>
  <si>
    <t>Cells M17:M20 from Ministry of Fuel and Power Statistical Digest 1955 Table 72</t>
  </si>
  <si>
    <t>Cells Q11:Q17 from Ministry of Fuel and Power Statistical Digest 1950 Table 67</t>
  </si>
  <si>
    <t>Cells Q75:Q84  from Digest of United Kingdom Energy Statistics 2000 Table 2.11</t>
  </si>
  <si>
    <t xml:space="preserve">Cells R11:R20 from Ministry of Fuel and Power Statistical Digest 1955 Table 72 </t>
  </si>
  <si>
    <t>Cell R78 from Digest of United Kingdom Energy Statistics 1975 Table 25</t>
  </si>
  <si>
    <t>Cell R79 from Digest of United Kingdom Energy Statistics 1975 Table 15</t>
  </si>
  <si>
    <t>Cells R80:R81 from Digest of United Kingdom Energy Statistics 1976 Table 17</t>
  </si>
  <si>
    <t>Cell R82 from Digest of United Kingdom Energy Statistics 1978 Table 19</t>
  </si>
  <si>
    <t>Cells R83:R93 from Digest of United Kingdom Energy Statistics 1979 Table 17</t>
  </si>
  <si>
    <t>Cell R94 from Digest of United Kingdom Energy Statistics 1984 Table 14</t>
  </si>
  <si>
    <t>Cell R95 from Digest of United Kingdom Energy Statistics 1985 Table 14</t>
  </si>
  <si>
    <t>Cell R96 from Digest of United Kingdom Energy Statistics 1986 Table 14</t>
  </si>
  <si>
    <t>Cell R97 from Digest of United Kingdom Energy Statistics 1987 Table 14</t>
  </si>
  <si>
    <t>Cell R98 from Digest of United Kingdom Energy Statistics 1988 Table 14</t>
  </si>
  <si>
    <t>Cell R99 from Digest of United Kingdom Energy Statistics 1989 Table 14</t>
  </si>
  <si>
    <t>Cells R100:R101 from Digest of United Kingdom Energy Statistics 1990 Table 12</t>
  </si>
  <si>
    <t>Cells R102:R106 from Digest of United Kingdom Energy Statistics 1992 Table 12</t>
  </si>
  <si>
    <t>Electricity</t>
  </si>
  <si>
    <t>Railways</t>
  </si>
  <si>
    <t>Miners</t>
  </si>
  <si>
    <t>Coastwise</t>
  </si>
  <si>
    <t xml:space="preserve">Year </t>
  </si>
  <si>
    <t>Year</t>
  </si>
  <si>
    <t>..</t>
  </si>
  <si>
    <t xml:space="preserve">Gas </t>
  </si>
  <si>
    <t>Domestic</t>
  </si>
  <si>
    <t>Industry</t>
  </si>
  <si>
    <t>Collieries</t>
  </si>
  <si>
    <t xml:space="preserve"> Ireland</t>
  </si>
  <si>
    <t>Northern</t>
  </si>
  <si>
    <t>-</t>
  </si>
  <si>
    <t>Million tonnes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</si>
  <si>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</si>
  <si>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</si>
  <si>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</si>
  <si>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</si>
  <si>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</si>
  <si>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</si>
  <si>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</si>
  <si>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</si>
  <si>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</si>
  <si>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</si>
  <si>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</si>
  <si>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</si>
  <si>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</si>
  <si>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(15)</t>
  </si>
  <si>
    <t>(14)</t>
  </si>
  <si>
    <t>(16)</t>
  </si>
  <si>
    <t>(17)</t>
  </si>
  <si>
    <t>Footnotes:</t>
  </si>
  <si>
    <t>Employment</t>
  </si>
  <si>
    <t>Thousands</t>
  </si>
  <si>
    <t>Other</t>
  </si>
  <si>
    <t>Distributed</t>
  </si>
  <si>
    <t>Stocks</t>
  </si>
  <si>
    <t>(18)</t>
  </si>
  <si>
    <t>Producing Coal</t>
  </si>
  <si>
    <t xml:space="preserve"> Mines at End of Year</t>
  </si>
  <si>
    <t>Deepmined Output</t>
  </si>
  <si>
    <t>Coal Imports</t>
  </si>
  <si>
    <t>Sources</t>
  </si>
  <si>
    <t>Coke Ovens &amp;</t>
  </si>
  <si>
    <t>Total Inland</t>
  </si>
  <si>
    <t>Consumption</t>
  </si>
  <si>
    <r>
      <t xml:space="preserve">Footnotes: </t>
    </r>
  </si>
  <si>
    <t>Bunkers</t>
  </si>
  <si>
    <t xml:space="preserve"> Overseas Shipments </t>
  </si>
  <si>
    <t xml:space="preserve">Total Consumption </t>
  </si>
  <si>
    <t>Cells B14:B18 from Ministry of Fuel and Power Statistical Digest 1950 Table 5</t>
  </si>
  <si>
    <t>Cells B27:B61 from Ministry of Fuel and Power Statistical Digest 1950 Table 5</t>
  </si>
  <si>
    <t>Cells C95:C98 End March of following year; British Coal Corporation Report and Accounts 1989/90 pp 24/25</t>
  </si>
  <si>
    <t>Cells C99:C108 End March of following year; British Coal Corporation Report and Accounts 1994/95 pp 36/37</t>
  </si>
  <si>
    <t>Number of Deep Mines</t>
  </si>
  <si>
    <t>Number of Opencast Sites</t>
  </si>
  <si>
    <t>Cell B114 from Digest of United Kingdom Energy Statistics 2001, Table 2.12</t>
  </si>
  <si>
    <t>Cell B115 from Digest of United Kingdom Energy Statistics 2002, Table 2.10</t>
  </si>
  <si>
    <t>Cell B116 from Digest of United Kingdom Energy Statistics 2003, Table 2.10</t>
  </si>
  <si>
    <t>Cell B117 from Digest of United Kingdom Energy Statistics 2004, Table 2.10</t>
  </si>
  <si>
    <t>Cell B118 from Digest of United Kingdom Energy Statistics 2005, Table 2.10</t>
  </si>
  <si>
    <t>Cell B119 from Digest of United Kingdom Energy Statistics 2006, Table 2.10</t>
  </si>
  <si>
    <t>Cell B120 from Digest of United Kingdom Energy Statistics 2007, Table 2.10</t>
  </si>
  <si>
    <t>Cell B121 from Digest of United Kingdom Energy Statistics 2008, Table 2.10</t>
  </si>
  <si>
    <t>Cell B122 from Digest of United Kingdom Energy Statistics 2009 Table 2.10</t>
  </si>
  <si>
    <t>Cell D115 from Digest of United Kingdom Energy Statistics 2002, Table 2.11</t>
  </si>
  <si>
    <t>Cell D116 from Digest of United Kingdom Energy Statistics 2003, Table 2.11</t>
  </si>
  <si>
    <t>Cell D117 from Digest of United Kingdom Energy Statistics 2004, Table 2.11</t>
  </si>
  <si>
    <t>Cell D118 from Digest of United Kingdom Energy Statistics 2005, Table 2.11</t>
  </si>
  <si>
    <t>Cell D119 from Digest of United Kingdom Energy Statistics 2006, Table 2.11</t>
  </si>
  <si>
    <t>Cell D120 from Digest of United Kingdom Energy Statistics 2007, Table 2.11</t>
  </si>
  <si>
    <t>Cell D121 from Digest of United Kingdom Energy Statistics 2008, Table 2.11</t>
  </si>
  <si>
    <t>Cells E10:E18 from Ministry of Power Statistical Digest 1965 Table 18 (Adjusted numbers)</t>
  </si>
  <si>
    <t>Cells E56:E60 calculated from columns E and F</t>
  </si>
  <si>
    <t>Cells E74:E83 from Digest of United Kingdom Energy Statistics 2000 Table 2.10</t>
  </si>
  <si>
    <t>Cells F74:F83 from Digest of United Kingdom Energy Statistics 2000 Table 2.10</t>
  </si>
  <si>
    <t>Cells G56:G60 from Ministry of Fuel and Power Statistical Digest 1948 and 1949 Table 56</t>
  </si>
  <si>
    <t>Cells I12:I20 from Ministry of Power Statistical Digest 1965 Table 18 (Adjusted numbers)</t>
  </si>
  <si>
    <t>Cells I33,I35:I43,I45:I50 and I52:I60  from Ministry of Power Statistical Digest 1961 Table 10</t>
  </si>
  <si>
    <t>Cells I28:I32 from Ministry of Fuel and Power Statistical Digest 1950 Table 5</t>
  </si>
  <si>
    <t>Cells I27, I34, I44, I51 and I61:I78 from Ministry of Power Statistical Digest 1965 Table 18 (Adjusted numbers)</t>
  </si>
  <si>
    <t>Cells I95:I108 Underground wage earners on British Coal Colliery books; from Digest of United Kingdom Energy Statistics 1981 Table 24 (to 1980)</t>
  </si>
  <si>
    <t>Cells I84:I94 from Digest of United Kingdom Energy Statistics 1981 Table 24</t>
  </si>
  <si>
    <t>Cells B11:B20 from Ministry of Fuel and Power Statistical Digest 1955 Table 72</t>
  </si>
  <si>
    <t>Cells E17:E20 from Ministry of Fuel and Power Statistical Digest 1955 Table 72</t>
  </si>
  <si>
    <t>Cells E75:E84 from Digest of United Kingdom Energy Statistics 2000 Table 2.11</t>
  </si>
  <si>
    <t>Cells F75:F84 from Digest of United Kingdom Energy Statistics 2000 Table 2.11</t>
  </si>
  <si>
    <t xml:space="preserve">Cells F85:F111 from Digest of United Kingdom Energy Statistics 2001 Table 2.11 </t>
  </si>
  <si>
    <t>Cells H59:H73 Manufactured Fuels from Ministry of Power Statistical Digest 1958 Table 61</t>
  </si>
  <si>
    <t>Cell H58 Manufactured Fuels from Ministry of Fuel and Power Statistical Digest 1954 Table 146</t>
  </si>
  <si>
    <t>Cell H74 Manufactured Fuels from Ministry of Power Statistical Digest 1965 Table 66</t>
  </si>
  <si>
    <t>Cells H75:H84 from Digest of United Kingdom Energy Statistics 2000 Table 2.11</t>
  </si>
  <si>
    <t>Cells I70 and I75  from Digest of United Kingdom Energy Statistics 1972 Table 26</t>
  </si>
  <si>
    <t>Cell I77  from Digest of United Kingdom Energy Statistics 1971 Table 29</t>
  </si>
  <si>
    <t>Cell I78 from Digest of United Kingdom Energy Statistics 1975 Table 25</t>
  </si>
  <si>
    <t>Cell I79 from Digest of United Kingdom Energy Statistics 1975 Table 25</t>
  </si>
  <si>
    <t>Cells I80:I81 from Digest of United Kingdom Energy Statistics 1976 Table 17</t>
  </si>
  <si>
    <r>
      <t>Number of NCB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</si>
  <si>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Total Output</t>
    </r>
    <r>
      <rPr>
        <b/>
        <vertAlign val="superscript"/>
        <sz val="10"/>
        <rFont val="Arial"/>
        <family val="2"/>
      </rPr>
      <t>3</t>
    </r>
  </si>
  <si>
    <r>
      <t>Opencast Output</t>
    </r>
    <r>
      <rPr>
        <b/>
        <vertAlign val="superscript"/>
        <sz val="10"/>
        <rFont val="Arial"/>
        <family val="2"/>
      </rPr>
      <t>4</t>
    </r>
  </si>
  <si>
    <r>
      <t>1853-1862</t>
    </r>
    <r>
      <rPr>
        <b/>
        <vertAlign val="superscript"/>
        <sz val="10"/>
        <rFont val="Arial"/>
        <family val="2"/>
      </rPr>
      <t>5</t>
    </r>
  </si>
  <si>
    <r>
      <t>1863-1872</t>
    </r>
    <r>
      <rPr>
        <b/>
        <vertAlign val="superscript"/>
        <sz val="10"/>
        <rFont val="Arial"/>
        <family val="2"/>
      </rPr>
      <t>5</t>
    </r>
  </si>
  <si>
    <r>
      <t>1873-1882</t>
    </r>
    <r>
      <rPr>
        <b/>
        <vertAlign val="superscript"/>
        <sz val="10"/>
        <rFont val="Arial"/>
        <family val="2"/>
      </rPr>
      <t>5</t>
    </r>
  </si>
  <si>
    <r>
      <t>1883-1892</t>
    </r>
    <r>
      <rPr>
        <b/>
        <vertAlign val="superscript"/>
        <sz val="10"/>
        <rFont val="Arial"/>
        <family val="2"/>
      </rPr>
      <t>5</t>
    </r>
  </si>
  <si>
    <r>
      <t>1893-1902</t>
    </r>
    <r>
      <rPr>
        <b/>
        <vertAlign val="superscript"/>
        <sz val="10"/>
        <rFont val="Arial"/>
        <family val="2"/>
      </rPr>
      <t>5</t>
    </r>
  </si>
  <si>
    <r>
      <t>1903-1912</t>
    </r>
    <r>
      <rPr>
        <b/>
        <vertAlign val="superscript"/>
        <sz val="10"/>
        <rFont val="Arial"/>
        <family val="2"/>
      </rPr>
      <t>5</t>
    </r>
  </si>
  <si>
    <r>
      <t>1913-1922</t>
    </r>
    <r>
      <rPr>
        <b/>
        <vertAlign val="superscript"/>
        <sz val="10"/>
        <rFont val="Arial"/>
        <family val="2"/>
      </rPr>
      <t>5</t>
    </r>
  </si>
  <si>
    <r>
      <t>1923-1932</t>
    </r>
    <r>
      <rPr>
        <b/>
        <vertAlign val="superscript"/>
        <sz val="10"/>
        <rFont val="Arial"/>
        <family val="2"/>
      </rPr>
      <t>5</t>
    </r>
  </si>
  <si>
    <r>
      <t>1933-1942</t>
    </r>
    <r>
      <rPr>
        <b/>
        <vertAlign val="superscript"/>
        <sz val="10"/>
        <rFont val="Arial"/>
        <family val="2"/>
      </rPr>
      <t>5</t>
    </r>
  </si>
  <si>
    <r>
      <t>1943-1952</t>
    </r>
    <r>
      <rPr>
        <b/>
        <vertAlign val="superscript"/>
        <sz val="10"/>
        <rFont val="Arial"/>
        <family val="2"/>
      </rPr>
      <t>5,6</t>
    </r>
  </si>
  <si>
    <r>
      <t>1953-1962</t>
    </r>
    <r>
      <rPr>
        <b/>
        <vertAlign val="superscript"/>
        <sz val="10"/>
        <rFont val="Arial"/>
        <family val="2"/>
      </rPr>
      <t>5,6</t>
    </r>
  </si>
  <si>
    <r>
      <t>1963-1972</t>
    </r>
    <r>
      <rPr>
        <b/>
        <vertAlign val="superscript"/>
        <sz val="10"/>
        <rFont val="Arial"/>
        <family val="2"/>
      </rPr>
      <t>5,6</t>
    </r>
  </si>
  <si>
    <r>
      <t>1973-1982</t>
    </r>
    <r>
      <rPr>
        <b/>
        <vertAlign val="superscript"/>
        <sz val="10"/>
        <rFont val="Arial"/>
        <family val="2"/>
      </rPr>
      <t>5,6</t>
    </r>
  </si>
  <si>
    <r>
      <t>1983-1992</t>
    </r>
    <r>
      <rPr>
        <b/>
        <vertAlign val="superscript"/>
        <sz val="10"/>
        <rFont val="Arial"/>
        <family val="2"/>
      </rPr>
      <t>5,6</t>
    </r>
  </si>
  <si>
    <r>
      <t>1993-2002</t>
    </r>
    <r>
      <rPr>
        <b/>
        <vertAlign val="superscript"/>
        <sz val="10"/>
        <rFont val="Arial"/>
        <family val="2"/>
      </rPr>
      <t>5,6,7</t>
    </r>
  </si>
  <si>
    <r>
      <t>1942</t>
    </r>
    <r>
      <rPr>
        <b/>
        <vertAlign val="superscript"/>
        <sz val="10"/>
        <rFont val="Arial"/>
        <family val="2"/>
      </rPr>
      <t>8</t>
    </r>
  </si>
  <si>
    <r>
      <t>1948</t>
    </r>
    <r>
      <rPr>
        <b/>
        <vertAlign val="superscript"/>
        <sz val="10"/>
        <rFont val="Arial"/>
        <family val="2"/>
      </rPr>
      <t>8,9</t>
    </r>
  </si>
  <si>
    <r>
      <t>1943</t>
    </r>
    <r>
      <rPr>
        <b/>
        <vertAlign val="superscript"/>
        <sz val="10"/>
        <rFont val="Arial"/>
        <family val="2"/>
      </rPr>
      <t>8</t>
    </r>
  </si>
  <si>
    <r>
      <t>1944</t>
    </r>
    <r>
      <rPr>
        <b/>
        <vertAlign val="superscript"/>
        <sz val="10"/>
        <rFont val="Arial"/>
        <family val="2"/>
      </rPr>
      <t>8</t>
    </r>
  </si>
  <si>
    <r>
      <t>1945</t>
    </r>
    <r>
      <rPr>
        <b/>
        <vertAlign val="superscript"/>
        <sz val="10"/>
        <rFont val="Arial"/>
        <family val="2"/>
      </rPr>
      <t>8</t>
    </r>
  </si>
  <si>
    <r>
      <t>1946</t>
    </r>
    <r>
      <rPr>
        <b/>
        <vertAlign val="superscript"/>
        <sz val="10"/>
        <rFont val="Arial"/>
        <family val="2"/>
      </rPr>
      <t>8</t>
    </r>
  </si>
  <si>
    <r>
      <t>1947</t>
    </r>
    <r>
      <rPr>
        <b/>
        <vertAlign val="superscript"/>
        <sz val="10"/>
        <rFont val="Arial"/>
        <family val="2"/>
      </rPr>
      <t>8</t>
    </r>
  </si>
  <si>
    <r>
      <t>1949</t>
    </r>
    <r>
      <rPr>
        <b/>
        <vertAlign val="superscript"/>
        <sz val="10"/>
        <rFont val="Arial"/>
        <family val="2"/>
      </rPr>
      <t>8</t>
    </r>
  </si>
  <si>
    <r>
      <t>1950</t>
    </r>
    <r>
      <rPr>
        <b/>
        <vertAlign val="superscript"/>
        <sz val="10"/>
        <rFont val="Arial"/>
        <family val="2"/>
      </rPr>
      <t>8</t>
    </r>
  </si>
  <si>
    <r>
      <t>1951</t>
    </r>
    <r>
      <rPr>
        <b/>
        <vertAlign val="superscript"/>
        <sz val="10"/>
        <rFont val="Arial"/>
        <family val="2"/>
      </rPr>
      <t>8</t>
    </r>
  </si>
  <si>
    <r>
      <t>1952</t>
    </r>
    <r>
      <rPr>
        <b/>
        <vertAlign val="superscript"/>
        <sz val="10"/>
        <rFont val="Arial"/>
        <family val="2"/>
      </rPr>
      <t>8</t>
    </r>
  </si>
  <si>
    <r>
      <t>1953</t>
    </r>
    <r>
      <rPr>
        <b/>
        <vertAlign val="superscript"/>
        <sz val="10"/>
        <rFont val="Arial"/>
        <family val="2"/>
      </rPr>
      <t>8</t>
    </r>
  </si>
  <si>
    <r>
      <t>1954</t>
    </r>
    <r>
      <rPr>
        <b/>
        <vertAlign val="superscript"/>
        <sz val="10"/>
        <rFont val="Arial"/>
        <family val="2"/>
      </rPr>
      <t>8</t>
    </r>
  </si>
  <si>
    <r>
      <t>1955</t>
    </r>
    <r>
      <rPr>
        <b/>
        <vertAlign val="superscript"/>
        <sz val="10"/>
        <rFont val="Arial"/>
        <family val="2"/>
      </rPr>
      <t>8</t>
    </r>
  </si>
  <si>
    <r>
      <t>1956</t>
    </r>
    <r>
      <rPr>
        <b/>
        <vertAlign val="superscript"/>
        <sz val="10"/>
        <rFont val="Arial"/>
        <family val="2"/>
      </rPr>
      <t>8</t>
    </r>
  </si>
  <si>
    <r>
      <t>1957</t>
    </r>
    <r>
      <rPr>
        <b/>
        <vertAlign val="superscript"/>
        <sz val="10"/>
        <rFont val="Arial"/>
        <family val="2"/>
      </rPr>
      <t>8</t>
    </r>
  </si>
  <si>
    <r>
      <t>1958</t>
    </r>
    <r>
      <rPr>
        <b/>
        <vertAlign val="superscript"/>
        <sz val="10"/>
        <rFont val="Arial"/>
        <family val="2"/>
      </rPr>
      <t>8</t>
    </r>
  </si>
  <si>
    <r>
      <t>1959</t>
    </r>
    <r>
      <rPr>
        <b/>
        <vertAlign val="superscript"/>
        <sz val="10"/>
        <rFont val="Arial"/>
        <family val="2"/>
      </rPr>
      <t>8</t>
    </r>
  </si>
  <si>
    <r>
      <t>1960</t>
    </r>
    <r>
      <rPr>
        <b/>
        <vertAlign val="superscript"/>
        <sz val="10"/>
        <rFont val="Arial"/>
        <family val="2"/>
      </rPr>
      <t>8</t>
    </r>
  </si>
  <si>
    <r>
      <t>1961</t>
    </r>
    <r>
      <rPr>
        <b/>
        <vertAlign val="superscript"/>
        <sz val="10"/>
        <rFont val="Arial"/>
        <family val="2"/>
      </rPr>
      <t>8</t>
    </r>
  </si>
  <si>
    <r>
      <t>1962</t>
    </r>
    <r>
      <rPr>
        <b/>
        <vertAlign val="superscript"/>
        <sz val="10"/>
        <rFont val="Arial"/>
        <family val="2"/>
      </rPr>
      <t>8</t>
    </r>
  </si>
  <si>
    <r>
      <t>1963</t>
    </r>
    <r>
      <rPr>
        <b/>
        <vertAlign val="superscript"/>
        <sz val="10"/>
        <rFont val="Arial"/>
        <family val="2"/>
      </rPr>
      <t>8</t>
    </r>
  </si>
  <si>
    <r>
      <t>1964</t>
    </r>
    <r>
      <rPr>
        <b/>
        <vertAlign val="superscript"/>
        <sz val="10"/>
        <rFont val="Arial"/>
        <family val="2"/>
      </rPr>
      <t>8</t>
    </r>
  </si>
  <si>
    <t>1965</t>
  </si>
  <si>
    <t>1966</t>
  </si>
  <si>
    <r>
      <t>1965</t>
    </r>
    <r>
      <rPr>
        <b/>
        <vertAlign val="superscript"/>
        <sz val="10"/>
        <rFont val="Arial"/>
        <family val="2"/>
      </rPr>
      <t>8</t>
    </r>
  </si>
  <si>
    <r>
      <t>1966</t>
    </r>
    <r>
      <rPr>
        <b/>
        <vertAlign val="superscript"/>
        <sz val="10"/>
        <rFont val="Arial"/>
        <family val="2"/>
      </rPr>
      <t>8</t>
    </r>
  </si>
  <si>
    <r>
      <t>1967</t>
    </r>
    <r>
      <rPr>
        <b/>
        <vertAlign val="superscript"/>
        <sz val="10"/>
        <rFont val="Arial"/>
        <family val="2"/>
      </rPr>
      <t>8</t>
    </r>
  </si>
  <si>
    <r>
      <t>1968</t>
    </r>
    <r>
      <rPr>
        <b/>
        <vertAlign val="superscript"/>
        <sz val="10"/>
        <rFont val="Arial"/>
        <family val="2"/>
      </rPr>
      <t>8</t>
    </r>
  </si>
  <si>
    <r>
      <t>1969</t>
    </r>
    <r>
      <rPr>
        <b/>
        <vertAlign val="superscript"/>
        <sz val="10"/>
        <rFont val="Arial"/>
        <family val="2"/>
      </rPr>
      <t>8</t>
    </r>
  </si>
  <si>
    <r>
      <t>1970</t>
    </r>
    <r>
      <rPr>
        <b/>
        <vertAlign val="superscript"/>
        <sz val="10"/>
        <rFont val="Arial"/>
        <family val="2"/>
      </rPr>
      <t>8</t>
    </r>
  </si>
  <si>
    <r>
      <t>1971</t>
    </r>
    <r>
      <rPr>
        <b/>
        <vertAlign val="superscript"/>
        <sz val="10"/>
        <rFont val="Arial"/>
        <family val="2"/>
      </rPr>
      <t>8</t>
    </r>
  </si>
  <si>
    <r>
      <t>1972</t>
    </r>
    <r>
      <rPr>
        <b/>
        <vertAlign val="superscript"/>
        <sz val="10"/>
        <rFont val="Arial"/>
        <family val="2"/>
      </rPr>
      <t>8</t>
    </r>
  </si>
  <si>
    <r>
      <t>1973</t>
    </r>
    <r>
      <rPr>
        <b/>
        <vertAlign val="superscript"/>
        <sz val="10"/>
        <rFont val="Arial"/>
        <family val="2"/>
      </rPr>
      <t>8</t>
    </r>
  </si>
  <si>
    <r>
      <t>1974</t>
    </r>
    <r>
      <rPr>
        <b/>
        <vertAlign val="superscript"/>
        <sz val="10"/>
        <rFont val="Arial"/>
        <family val="2"/>
      </rPr>
      <t>8</t>
    </r>
  </si>
  <si>
    <r>
      <t>1975</t>
    </r>
    <r>
      <rPr>
        <b/>
        <vertAlign val="superscript"/>
        <sz val="10"/>
        <rFont val="Arial"/>
        <family val="2"/>
      </rPr>
      <t>8</t>
    </r>
  </si>
  <si>
    <r>
      <t>1976</t>
    </r>
    <r>
      <rPr>
        <b/>
        <vertAlign val="superscript"/>
        <sz val="10"/>
        <rFont val="Arial"/>
        <family val="2"/>
      </rPr>
      <t>8</t>
    </r>
  </si>
  <si>
    <r>
      <t>1977</t>
    </r>
    <r>
      <rPr>
        <b/>
        <vertAlign val="superscript"/>
        <sz val="10"/>
        <rFont val="Arial"/>
        <family val="2"/>
      </rPr>
      <t>8</t>
    </r>
  </si>
  <si>
    <r>
      <t>1978</t>
    </r>
    <r>
      <rPr>
        <b/>
        <vertAlign val="superscript"/>
        <sz val="10"/>
        <rFont val="Arial"/>
        <family val="2"/>
      </rPr>
      <t>8</t>
    </r>
  </si>
  <si>
    <r>
      <t>1979</t>
    </r>
    <r>
      <rPr>
        <b/>
        <vertAlign val="superscript"/>
        <sz val="10"/>
        <rFont val="Arial"/>
        <family val="2"/>
      </rPr>
      <t>8</t>
    </r>
  </si>
  <si>
    <r>
      <t>1980</t>
    </r>
    <r>
      <rPr>
        <b/>
        <vertAlign val="superscript"/>
        <sz val="10"/>
        <rFont val="Arial"/>
        <family val="2"/>
      </rPr>
      <t>8</t>
    </r>
  </si>
  <si>
    <r>
      <t>1981</t>
    </r>
    <r>
      <rPr>
        <b/>
        <vertAlign val="superscript"/>
        <sz val="10"/>
        <rFont val="Arial"/>
        <family val="2"/>
      </rPr>
      <t>8</t>
    </r>
  </si>
  <si>
    <r>
      <t>1982</t>
    </r>
    <r>
      <rPr>
        <b/>
        <vertAlign val="superscript"/>
        <sz val="10"/>
        <rFont val="Arial"/>
        <family val="2"/>
      </rPr>
      <t>8</t>
    </r>
  </si>
  <si>
    <r>
      <t>1983</t>
    </r>
    <r>
      <rPr>
        <b/>
        <vertAlign val="superscript"/>
        <sz val="10"/>
        <rFont val="Arial"/>
        <family val="2"/>
      </rPr>
      <t>8</t>
    </r>
  </si>
  <si>
    <r>
      <t>1984</t>
    </r>
    <r>
      <rPr>
        <b/>
        <vertAlign val="superscript"/>
        <sz val="10"/>
        <rFont val="Arial"/>
        <family val="2"/>
      </rPr>
      <t>8</t>
    </r>
  </si>
  <si>
    <r>
      <t>1985</t>
    </r>
    <r>
      <rPr>
        <b/>
        <vertAlign val="superscript"/>
        <sz val="10"/>
        <rFont val="Arial"/>
        <family val="2"/>
      </rPr>
      <t>8</t>
    </r>
  </si>
  <si>
    <r>
      <t>1986</t>
    </r>
    <r>
      <rPr>
        <b/>
        <vertAlign val="superscript"/>
        <sz val="10"/>
        <rFont val="Arial"/>
        <family val="2"/>
      </rPr>
      <t>8</t>
    </r>
  </si>
  <si>
    <r>
      <t>1987</t>
    </r>
    <r>
      <rPr>
        <b/>
        <vertAlign val="superscript"/>
        <sz val="10"/>
        <rFont val="Arial"/>
        <family val="2"/>
      </rPr>
      <t>8</t>
    </r>
  </si>
  <si>
    <r>
      <t>1988</t>
    </r>
    <r>
      <rPr>
        <b/>
        <vertAlign val="superscript"/>
        <sz val="10"/>
        <rFont val="Arial"/>
        <family val="2"/>
      </rPr>
      <t>8</t>
    </r>
  </si>
  <si>
    <r>
      <t>1989</t>
    </r>
    <r>
      <rPr>
        <b/>
        <vertAlign val="superscript"/>
        <sz val="10"/>
        <rFont val="Arial"/>
        <family val="2"/>
      </rPr>
      <t>8</t>
    </r>
  </si>
  <si>
    <r>
      <t>1990</t>
    </r>
    <r>
      <rPr>
        <b/>
        <vertAlign val="superscript"/>
        <sz val="10"/>
        <rFont val="Arial"/>
        <family val="2"/>
      </rPr>
      <t>8</t>
    </r>
  </si>
  <si>
    <r>
      <t>1991</t>
    </r>
    <r>
      <rPr>
        <b/>
        <vertAlign val="superscript"/>
        <sz val="10"/>
        <rFont val="Arial"/>
        <family val="2"/>
      </rPr>
      <t>8</t>
    </r>
  </si>
  <si>
    <r>
      <t>1992</t>
    </r>
    <r>
      <rPr>
        <b/>
        <vertAlign val="superscript"/>
        <sz val="10"/>
        <rFont val="Arial"/>
        <family val="2"/>
      </rPr>
      <t>8</t>
    </r>
  </si>
  <si>
    <r>
      <t>1993</t>
    </r>
    <r>
      <rPr>
        <b/>
        <vertAlign val="superscript"/>
        <sz val="10"/>
        <rFont val="Arial"/>
        <family val="2"/>
      </rPr>
      <t>8</t>
    </r>
  </si>
  <si>
    <r>
      <t>1994</t>
    </r>
    <r>
      <rPr>
        <b/>
        <vertAlign val="superscript"/>
        <sz val="10"/>
        <rFont val="Arial"/>
        <family val="2"/>
      </rPr>
      <t>8</t>
    </r>
  </si>
  <si>
    <r>
      <t>1996</t>
    </r>
    <r>
      <rPr>
        <b/>
        <vertAlign val="superscript"/>
        <sz val="10"/>
        <rFont val="Arial"/>
        <family val="2"/>
      </rPr>
      <t>8</t>
    </r>
  </si>
  <si>
    <r>
      <t>1997</t>
    </r>
    <r>
      <rPr>
        <b/>
        <vertAlign val="superscript"/>
        <sz val="10"/>
        <rFont val="Arial"/>
        <family val="2"/>
      </rPr>
      <t>8</t>
    </r>
  </si>
  <si>
    <r>
      <t>1998</t>
    </r>
    <r>
      <rPr>
        <b/>
        <vertAlign val="superscript"/>
        <sz val="10"/>
        <rFont val="Arial"/>
        <family val="2"/>
      </rPr>
      <t>8</t>
    </r>
  </si>
  <si>
    <r>
      <t>1999</t>
    </r>
    <r>
      <rPr>
        <b/>
        <vertAlign val="superscript"/>
        <sz val="10"/>
        <rFont val="Arial"/>
        <family val="2"/>
      </rPr>
      <t>8</t>
    </r>
  </si>
  <si>
    <r>
      <t>2000</t>
    </r>
    <r>
      <rPr>
        <b/>
        <vertAlign val="superscript"/>
        <sz val="10"/>
        <rFont val="Arial"/>
        <family val="2"/>
      </rPr>
      <t>8</t>
    </r>
  </si>
  <si>
    <r>
      <t>2001</t>
    </r>
    <r>
      <rPr>
        <b/>
        <vertAlign val="superscript"/>
        <sz val="10"/>
        <rFont val="Arial"/>
        <family val="2"/>
      </rPr>
      <t>8</t>
    </r>
  </si>
  <si>
    <r>
      <t>2002</t>
    </r>
    <r>
      <rPr>
        <b/>
        <vertAlign val="superscript"/>
        <sz val="10"/>
        <rFont val="Arial"/>
        <family val="2"/>
      </rPr>
      <t>8</t>
    </r>
  </si>
  <si>
    <r>
      <t>2003</t>
    </r>
    <r>
      <rPr>
        <b/>
        <vertAlign val="superscript"/>
        <sz val="10"/>
        <rFont val="Arial"/>
        <family val="2"/>
      </rPr>
      <t>8</t>
    </r>
  </si>
  <si>
    <r>
      <t>2004</t>
    </r>
    <r>
      <rPr>
        <b/>
        <vertAlign val="superscript"/>
        <sz val="10"/>
        <rFont val="Arial"/>
        <family val="2"/>
      </rPr>
      <t>8</t>
    </r>
  </si>
  <si>
    <r>
      <t>2005</t>
    </r>
    <r>
      <rPr>
        <b/>
        <vertAlign val="superscript"/>
        <sz val="10"/>
        <rFont val="Arial"/>
        <family val="2"/>
      </rPr>
      <t>8</t>
    </r>
  </si>
  <si>
    <r>
      <t>2006</t>
    </r>
    <r>
      <rPr>
        <b/>
        <vertAlign val="superscript"/>
        <sz val="10"/>
        <rFont val="Arial"/>
        <family val="2"/>
      </rPr>
      <t>8</t>
    </r>
  </si>
  <si>
    <r>
      <t>2007</t>
    </r>
    <r>
      <rPr>
        <b/>
        <vertAlign val="superscript"/>
        <sz val="10"/>
        <rFont val="Arial"/>
        <family val="2"/>
      </rPr>
      <t>8</t>
    </r>
  </si>
  <si>
    <r>
      <t>2008</t>
    </r>
    <r>
      <rPr>
        <b/>
        <vertAlign val="superscript"/>
        <sz val="10"/>
        <rFont val="Arial"/>
        <family val="2"/>
      </rPr>
      <t>8</t>
    </r>
  </si>
  <si>
    <r>
      <t>1995</t>
    </r>
    <r>
      <rPr>
        <b/>
        <vertAlign val="superscript"/>
        <sz val="10"/>
        <rFont val="Arial"/>
        <family val="2"/>
      </rPr>
      <t>8,10</t>
    </r>
  </si>
  <si>
    <r>
      <t>Supply</t>
    </r>
    <r>
      <rPr>
        <b/>
        <vertAlign val="superscript"/>
        <sz val="10"/>
        <rFont val="Arial"/>
        <family val="2"/>
      </rPr>
      <t>2</t>
    </r>
  </si>
  <si>
    <r>
      <t>Colliery</t>
    </r>
    <r>
      <rPr>
        <b/>
        <vertAlign val="superscript"/>
        <sz val="10"/>
        <rFont val="Arial"/>
        <family val="2"/>
      </rPr>
      <t>3</t>
    </r>
  </si>
  <si>
    <r>
      <t>MSF</t>
    </r>
    <r>
      <rPr>
        <b/>
        <vertAlign val="superscript"/>
        <sz val="10"/>
        <rFont val="Arial"/>
        <family val="2"/>
      </rPr>
      <t>4,5</t>
    </r>
  </si>
  <si>
    <r>
      <t>Miscellaneous</t>
    </r>
    <r>
      <rPr>
        <b/>
        <vertAlign val="superscript"/>
        <sz val="10"/>
        <rFont val="Arial"/>
        <family val="2"/>
      </rPr>
      <t>6</t>
    </r>
  </si>
  <si>
    <r>
      <t>and Shipments</t>
    </r>
    <r>
      <rPr>
        <b/>
        <vertAlign val="superscript"/>
        <sz val="10"/>
        <rFont val="Arial"/>
        <family val="2"/>
      </rPr>
      <t>6</t>
    </r>
  </si>
  <si>
    <r>
      <t>and Bunkers</t>
    </r>
    <r>
      <rPr>
        <b/>
        <vertAlign val="superscript"/>
        <sz val="10"/>
        <rFont val="Arial"/>
        <family val="2"/>
      </rPr>
      <t>7</t>
    </r>
  </si>
  <si>
    <r>
      <t>1853-1862</t>
    </r>
    <r>
      <rPr>
        <b/>
        <vertAlign val="superscript"/>
        <sz val="10"/>
        <rFont val="Arial"/>
        <family val="2"/>
      </rPr>
      <t>8</t>
    </r>
  </si>
  <si>
    <r>
      <t>1863-1872</t>
    </r>
    <r>
      <rPr>
        <b/>
        <vertAlign val="superscript"/>
        <sz val="10"/>
        <rFont val="Arial"/>
        <family val="2"/>
      </rPr>
      <t>8</t>
    </r>
  </si>
  <si>
    <r>
      <t>1873-1882</t>
    </r>
    <r>
      <rPr>
        <b/>
        <vertAlign val="superscript"/>
        <sz val="10"/>
        <rFont val="Arial"/>
        <family val="2"/>
      </rPr>
      <t>8</t>
    </r>
  </si>
  <si>
    <r>
      <t>1883-1892</t>
    </r>
    <r>
      <rPr>
        <b/>
        <vertAlign val="superscript"/>
        <sz val="10"/>
        <rFont val="Arial"/>
        <family val="2"/>
      </rPr>
      <t>8</t>
    </r>
  </si>
  <si>
    <r>
      <t>1893-1902</t>
    </r>
    <r>
      <rPr>
        <b/>
        <vertAlign val="superscript"/>
        <sz val="10"/>
        <rFont val="Arial"/>
        <family val="2"/>
      </rPr>
      <t>8</t>
    </r>
  </si>
  <si>
    <r>
      <t>1903-1912</t>
    </r>
    <r>
      <rPr>
        <b/>
        <vertAlign val="superscript"/>
        <sz val="10"/>
        <rFont val="Arial"/>
        <family val="2"/>
      </rPr>
      <t>8</t>
    </r>
  </si>
  <si>
    <r>
      <t>1913-1922</t>
    </r>
    <r>
      <rPr>
        <b/>
        <vertAlign val="superscript"/>
        <sz val="10"/>
        <rFont val="Arial"/>
        <family val="2"/>
      </rPr>
      <t>8,9</t>
    </r>
  </si>
  <si>
    <r>
      <t>1923-1932</t>
    </r>
    <r>
      <rPr>
        <b/>
        <vertAlign val="superscript"/>
        <sz val="10"/>
        <rFont val="Arial"/>
        <family val="2"/>
      </rPr>
      <t>8,9</t>
    </r>
  </si>
  <si>
    <r>
      <t>1933-1942</t>
    </r>
    <r>
      <rPr>
        <b/>
        <vertAlign val="superscript"/>
        <sz val="10"/>
        <rFont val="Arial"/>
        <family val="2"/>
      </rPr>
      <t>8,9</t>
    </r>
  </si>
  <si>
    <r>
      <t>1943-1952</t>
    </r>
    <r>
      <rPr>
        <b/>
        <vertAlign val="superscript"/>
        <sz val="10"/>
        <rFont val="Arial"/>
        <family val="2"/>
      </rPr>
      <t>8,9</t>
    </r>
  </si>
  <si>
    <r>
      <t>1953-1962</t>
    </r>
    <r>
      <rPr>
        <b/>
        <vertAlign val="superscript"/>
        <sz val="10"/>
        <rFont val="Arial"/>
        <family val="2"/>
      </rPr>
      <t>8,9</t>
    </r>
  </si>
  <si>
    <r>
      <t>1963-1972</t>
    </r>
    <r>
      <rPr>
        <b/>
        <vertAlign val="superscript"/>
        <sz val="10"/>
        <rFont val="Arial"/>
        <family val="2"/>
      </rPr>
      <t>8,9</t>
    </r>
  </si>
  <si>
    <r>
      <t>1973-1982</t>
    </r>
    <r>
      <rPr>
        <b/>
        <vertAlign val="superscript"/>
        <sz val="10"/>
        <rFont val="Arial"/>
        <family val="2"/>
      </rPr>
      <t>8,9</t>
    </r>
  </si>
  <si>
    <r>
      <t>1983-1992</t>
    </r>
    <r>
      <rPr>
        <b/>
        <vertAlign val="superscript"/>
        <sz val="10"/>
        <rFont val="Arial"/>
        <family val="2"/>
      </rPr>
      <t>8,9</t>
    </r>
  </si>
  <si>
    <r>
      <t>1993-2002</t>
    </r>
    <r>
      <rPr>
        <b/>
        <vertAlign val="superscript"/>
        <sz val="10"/>
        <rFont val="Arial"/>
        <family val="2"/>
      </rPr>
      <t>8,9</t>
    </r>
  </si>
  <si>
    <t>1976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</si>
  <si>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</si>
  <si>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</si>
  <si>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</si>
  <si>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</si>
  <si>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</si>
  <si>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</si>
  <si>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</si>
  <si>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</si>
  <si>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</si>
  <si>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</si>
  <si>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</si>
  <si>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</si>
  <si>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</si>
  <si>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</si>
  <si>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</si>
  <si>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</si>
  <si>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</si>
  <si>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</si>
  <si>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</si>
  <si>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</si>
  <si>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</si>
  <si>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</si>
  <si>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</si>
  <si>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</si>
  <si>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</si>
  <si>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</si>
  <si>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</si>
  <si>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</si>
  <si>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</si>
  <si>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</si>
  <si>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</si>
  <si>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</si>
  <si>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</si>
  <si>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</si>
  <si>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</si>
  <si>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</si>
  <si>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1967</t>
  </si>
  <si>
    <t>1968</t>
  </si>
  <si>
    <t>1969</t>
  </si>
  <si>
    <t>1970</t>
  </si>
  <si>
    <t>1971</t>
  </si>
  <si>
    <t>1972</t>
  </si>
  <si>
    <t>1973</t>
  </si>
  <si>
    <t>1974</t>
  </si>
  <si>
    <t>1991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</si>
  <si>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</si>
  <si>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</si>
  <si>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</si>
  <si>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</si>
  <si>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</si>
  <si>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</si>
  <si>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</si>
  <si>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</si>
  <si>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</si>
  <si>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</si>
  <si>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</si>
  <si>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</si>
  <si>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</si>
  <si>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</si>
  <si>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</si>
  <si>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</si>
  <si>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r>
      <t>1975</t>
    </r>
    <r>
      <rPr>
        <b/>
        <vertAlign val="superscript"/>
        <sz val="10"/>
        <rFont val="Arial"/>
        <family val="2"/>
      </rPr>
      <t>10</t>
    </r>
  </si>
  <si>
    <r>
      <t>1977</t>
    </r>
    <r>
      <rPr>
        <b/>
        <vertAlign val="superscript"/>
        <sz val="10"/>
        <rFont val="Arial"/>
        <family val="2"/>
      </rPr>
      <t>11</t>
    </r>
  </si>
  <si>
    <r>
      <t>1992</t>
    </r>
    <r>
      <rPr>
        <b/>
        <vertAlign val="superscript"/>
        <sz val="10"/>
        <rFont val="Arial"/>
        <family val="2"/>
      </rPr>
      <t>12,13</t>
    </r>
  </si>
  <si>
    <t>Cells C93:C94 from Digest of United Kingdom Energy Statistics 1981 Table 24</t>
  </si>
  <si>
    <t>Cell D114 from Digest of United Kingdom Energy Statistics 2001, Table 2.12</t>
  </si>
  <si>
    <t xml:space="preserve">Cells E27:E55 from Ministry of Fuel and Power Statistical Digest 1948 and 1949 Table 5 </t>
  </si>
  <si>
    <t xml:space="preserve">Cells F64:F73 from Ministry of Fuel and Power Statistical Digest 1972 Table 14 </t>
  </si>
  <si>
    <t>Cells G75:G84 from Digest of United Kingdom Energy Statistics 2000 Table 2.11</t>
  </si>
  <si>
    <t>Cells B62:B70 from Ministry of Fuel and Power Statistical Digest 1956 Table 7</t>
  </si>
  <si>
    <t>Cells B109:B113 from Ministry of Power Statistical Digest 1964 Table 17</t>
  </si>
  <si>
    <t xml:space="preserve">Cells C61:C63 from Ministry of Power Digest of Energy Statistics 1968 &amp; 69 Table 15 </t>
  </si>
  <si>
    <t xml:space="preserve">Cells C64:C81 from DTI Digest of United Kingdom Energy Statistics 1972 Table 15 </t>
  </si>
  <si>
    <t>Cells C82:C92 from Department of Energy Digest of United Kingdom Energy Statistics 1979 Table 24</t>
  </si>
  <si>
    <t>Cells D57:D62 from Ministry of Power Statistical Digest 1948 &amp; 1949 Table 7</t>
  </si>
  <si>
    <t>Cells D63:D67 from Ministry of Power Statistical Digest 1959 Table 7</t>
  </si>
  <si>
    <t>Cells D68:D83 from Ministry of Power Statistical Digest 1968 &amp; 1969 Table 7</t>
  </si>
  <si>
    <t>Cell D84 from Ministry of Technology Digest of Statistics 1970 Table 7</t>
  </si>
  <si>
    <t>Cells E61:E63 from Ministry of Power Digest of Energy Statistics 1968 and 1969 Table 14</t>
  </si>
  <si>
    <t xml:space="preserve">Cells E64:E73 from Digest of United Kingdom Energy Statistics 1972 Table 14 </t>
  </si>
  <si>
    <t xml:space="preserve">Cells F27:F60 from Ministry of Power Statistical Digest 1948 and 1949 Table 5 </t>
  </si>
  <si>
    <t>Cells F61:F63 from Ministry of Power Digest of Energy Statistics 1968 and 1969 Table 14</t>
  </si>
  <si>
    <t>Cells B28:B37 from Ministry of Power Statistical Digest 1958 Table 41</t>
  </si>
  <si>
    <t>Cells B38:B77 from Ministry of Power Statistical Digest 1965 Table 45</t>
  </si>
  <si>
    <t>Cells C28:C37 from Ministry of Power Statistical Digest 1958 Table 41</t>
  </si>
  <si>
    <t>Cells C38:C64 from Ministry of Power Statistical Digest 1965 Table 45</t>
  </si>
  <si>
    <t>Cells C65:C74 from Ministry of Power Statistical Digest 1965 Table 50</t>
  </si>
  <si>
    <t>Cells D58:D64 from Ministry of Power Statistical Digest 1948 and 1949 Table 70</t>
  </si>
  <si>
    <t>Cells D65:D74 from Ministry of Power Statistical Digest 1965 Table 50</t>
  </si>
  <si>
    <t>Cells E28:E37 from Ministry of Power Statistical Digest 1958 Table 41</t>
  </si>
  <si>
    <t>Cells E38:E74 from Ministry of Power Statistical Digest 1965 Table 45</t>
  </si>
  <si>
    <t>Cells F28:F37 from Ministry of Power Statistical Digest 1958 Table 41</t>
  </si>
  <si>
    <t>Cells F38:F74 from Ministry of Power Statistical Digest 1965 Table 45</t>
  </si>
  <si>
    <t>Cells G28:G37 from Ministry of Power Statistical Digest 1958 Table 41</t>
  </si>
  <si>
    <t>Cells G38:G74 from Ministry of Power Statistical Digest 1965 Table 45</t>
  </si>
  <si>
    <t>Cells H28:H37 from Ministry of Power Statistical Digest 1958 Table 41</t>
  </si>
  <si>
    <t>Cells H38:H57 Coke Ovens from Ministry of Power Statistical Digest 1965 Table 45</t>
  </si>
  <si>
    <t>Cells I28:I37 from Ministry of Power Statistical Digest 1958 Table 41</t>
  </si>
  <si>
    <t>Cells J58:J74 from Ministry of Power Statistical Digest 1965 Table 45</t>
  </si>
  <si>
    <t>Cells K38:K74 from Ministry of Power Statistical Digest 1965 Table 45</t>
  </si>
  <si>
    <t>Cells M28:M37 from Ministry of Power Statistical Digest 1958 Table 41</t>
  </si>
  <si>
    <t>Cells N28:N37 from Ministry of Power Statistical Digest 1958 Table 41</t>
  </si>
  <si>
    <t>Cells O28:O37 from Ministry of Power Statistical Digest 1958 Table 41</t>
  </si>
  <si>
    <t>Cells P38:P74 from Ministry of Power Statistical Digest 1965 Table 45</t>
  </si>
  <si>
    <t>Cells Q28:Q37 from Ministry of Power Statistical Digest 1958 Table 41</t>
  </si>
  <si>
    <t>Cells Q38:Q74 from Ministry of Power Statistical Digest 1965 Table 45</t>
  </si>
  <si>
    <t>Cells R28:R37 from Ministry of Power Statistical Digest 1958 Table 41</t>
  </si>
  <si>
    <t>Cells R38:R77 from Ministry of Power Statistical Digest 1965 Table 45</t>
  </si>
  <si>
    <t>2009</t>
  </si>
  <si>
    <r>
      <t>2009</t>
    </r>
    <r>
      <rPr>
        <b/>
        <vertAlign val="superscript"/>
        <sz val="10"/>
        <rFont val="Arial"/>
        <family val="2"/>
      </rPr>
      <t>8</t>
    </r>
  </si>
  <si>
    <t>sum of (16) and (17)</t>
  </si>
  <si>
    <t>Cell B123 from Digest of United Kingdom Energy Statistics 2010 Table 2.10</t>
  </si>
  <si>
    <t>Cell D123 from Digest of United Kingdom Energy Statistics 2010 Table 2.11</t>
  </si>
  <si>
    <t>Cell D122 from Digest of United Kingdom Energy Statistics 2009 Table 2.11</t>
  </si>
  <si>
    <t>Cell B78 from Digest of United Kingdom Energy Statistics 1974 Table 15</t>
  </si>
  <si>
    <t>Cells C75:C84 from Digest of United Kingdom Energy Statistics 2000 Table 2.10</t>
  </si>
  <si>
    <t>Cells D75:D84 from Digest of United Kingdom Energy Statistics 2000 Table 2.10</t>
  </si>
  <si>
    <t xml:space="preserve">Cells R107:R111 from Digest of United Kingdom Energy Statistics 2001 Table 2.10 </t>
  </si>
  <si>
    <r>
      <t>2010</t>
    </r>
    <r>
      <rPr>
        <b/>
        <vertAlign val="superscript"/>
        <sz val="10"/>
        <rFont val="Arial"/>
        <family val="2"/>
      </rPr>
      <t>8</t>
    </r>
  </si>
  <si>
    <t>2010</t>
  </si>
  <si>
    <t>sum of (4) to (14)</t>
  </si>
  <si>
    <t>Cell B124 from Digest of United Kingdom Energy Statistics 2011 Table 2.10</t>
  </si>
  <si>
    <t>Cell D124 from Digest of United Kingdom Energy Statistics 2011 Table 2.11</t>
  </si>
  <si>
    <t>2011</t>
  </si>
  <si>
    <t>Cell B125 from Digest of United Kingdom Energy Statistics 2012 Table 2.10</t>
  </si>
  <si>
    <t>Cell D125 from Digest of United Kingdom Energy Statistics 2012 Table 2.11</t>
  </si>
  <si>
    <t>2012</t>
  </si>
  <si>
    <t>Cell B126 from Digest of United Kingdom Energy Statistics 2013 Table 2.7</t>
  </si>
  <si>
    <t>Cell D126 from Digest of United Kingdom Energy Statistics 2013 Table 2.7</t>
  </si>
  <si>
    <t>Cells B79:B84 from Digest of United Kingdom Energy Statistics 1975 Table 15</t>
  </si>
  <si>
    <t>2013</t>
  </si>
  <si>
    <t>Cell D127 from Digest of United Kingdom Energy Statistics 2014 Table 2.7</t>
  </si>
  <si>
    <t>Cells C85:C123 from Digest of United Kingdom Energy Statistics 2013 Table 2.1.2 (Internet only)</t>
  </si>
  <si>
    <t>Cells D85:D123 from Digest of United Kingdom Energy Statistics 2013 Table 2.1.2 (Internet only)</t>
  </si>
  <si>
    <t>Cell R112:R123 from Digest of United Kingdom Energy Statistics 2012 Table 2.7</t>
  </si>
  <si>
    <t>2.1.1</t>
  </si>
  <si>
    <t>2.1.2</t>
  </si>
  <si>
    <r>
      <t>2003-2012</t>
    </r>
    <r>
      <rPr>
        <b/>
        <vertAlign val="superscript"/>
        <sz val="10"/>
        <rFont val="Arial"/>
        <family val="2"/>
      </rPr>
      <t>5,6</t>
    </r>
  </si>
  <si>
    <t>Cells B71:B78 from Ministry of Power Statistical Digest 1964 Table 16</t>
  </si>
  <si>
    <t>Cell B127 from Digest of United Kingdom Energy Statistics 2014 Table 2.7</t>
  </si>
  <si>
    <t>Cells I79:I83 from Digest of United Kingdom Energy Statistics 1976 Table 22</t>
  </si>
  <si>
    <t>Coal Authority</t>
  </si>
  <si>
    <r>
      <t>2003-2012</t>
    </r>
    <r>
      <rPr>
        <b/>
        <vertAlign val="superscript"/>
        <sz val="10"/>
        <rFont val="Arial"/>
        <family val="2"/>
      </rPr>
      <t>8,9</t>
    </r>
  </si>
  <si>
    <t>Cells I38:I69, I71:I74, I76, from Ministry of Power Statistical Digest 1965 Table 45</t>
  </si>
  <si>
    <t>calc</t>
  </si>
  <si>
    <t>2.1 - 2.3</t>
  </si>
  <si>
    <t>Cells B108:B112 from Digest of United Kingdom Energy Statistics 1998 Table 2.1</t>
  </si>
  <si>
    <t>Cells B103:B107 from Digest of United Kingdom Energy Statistics 1993 Table 12</t>
  </si>
  <si>
    <t>Cells B98:B102 from Digest of United Kingdom Energy Statistics 1988 Table 14</t>
  </si>
  <si>
    <t>Cells B93:B97 from Digest of United Kingdom Energy Statistics 1983 Table 14</t>
  </si>
  <si>
    <t>Cells B85:B92 from Digest of United Kingdom Energy Statistics 1978 Table 19</t>
  </si>
  <si>
    <t>2014</t>
  </si>
  <si>
    <t>Cell D128 from Digest of United Kingdom Energy Statistics 2015 Table 2.7</t>
  </si>
  <si>
    <t>Cell B128 from Digest of United Kingdom Energy Statistics 2015 Table 2.7</t>
  </si>
  <si>
    <t>2015</t>
  </si>
  <si>
    <t>Cell B129 from Digest of United Kingdom Energy Statistics 2016 Table 2.7</t>
  </si>
  <si>
    <t>Cell D129 from Digest of United Kingdom Energy Statistics 2016 Table 2.7</t>
  </si>
  <si>
    <t>2016</t>
  </si>
  <si>
    <t>Cell B130 from Digest of United Kingdom Energy Statistics 2017 Table 2.7</t>
  </si>
  <si>
    <t>Cell D130 from Digest of United Kingdom Energy Statistics 2017 Table 2.7</t>
  </si>
  <si>
    <r>
      <t xml:space="preserve">1 </t>
    </r>
    <r>
      <rPr>
        <sz val="10"/>
        <rFont val="Arial"/>
        <family val="2"/>
      </rPr>
      <t>Coal production data first given in September 2001 Energy Trends article (now updated to 2012).</t>
    </r>
  </si>
  <si>
    <r>
      <t>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National Coal Board.</t>
    </r>
  </si>
  <si>
    <r>
      <t xml:space="preserve">3 </t>
    </r>
    <r>
      <rPr>
        <sz val="10"/>
        <rFont val="Arial"/>
        <family val="2"/>
      </rPr>
      <t>From 1913 to 1959 the figures have been converted from million statute tons to million metric tonnes.</t>
    </r>
  </si>
  <si>
    <r>
      <t>4</t>
    </r>
    <r>
      <rPr>
        <sz val="10"/>
        <rFont val="Arial"/>
        <family val="2"/>
      </rPr>
      <t xml:space="preserve"> Include recovered coal (slurry).</t>
    </r>
  </si>
  <si>
    <r>
      <t>5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Annual average over a ten year period.</t>
    </r>
  </si>
  <si>
    <r>
      <t xml:space="preserve">6 </t>
    </r>
    <r>
      <rPr>
        <sz val="10"/>
        <rFont val="Arial"/>
        <family val="2"/>
      </rPr>
      <t>Annual averages in blue are calculated from the annual data.</t>
    </r>
  </si>
  <si>
    <r>
      <t>7</t>
    </r>
    <r>
      <rPr>
        <sz val="10"/>
        <rFont val="Arial"/>
        <family val="2"/>
      </rPr>
      <t xml:space="preserve"> The figures shown against 1993 - 2002 cover all mines for the period 1995 to 2002 only.</t>
    </r>
  </si>
  <si>
    <r>
      <t>8</t>
    </r>
    <r>
      <rPr>
        <sz val="10"/>
        <rFont val="Arial"/>
        <family val="2"/>
      </rPr>
      <t xml:space="preserve"> Figures in red are calculated from annual data in the other columns.</t>
    </r>
  </si>
  <si>
    <r>
      <t>9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 1948 and subsequently, the figure relate to colliery units recognised by the National Coal Board for adminstrative and accounting purposes, together with mines not operated by the National Coal Board.</t>
    </r>
  </si>
  <si>
    <r>
      <t>10</t>
    </r>
    <r>
      <rPr>
        <sz val="10"/>
        <rFont val="Arial"/>
        <family val="2"/>
      </rPr>
      <t xml:space="preserve"> First privatised year.</t>
    </r>
  </si>
  <si>
    <r>
      <t>2</t>
    </r>
    <r>
      <rPr>
        <sz val="10"/>
        <rFont val="Arial"/>
        <family val="2"/>
      </rPr>
      <t xml:space="preserve"> From 1913 to 1966 all figures have been converted from million statute tons to million metric tonnes.</t>
    </r>
  </si>
  <si>
    <r>
      <t>3</t>
    </r>
    <r>
      <rPr>
        <sz val="10"/>
        <rFont val="Arial"/>
        <family val="2"/>
      </rPr>
      <t xml:space="preserve"> Undistributed stocks.</t>
    </r>
  </si>
  <si>
    <r>
      <t>4</t>
    </r>
    <r>
      <rPr>
        <sz val="10"/>
        <rFont val="Arial"/>
        <family val="2"/>
      </rPr>
      <t xml:space="preserve"> MSF is manufactured solid fuel.</t>
    </r>
  </si>
  <si>
    <r>
      <t>5</t>
    </r>
    <r>
      <rPr>
        <sz val="10"/>
        <rFont val="Arial"/>
        <family val="2"/>
      </rPr>
      <t xml:space="preserve"> Coke ovens and other solid fuel plants.</t>
    </r>
  </si>
  <si>
    <r>
      <t>6</t>
    </r>
    <r>
      <rPr>
        <sz val="10"/>
        <rFont val="Arial"/>
        <family val="2"/>
      </rPr>
      <t xml:space="preserve"> Figures in red are calculated from the other columns.</t>
    </r>
  </si>
  <si>
    <r>
      <t>7</t>
    </r>
    <r>
      <rPr>
        <sz val="10"/>
        <rFont val="Arial"/>
        <family val="2"/>
      </rPr>
      <t xml:space="preserve"> Corresponds to exports.</t>
    </r>
  </si>
  <si>
    <r>
      <t>8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Annual average over a ten year period.</t>
    </r>
  </si>
  <si>
    <r>
      <t xml:space="preserve">9 </t>
    </r>
    <r>
      <rPr>
        <sz val="10"/>
        <rFont val="Arial"/>
        <family val="2"/>
      </rPr>
      <t>Annual averages in blue are calculated from the annual data.</t>
    </r>
  </si>
  <si>
    <r>
      <t>10</t>
    </r>
    <r>
      <rPr>
        <sz val="10"/>
        <rFont val="Arial"/>
        <family val="2"/>
      </rPr>
      <t xml:space="preserve"> Supply in 1975 and 1976 is calculated as follow: Production + Imports - Overseas shipments and bunkers + Stock changes</t>
    </r>
  </si>
  <si>
    <r>
      <t>11</t>
    </r>
    <r>
      <rPr>
        <sz val="10"/>
        <rFont val="Arial"/>
        <family val="2"/>
      </rPr>
      <t xml:space="preserve"> Supply from 1977 up to 1991 is calculated as follow: Deep-mined + Opencast + Other + Imports -Overseas shipments + Stock changes</t>
    </r>
  </si>
  <si>
    <r>
      <t>12</t>
    </r>
    <r>
      <rPr>
        <sz val="10"/>
        <rFont val="Arial"/>
        <family val="2"/>
      </rPr>
      <t xml:space="preserve"> Supply in 1992 and 1993 is calculated as follow: Deep-mined + Opencast + Other + Imports -Exports + Stock changes</t>
    </r>
  </si>
  <si>
    <r>
      <t>13</t>
    </r>
    <r>
      <rPr>
        <sz val="10"/>
        <rFont val="Arial"/>
        <family val="2"/>
      </rPr>
      <t xml:space="preserve"> From 1992 Overseas shipments and bunkers corresponds to Exports</t>
    </r>
  </si>
  <si>
    <t>2017</t>
  </si>
  <si>
    <t>Cell B131 from Digest of United Kingdom Energy Statistics 2018 Table 2.7</t>
  </si>
  <si>
    <t>Cell D131 from Digest of United Kingdom Energy Statistics 2018 Table 2.7</t>
  </si>
  <si>
    <t>2018</t>
  </si>
  <si>
    <t>Cell B132 from Digest of United Kingdom Energy Statistics 2019 Table 2.7</t>
  </si>
  <si>
    <t>Cell D132 from Digest of United Kingdom Energy Statistics 2019 Table 2.7</t>
  </si>
  <si>
    <t>2019</t>
  </si>
  <si>
    <t>Cell B133 from Digest of United Kingdom Energy Statistics 2020 Table 2.7</t>
  </si>
  <si>
    <t>Cell D133 from Digest of United Kingdom Energy Statistics 2020 Table 2.7</t>
  </si>
  <si>
    <t>E-F calculation</t>
  </si>
  <si>
    <t>2020</t>
  </si>
  <si>
    <t>Cell B134 from Digest of United Kingdom Energy Statistics 2021 Table 2.7</t>
  </si>
  <si>
    <t>Cell D134 from Digest of United Kingdom Energy Statistics 2021 Table 2.7</t>
  </si>
  <si>
    <t>2021</t>
  </si>
  <si>
    <t>Cell B135 from Digest of United Kingdom Energy Statistics 2022 Table 2.5</t>
  </si>
  <si>
    <t>Cell D135 from Digest of United Kingdom Energy Statistics 2022 Table 2.5</t>
  </si>
  <si>
    <t>Cells B113:B133 from Digest of United Kingdom Energy Statistics 2021 Tables 2.1 - 2.3</t>
  </si>
  <si>
    <t>Cells C124:C133 from Digest of United Kingdom Energy Statistics 2021 Table 2.4</t>
  </si>
  <si>
    <r>
      <t>Historical Coal Data: Coal Production, 1853 to 2022</t>
    </r>
    <r>
      <rPr>
        <b/>
        <vertAlign val="superscript"/>
        <sz val="12"/>
        <rFont val="Arial"/>
        <family val="2"/>
      </rPr>
      <t>1</t>
    </r>
  </si>
  <si>
    <t>2022</t>
  </si>
  <si>
    <r>
      <t>Historical Coal Data: Coal Availability and Consumption, 1853 to 2022</t>
    </r>
    <r>
      <rPr>
        <b/>
        <vertAlign val="superscript"/>
        <sz val="12"/>
        <rFont val="Arial"/>
        <family val="2"/>
      </rPr>
      <t>1</t>
    </r>
  </si>
  <si>
    <t>Historical Coal Data: Coal Production, 1853 to 2022</t>
  </si>
  <si>
    <t>Cell B136 from Digest of United Kingdom Energy Statistics 2023 Table 2.5</t>
  </si>
  <si>
    <t>Cell D136 from Digest of United Kingdom Energy Statistics 2023 Table 2.5</t>
  </si>
  <si>
    <t>Cells G61:G136 calculated from columns E and F</t>
  </si>
  <si>
    <t>Cells E84:E136 from Digest of United Kingdom Energy Statistics 2023 Table 2.1.1 (Internet only)</t>
  </si>
  <si>
    <t>Cells F84:F136 from Digest of United Kingdom Energy Statistics 2023 Table 2.1.1 (Internet only)</t>
  </si>
  <si>
    <t>Cells H84:H136 from Digest of United Kingdom Energy Statistics 2023 Table 2.1.1 (Internet only)</t>
  </si>
  <si>
    <t>Cells I109:I136,Total number of persons employed during the year, includes contractors; from The Coal Authority</t>
  </si>
  <si>
    <t>Historical Coal Data: Coal Availability and Consumption, 1853 to 2022</t>
  </si>
  <si>
    <t>Cells B134 - B137 from Digest of United Kingdom Energy Statistics 2023 Tables 2.1</t>
  </si>
  <si>
    <t>Cells C134 - C137 from Digest of United Kingdom Energy Statistics 2023 Table 2.2</t>
  </si>
  <si>
    <t>Cells D124:D137 from Digest of United Kingdom Energy Statistics 2023 Table 2.1.1 (Internet only)</t>
  </si>
  <si>
    <t>Cells E85:E137 from Digest of United Kingdom Energy Statistics 2023 Table 2.1.2 (Internet only)</t>
  </si>
  <si>
    <t>Cells F112:F137 from Digest of United Kingdom Energy Statistics 2023 2.1.2 (internet only)</t>
  </si>
  <si>
    <t xml:space="preserve">Cells G85:G137 from Digest of United Kingdom Energy Statistics 2023 Table 2.1.2 (Internet only) </t>
  </si>
  <si>
    <t>Cells H85:H137 from Digest of United Kingdom Energy Statistics 2023 Table 2.1.2 (Internet only)</t>
  </si>
  <si>
    <t>Cells I120:I137 from Digest of United Kingdom Energy Statistics 2023 Table 2.4</t>
  </si>
  <si>
    <t>Cells J85:J137 from Digest of United Kingdom Energy Statistics 2023 Table 2.1.2 (Internet only)</t>
  </si>
  <si>
    <t>Cells K85:K137 from Digest of United Kingdom Energy Statistics 2023 (Internet only)</t>
  </si>
  <si>
    <t>Cells L58:L137 are calculated from other cells</t>
  </si>
  <si>
    <t>Cells Q85:Q137 from Digest of United Kingdom Energy Statistics 2023 (Internet only)</t>
  </si>
  <si>
    <t>Cells R124:R137 from Digest of United Kingdom Energy Statistics 2023 Table 2.2</t>
  </si>
  <si>
    <t>Cells S28:S137 are calculated from other cells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</si>
</sst>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[Red]0"/>
    <numFmt numFmtId="165" formatCode="#,##0;[Red]#,##0"/>
    <numFmt numFmtId="166" formatCode="0.0"/>
    <numFmt numFmtId="167" formatCode="#,##0.0;[Red]#,##0.0"/>
    <numFmt numFmtId="168" formatCode="0.000"/>
    <numFmt numFmtId="169" formatCode="_-* #,##0_-;\-* #,##0_-;_-* &quot;-&quot;??_-;_-@_-"/>
    <numFmt numFmtId="170" formatCode="_-* #,##0.0_-;\-* #,##0.0_-;_-* &quot;-&quot;??_-;_-@_-"/>
    <numFmt numFmtId="171" formatCode="#,##0.0"/>
    <numFmt numFmtId="172" formatCode="_-* #,##0.0_-;\-* #,##0.0_-;_-* &quot;-&quot;?_-;_-@_-"/>
    <numFmt numFmtId="173" formatCode="0.0000"/>
    <numFmt numFmtId="174" formatCode="#,##0.00;[Red]#,##0.00"/>
    <numFmt numFmtId="175" formatCode="#,##0.000;[Red]#,##0.000"/>
    <numFmt numFmtId="176" formatCode="#,##0.000"/>
    <numFmt numFmtId="177" formatCode="#,##0\ \ ;\-#,##0\ \ ;&quot;-&quot;"/>
    <numFmt numFmtId="178" formatCode="#,##0\r\ ;\-#,##0\r\ ;&quot;-&quot;"/>
    <numFmt numFmtId="179" formatCode="0.000000000"/>
    <numFmt numFmtId="180" formatCode="0.0%"/>
    <numFmt numFmtId="181" formatCode="[$-809]dd\ mmmm\ yyyy"/>
    <numFmt numFmtId="182" formatCode="0.0000000"/>
    <numFmt numFmtId="183" formatCode="0.000000"/>
    <numFmt numFmtId="184" formatCode="0.00000"/>
    <numFmt numFmtId="185" formatCode="0.00000000"/>
    <numFmt numFmtId="186" formatCode="0.0000000000000"/>
    <numFmt numFmtId="187" formatCode="#,##0\ ;\-#,##0\ ;&quot;-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165" fontId="7" fillId="0" borderId="0" xfId="53" applyNumberForma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7" fillId="0" borderId="0" xfId="53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165" fontId="0" fillId="0" borderId="10" xfId="0" applyNumberFormat="1" applyFont="1" applyBorder="1" applyAlignment="1" quotePrefix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165" fontId="7" fillId="0" borderId="0" xfId="53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59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42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59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65" fontId="0" fillId="33" borderId="0" xfId="0" applyNumberFormat="1" applyFont="1" applyFill="1" applyAlignment="1">
      <alignment horizontal="center"/>
    </xf>
    <xf numFmtId="171" fontId="0" fillId="33" borderId="0" xfId="0" applyNumberFormat="1" applyFont="1" applyFill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 horizontal="center"/>
    </xf>
    <xf numFmtId="168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165" fontId="46" fillId="0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46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33" borderId="0" xfId="0" applyNumberFormat="1" applyFont="1" applyFill="1" applyBorder="1" applyAlignment="1">
      <alignment horizontal="center"/>
    </xf>
    <xf numFmtId="1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Border="1" applyAlignment="1">
      <alignment/>
    </xf>
    <xf numFmtId="176" fontId="0" fillId="0" borderId="0" xfId="0" applyNumberFormat="1" applyFont="1" applyFill="1" applyAlignment="1">
      <alignment horizontal="center"/>
    </xf>
    <xf numFmtId="1" fontId="46" fillId="0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9"/>
  <sheetViews>
    <sheetView tabSelected="1" zoomScalePageLayoutView="0" workbookViewId="0" topLeftCell="A1">
      <pane ySplit="8" topLeftCell="A128" activePane="bottomLeft" state="frozen"/>
      <selection pane="topLeft" activeCell="A1" sqref="A1"/>
      <selection pane="bottomLeft" activeCell="G133" sqref="G133"/>
    </sheetView>
  </sheetViews>
  <sheetFormatPr defaultColWidth="9.140625" defaultRowHeight="12.75"/>
  <cols>
    <col min="1" max="1" width="28.28125" style="19" customWidth="1"/>
    <col min="2" max="2" width="21.421875" style="19" customWidth="1"/>
    <col min="3" max="3" width="19.8515625" style="19" bestFit="1" customWidth="1"/>
    <col min="4" max="4" width="24.8515625" style="19" bestFit="1" customWidth="1"/>
    <col min="5" max="5" width="14.140625" style="19" customWidth="1"/>
    <col min="6" max="6" width="18.8515625" style="6" customWidth="1"/>
    <col min="7" max="7" width="17.140625" style="6" customWidth="1"/>
    <col min="8" max="8" width="14.140625" style="6" customWidth="1"/>
    <col min="9" max="9" width="13.28125" style="6" customWidth="1"/>
    <col min="10" max="10" width="12.28125" style="7" customWidth="1"/>
    <col min="11" max="11" width="10.28125" style="90" bestFit="1" customWidth="1"/>
    <col min="12" max="12" width="9.28125" style="92" bestFit="1" customWidth="1"/>
    <col min="13" max="16384" width="9.140625" style="33" customWidth="1"/>
  </cols>
  <sheetData>
    <row r="1" spans="1:12" s="13" customFormat="1" ht="23.25">
      <c r="A1" s="82"/>
      <c r="B1" s="1"/>
      <c r="C1" s="19"/>
      <c r="D1" s="1"/>
      <c r="E1" s="1"/>
      <c r="F1" s="2"/>
      <c r="G1"/>
      <c r="H1" s="2"/>
      <c r="I1" s="2"/>
      <c r="J1"/>
      <c r="K1" s="85"/>
      <c r="L1" s="86"/>
    </row>
    <row r="2" spans="1:12" s="13" customFormat="1" ht="15" customHeight="1">
      <c r="A2" s="25" t="s">
        <v>428</v>
      </c>
      <c r="B2" s="1"/>
      <c r="C2" s="19"/>
      <c r="D2" s="1"/>
      <c r="E2"/>
      <c r="F2" s="2"/>
      <c r="G2"/>
      <c r="H2" s="2"/>
      <c r="I2" s="2"/>
      <c r="J2"/>
      <c r="K2" s="85"/>
      <c r="L2" s="86"/>
    </row>
    <row r="3" spans="1:12" s="13" customFormat="1" ht="12.75">
      <c r="A3" s="26"/>
      <c r="B3" s="31"/>
      <c r="C3" s="19"/>
      <c r="D3" s="1"/>
      <c r="E3" s="27"/>
      <c r="F3" s="28"/>
      <c r="G3" s="28"/>
      <c r="H3" s="28"/>
      <c r="I3" s="2"/>
      <c r="K3" s="85"/>
      <c r="L3" s="86"/>
    </row>
    <row r="4" spans="1:12" s="13" customFormat="1" ht="13.5" thickBot="1">
      <c r="A4" s="83"/>
      <c r="B4" s="27"/>
      <c r="C4" s="76"/>
      <c r="D4" s="1"/>
      <c r="E4" s="27"/>
      <c r="F4" s="28"/>
      <c r="G4" s="28"/>
      <c r="H4" s="28"/>
      <c r="I4" s="2"/>
      <c r="K4" s="85"/>
      <c r="L4" s="86"/>
    </row>
    <row r="5" spans="1:12" s="13" customFormat="1" ht="13.5" thickTop="1">
      <c r="A5" s="39"/>
      <c r="B5" s="40"/>
      <c r="C5" s="77"/>
      <c r="D5" s="40"/>
      <c r="E5" s="41"/>
      <c r="F5" s="41"/>
      <c r="G5" s="41"/>
      <c r="H5" s="42"/>
      <c r="I5" s="39"/>
      <c r="J5"/>
      <c r="K5" s="86"/>
      <c r="L5" s="86"/>
    </row>
    <row r="6" spans="1:12" s="13" customFormat="1" ht="14.25">
      <c r="A6" s="12"/>
      <c r="B6" s="29" t="s">
        <v>76</v>
      </c>
      <c r="C6" s="29" t="s">
        <v>119</v>
      </c>
      <c r="D6" s="29" t="s">
        <v>77</v>
      </c>
      <c r="E6" s="36" t="s">
        <v>120</v>
      </c>
      <c r="F6" s="36" t="s">
        <v>62</v>
      </c>
      <c r="G6" s="36" t="s">
        <v>121</v>
      </c>
      <c r="H6" s="36" t="s">
        <v>63</v>
      </c>
      <c r="I6" s="29" t="s">
        <v>54</v>
      </c>
      <c r="J6"/>
      <c r="K6" s="86"/>
      <c r="L6" s="86"/>
    </row>
    <row r="7" spans="1:12" s="13" customFormat="1" ht="12.75">
      <c r="A7" s="29" t="s">
        <v>25</v>
      </c>
      <c r="B7" s="29" t="s">
        <v>60</v>
      </c>
      <c r="C7" s="29" t="s">
        <v>61</v>
      </c>
      <c r="D7" s="29" t="s">
        <v>61</v>
      </c>
      <c r="E7" s="37" t="s">
        <v>35</v>
      </c>
      <c r="F7" s="37" t="s">
        <v>35</v>
      </c>
      <c r="G7" s="37" t="s">
        <v>35</v>
      </c>
      <c r="H7" s="37" t="s">
        <v>35</v>
      </c>
      <c r="I7" s="38" t="s">
        <v>55</v>
      </c>
      <c r="K7" s="86"/>
      <c r="L7" s="86"/>
    </row>
    <row r="8" spans="1:12" s="16" customFormat="1" ht="4.5" customHeight="1">
      <c r="A8" s="43"/>
      <c r="B8" s="44"/>
      <c r="C8" s="78"/>
      <c r="D8" s="44"/>
      <c r="E8" s="45"/>
      <c r="F8" s="44"/>
      <c r="G8" s="44"/>
      <c r="H8" s="44"/>
      <c r="I8" s="44"/>
      <c r="K8" s="87"/>
      <c r="L8" s="87"/>
    </row>
    <row r="9" spans="3:12" s="8" customFormat="1" ht="3.75" customHeight="1">
      <c r="C9" s="56"/>
      <c r="E9" s="10"/>
      <c r="F9" s="10"/>
      <c r="G9" s="10"/>
      <c r="H9" s="10"/>
      <c r="K9" s="88"/>
      <c r="L9" s="88"/>
    </row>
    <row r="10" spans="1:12" s="8" customFormat="1" ht="14.25">
      <c r="A10" s="80" t="s">
        <v>122</v>
      </c>
      <c r="B10" s="12" t="s">
        <v>27</v>
      </c>
      <c r="C10" s="12" t="s">
        <v>27</v>
      </c>
      <c r="D10" s="12" t="s">
        <v>27</v>
      </c>
      <c r="E10" s="32">
        <f>1.016*70385/1000</f>
        <v>71.51116</v>
      </c>
      <c r="F10" s="32">
        <f>1.016*70385/1000</f>
        <v>71.51116</v>
      </c>
      <c r="G10" s="12" t="s">
        <v>27</v>
      </c>
      <c r="H10" s="12" t="s">
        <v>27</v>
      </c>
      <c r="I10" s="12" t="s">
        <v>27</v>
      </c>
      <c r="K10" s="88"/>
      <c r="L10" s="88"/>
    </row>
    <row r="11" spans="1:12" s="8" customFormat="1" ht="14.25">
      <c r="A11" s="80" t="s">
        <v>123</v>
      </c>
      <c r="B11" s="12" t="s">
        <v>27</v>
      </c>
      <c r="C11" s="12" t="s">
        <v>27</v>
      </c>
      <c r="D11" s="12" t="s">
        <v>27</v>
      </c>
      <c r="E11" s="32">
        <f>1.016*104521/1000</f>
        <v>106.193336</v>
      </c>
      <c r="F11" s="32">
        <f>1.016*104521/1000</f>
        <v>106.193336</v>
      </c>
      <c r="G11" s="12" t="s">
        <v>27</v>
      </c>
      <c r="H11" s="12" t="s">
        <v>27</v>
      </c>
      <c r="I11" s="12" t="s">
        <v>27</v>
      </c>
      <c r="K11" s="88"/>
      <c r="L11" s="88"/>
    </row>
    <row r="12" spans="1:12" s="8" customFormat="1" ht="14.25">
      <c r="A12" s="80" t="s">
        <v>124</v>
      </c>
      <c r="B12" s="12" t="s">
        <v>27</v>
      </c>
      <c r="C12" s="12" t="s">
        <v>27</v>
      </c>
      <c r="D12" s="12" t="s">
        <v>27</v>
      </c>
      <c r="E12" s="32">
        <f>1.016*138087/1000</f>
        <v>140.296392</v>
      </c>
      <c r="F12" s="32">
        <f>1.016*138087/1000</f>
        <v>140.296392</v>
      </c>
      <c r="G12" s="12" t="s">
        <v>27</v>
      </c>
      <c r="H12" s="12" t="s">
        <v>27</v>
      </c>
      <c r="I12" s="12">
        <v>467</v>
      </c>
      <c r="K12" s="88"/>
      <c r="L12" s="88"/>
    </row>
    <row r="13" spans="1:12" s="8" customFormat="1" ht="14.25">
      <c r="A13" s="80" t="s">
        <v>125</v>
      </c>
      <c r="B13" s="12" t="s">
        <v>27</v>
      </c>
      <c r="C13" s="12" t="s">
        <v>27</v>
      </c>
      <c r="D13" s="12" t="s">
        <v>27</v>
      </c>
      <c r="E13" s="32">
        <f>1.016*169922/1000</f>
        <v>172.64075200000002</v>
      </c>
      <c r="F13" s="32">
        <f>1.016*169922/1000</f>
        <v>172.64075200000002</v>
      </c>
      <c r="G13" s="12" t="s">
        <v>27</v>
      </c>
      <c r="H13" s="12" t="s">
        <v>27</v>
      </c>
      <c r="I13" s="12">
        <v>536</v>
      </c>
      <c r="K13" s="88"/>
      <c r="L13" s="88"/>
    </row>
    <row r="14" spans="1:12" s="8" customFormat="1" ht="14.25">
      <c r="A14" s="80" t="s">
        <v>126</v>
      </c>
      <c r="B14" s="11">
        <v>3236</v>
      </c>
      <c r="C14" s="12" t="s">
        <v>27</v>
      </c>
      <c r="D14" s="12" t="s">
        <v>27</v>
      </c>
      <c r="E14" s="32">
        <f>1.016*203323/1000</f>
        <v>206.576168</v>
      </c>
      <c r="F14" s="32">
        <f>1.016*203323/1000</f>
        <v>206.576168</v>
      </c>
      <c r="G14" s="12" t="s">
        <v>27</v>
      </c>
      <c r="H14" s="12" t="s">
        <v>27</v>
      </c>
      <c r="I14" s="12">
        <v>692</v>
      </c>
      <c r="K14" s="88"/>
      <c r="L14" s="88"/>
    </row>
    <row r="15" spans="1:12" s="8" customFormat="1" ht="14.25">
      <c r="A15" s="80" t="s">
        <v>127</v>
      </c>
      <c r="B15" s="11">
        <v>3170</v>
      </c>
      <c r="C15" s="12" t="s">
        <v>27</v>
      </c>
      <c r="D15" s="12" t="s">
        <v>27</v>
      </c>
      <c r="E15" s="32">
        <f>1.016*253983/1000</f>
        <v>258.04672800000003</v>
      </c>
      <c r="F15" s="32">
        <f>1.016*253983/1000</f>
        <v>258.04672800000003</v>
      </c>
      <c r="G15" s="12" t="s">
        <v>27</v>
      </c>
      <c r="H15" s="12" t="s">
        <v>27</v>
      </c>
      <c r="I15" s="12">
        <v>908</v>
      </c>
      <c r="K15" s="88"/>
      <c r="L15" s="88"/>
    </row>
    <row r="16" spans="1:12" s="8" customFormat="1" ht="14.25">
      <c r="A16" s="80" t="s">
        <v>128</v>
      </c>
      <c r="B16" s="11">
        <v>2656</v>
      </c>
      <c r="C16" s="12" t="s">
        <v>27</v>
      </c>
      <c r="D16" s="12" t="s">
        <v>27</v>
      </c>
      <c r="E16" s="32">
        <f>1.016*241109/1000</f>
        <v>244.966744</v>
      </c>
      <c r="F16" s="32">
        <f>1.016*241109/1000</f>
        <v>244.966744</v>
      </c>
      <c r="G16" s="12" t="s">
        <v>27</v>
      </c>
      <c r="H16" s="12" t="s">
        <v>27</v>
      </c>
      <c r="I16" s="12">
        <v>1036</v>
      </c>
      <c r="K16" s="88"/>
      <c r="L16" s="88"/>
    </row>
    <row r="17" spans="1:12" s="8" customFormat="1" ht="14.25">
      <c r="A17" s="80" t="s">
        <v>129</v>
      </c>
      <c r="B17" s="11">
        <v>2311</v>
      </c>
      <c r="C17" s="12" t="s">
        <v>27</v>
      </c>
      <c r="D17" s="12" t="s">
        <v>27</v>
      </c>
      <c r="E17" s="32">
        <f>1.016*233126/1000</f>
        <v>236.856016</v>
      </c>
      <c r="F17" s="32">
        <f>1.016*233126/1000</f>
        <v>236.856016</v>
      </c>
      <c r="G17" s="12" t="s">
        <v>27</v>
      </c>
      <c r="H17" s="12" t="s">
        <v>27</v>
      </c>
      <c r="I17" s="12">
        <v>975</v>
      </c>
      <c r="K17" s="88"/>
      <c r="L17" s="88"/>
    </row>
    <row r="18" spans="1:12" s="8" customFormat="1" ht="14.25">
      <c r="A18" s="80" t="s">
        <v>130</v>
      </c>
      <c r="B18" s="11">
        <v>1793</v>
      </c>
      <c r="C18" s="12" t="s">
        <v>27</v>
      </c>
      <c r="D18" s="12" t="s">
        <v>27</v>
      </c>
      <c r="E18" s="32">
        <f>1.016*221155/1000</f>
        <v>224.69348000000002</v>
      </c>
      <c r="F18" s="32">
        <f>1.016*221155/1000</f>
        <v>224.69348000000002</v>
      </c>
      <c r="G18" s="12" t="s">
        <v>27</v>
      </c>
      <c r="H18" s="12" t="s">
        <v>27</v>
      </c>
      <c r="I18" s="12">
        <v>749</v>
      </c>
      <c r="K18" s="88"/>
      <c r="L18" s="88"/>
    </row>
    <row r="19" spans="1:12" s="8" customFormat="1" ht="14.25">
      <c r="A19" s="80" t="s">
        <v>131</v>
      </c>
      <c r="B19" s="113">
        <f aca="true" t="shared" si="0" ref="B19:G19">AVERAGE(B57:B66)</f>
        <v>1480.1</v>
      </c>
      <c r="C19" s="113">
        <f t="shared" si="0"/>
        <v>914.5</v>
      </c>
      <c r="D19" s="113">
        <f t="shared" si="0"/>
        <v>118.4</v>
      </c>
      <c r="E19" s="52">
        <f t="shared" si="0"/>
        <v>207.95607888</v>
      </c>
      <c r="F19" s="52">
        <f t="shared" si="0"/>
        <v>198.02805200000003</v>
      </c>
      <c r="G19" s="113">
        <f t="shared" si="0"/>
        <v>9.928026880000004</v>
      </c>
      <c r="H19" s="59" t="s">
        <v>27</v>
      </c>
      <c r="I19" s="59">
        <v>704</v>
      </c>
      <c r="K19" s="88"/>
      <c r="L19" s="88"/>
    </row>
    <row r="20" spans="1:12" s="8" customFormat="1" ht="14.25">
      <c r="A20" s="80" t="s">
        <v>132</v>
      </c>
      <c r="B20" s="113">
        <f aca="true" t="shared" si="1" ref="B20:G20">AVERAGE(B67:B76)</f>
        <v>1259.2</v>
      </c>
      <c r="C20" s="113">
        <f t="shared" si="1"/>
        <v>776.7</v>
      </c>
      <c r="D20" s="113">
        <f t="shared" si="1"/>
        <v>97.7</v>
      </c>
      <c r="E20" s="52">
        <f t="shared" si="1"/>
        <v>215.93442</v>
      </c>
      <c r="F20" s="52">
        <f t="shared" si="1"/>
        <v>204.18017999999998</v>
      </c>
      <c r="G20" s="113">
        <f t="shared" si="1"/>
        <v>11.754240000000005</v>
      </c>
      <c r="H20" s="59" t="s">
        <v>27</v>
      </c>
      <c r="I20" s="59">
        <v>664</v>
      </c>
      <c r="K20" s="88"/>
      <c r="L20" s="88"/>
    </row>
    <row r="21" spans="1:12" s="8" customFormat="1" ht="14.25">
      <c r="A21" s="80" t="s">
        <v>133</v>
      </c>
      <c r="B21" s="59" t="s">
        <v>27</v>
      </c>
      <c r="C21" s="113">
        <f aca="true" t="shared" si="2" ref="C21:I21">AVERAGE(C77:C86)</f>
        <v>397.5</v>
      </c>
      <c r="D21" s="113">
        <f t="shared" si="2"/>
        <v>49</v>
      </c>
      <c r="E21" s="52">
        <f t="shared" si="2"/>
        <v>170.10309999999998</v>
      </c>
      <c r="F21" s="52">
        <f t="shared" si="2"/>
        <v>159.2901</v>
      </c>
      <c r="G21" s="113">
        <f t="shared" si="2"/>
        <v>10.812999999999999</v>
      </c>
      <c r="H21" s="113">
        <f t="shared" si="2"/>
        <v>3.106</v>
      </c>
      <c r="I21" s="113">
        <f t="shared" si="2"/>
        <v>378.24999999999994</v>
      </c>
      <c r="K21" s="88"/>
      <c r="L21" s="88"/>
    </row>
    <row r="22" spans="1:12" s="8" customFormat="1" ht="14.25">
      <c r="A22" s="80" t="s">
        <v>134</v>
      </c>
      <c r="B22" s="59" t="s">
        <v>27</v>
      </c>
      <c r="C22" s="113">
        <f>AVERAGE(C87:C96)</f>
        <v>226.8</v>
      </c>
      <c r="D22" s="59" t="s">
        <v>27</v>
      </c>
      <c r="E22" s="52">
        <f>AVERAGE(E87:E96)</f>
        <v>124.5293</v>
      </c>
      <c r="F22" s="52">
        <f>AVERAGE(F87:F96)</f>
        <v>109.91900000000001</v>
      </c>
      <c r="G22" s="113">
        <f>AVERAGE(G87:G96)</f>
        <v>14.610299999999999</v>
      </c>
      <c r="H22" s="113">
        <f>AVERAGE(H87:H96)</f>
        <v>3.7995000000000005</v>
      </c>
      <c r="I22" s="113">
        <f>AVERAGE(I87:I96)</f>
        <v>230.91000000000003</v>
      </c>
      <c r="K22" s="88"/>
      <c r="L22" s="88"/>
    </row>
    <row r="23" spans="1:12" s="8" customFormat="1" ht="14.25">
      <c r="A23" s="80" t="s">
        <v>135</v>
      </c>
      <c r="B23" s="59" t="s">
        <v>27</v>
      </c>
      <c r="C23" s="113">
        <f>AVERAGE(C97:C108)</f>
        <v>86.08333333333333</v>
      </c>
      <c r="D23" s="59" t="s">
        <v>27</v>
      </c>
      <c r="E23" s="52">
        <f>AVERAGE(E97:E106)</f>
        <v>95.25219999999999</v>
      </c>
      <c r="F23" s="52">
        <f>AVERAGE(F97:F106)</f>
        <v>76.40429999999999</v>
      </c>
      <c r="G23" s="113">
        <f>AVERAGE(G97:G106)</f>
        <v>18.8479</v>
      </c>
      <c r="H23" s="113">
        <f>AVERAGE(H97:H106)</f>
        <v>12.497200000000001</v>
      </c>
      <c r="I23" s="113">
        <f>AVERAGE(I97:I106)</f>
        <v>80.7</v>
      </c>
      <c r="K23" s="88"/>
      <c r="L23" s="88"/>
    </row>
    <row r="24" spans="1:12" s="8" customFormat="1" ht="14.25">
      <c r="A24" s="80" t="s">
        <v>136</v>
      </c>
      <c r="B24" s="113">
        <f>AVERAGE(B109:B116)</f>
        <v>25.75</v>
      </c>
      <c r="C24" s="59" t="s">
        <v>27</v>
      </c>
      <c r="D24" s="113">
        <f>AVERAGE(D109:D116)</f>
        <v>49</v>
      </c>
      <c r="E24" s="52">
        <f>AVERAGE(E107:E116)</f>
        <v>44.10835936666666</v>
      </c>
      <c r="F24" s="52">
        <f>AVERAGE(F107:F116)</f>
        <v>27.750960866666667</v>
      </c>
      <c r="G24" s="113">
        <f>AVERAGE(G107:G116)</f>
        <v>16.357398499999995</v>
      </c>
      <c r="H24" s="113">
        <f>AVERAGE(H107:H116)</f>
        <v>21.615166113799997</v>
      </c>
      <c r="I24" s="52">
        <f>AVERAGE(I109:I116)</f>
        <v>11.347750000000001</v>
      </c>
      <c r="K24" s="88"/>
      <c r="L24" s="88"/>
    </row>
    <row r="25" spans="1:12" s="8" customFormat="1" ht="14.25">
      <c r="A25" s="80" t="s">
        <v>365</v>
      </c>
      <c r="B25" s="113">
        <f>AVERAGE(B117:B126)</f>
        <v>14.5</v>
      </c>
      <c r="C25" s="59" t="s">
        <v>27</v>
      </c>
      <c r="D25" s="113">
        <f>AVERAGE(D117:D123)</f>
        <v>32.42857142857143</v>
      </c>
      <c r="E25" s="113">
        <f>AVERAGE(E117:E126)</f>
        <v>19.918989103284865</v>
      </c>
      <c r="F25" s="113">
        <f>AVERAGE(F117:F126)</f>
        <v>9.13282174993739</v>
      </c>
      <c r="G25" s="113">
        <f>AVERAGE(G117:G126)</f>
        <v>10.786167353347473</v>
      </c>
      <c r="H25" s="113">
        <f>AVERAGE(H117:H126)</f>
        <v>39.18300807554469</v>
      </c>
      <c r="I25" s="113">
        <f>AVERAGE(I117:I126)</f>
        <v>6.2927</v>
      </c>
      <c r="K25" s="88"/>
      <c r="L25" s="88"/>
    </row>
    <row r="26" spans="1:12" s="8" customFormat="1" ht="12.75">
      <c r="A26" s="29"/>
      <c r="B26" s="14"/>
      <c r="C26" s="14"/>
      <c r="D26" s="14"/>
      <c r="E26" s="34"/>
      <c r="F26" s="34"/>
      <c r="G26" s="34"/>
      <c r="H26" s="35"/>
      <c r="I26" s="46"/>
      <c r="K26" s="88"/>
      <c r="L26" s="88"/>
    </row>
    <row r="27" spans="1:12" s="13" customFormat="1" ht="12.75">
      <c r="A27" s="29">
        <v>1913</v>
      </c>
      <c r="B27" s="11">
        <v>3024</v>
      </c>
      <c r="C27" s="12" t="s">
        <v>27</v>
      </c>
      <c r="D27" s="12" t="s">
        <v>27</v>
      </c>
      <c r="E27" s="73">
        <f>1.016*287.43</f>
        <v>292.02888</v>
      </c>
      <c r="F27" s="73">
        <f>E27</f>
        <v>292.02888</v>
      </c>
      <c r="G27" s="12" t="s">
        <v>27</v>
      </c>
      <c r="H27" s="12" t="s">
        <v>27</v>
      </c>
      <c r="I27" s="11">
        <v>1107</v>
      </c>
      <c r="J27"/>
      <c r="K27" s="86"/>
      <c r="L27" s="86"/>
    </row>
    <row r="28" spans="1:12" s="13" customFormat="1" ht="12.75">
      <c r="A28" s="29">
        <v>1914</v>
      </c>
      <c r="B28" s="11">
        <v>2682</v>
      </c>
      <c r="C28" s="12" t="s">
        <v>27</v>
      </c>
      <c r="D28" s="12" t="s">
        <v>27</v>
      </c>
      <c r="E28" s="73">
        <f>1.016*265.664</f>
        <v>269.914624</v>
      </c>
      <c r="F28" s="73">
        <f>E28</f>
        <v>269.914624</v>
      </c>
      <c r="G28" s="12" t="s">
        <v>27</v>
      </c>
      <c r="H28" s="12" t="s">
        <v>27</v>
      </c>
      <c r="I28" s="11">
        <v>1038</v>
      </c>
      <c r="J28"/>
      <c r="K28" s="86"/>
      <c r="L28" s="86"/>
    </row>
    <row r="29" spans="1:12" s="13" customFormat="1" ht="12.75">
      <c r="A29" s="29">
        <v>1915</v>
      </c>
      <c r="B29" s="11">
        <v>2581</v>
      </c>
      <c r="C29" s="12" t="s">
        <v>27</v>
      </c>
      <c r="D29" s="12" t="s">
        <v>27</v>
      </c>
      <c r="E29" s="73">
        <f>1.016*253.206</f>
        <v>257.257296</v>
      </c>
      <c r="F29" s="73">
        <f aca="true" t="shared" si="3" ref="F29:F55">E29</f>
        <v>257.257296</v>
      </c>
      <c r="G29" s="12" t="s">
        <v>27</v>
      </c>
      <c r="H29" s="12" t="s">
        <v>27</v>
      </c>
      <c r="I29" s="11">
        <v>935</v>
      </c>
      <c r="J29"/>
      <c r="K29" s="86"/>
      <c r="L29" s="86"/>
    </row>
    <row r="30" spans="1:12" s="13" customFormat="1" ht="12.75">
      <c r="A30" s="29">
        <v>1916</v>
      </c>
      <c r="B30" s="11">
        <v>2593</v>
      </c>
      <c r="C30" s="12" t="s">
        <v>27</v>
      </c>
      <c r="D30" s="12" t="s">
        <v>27</v>
      </c>
      <c r="E30" s="73">
        <f>1.016*256.375</f>
        <v>260.477</v>
      </c>
      <c r="F30" s="73">
        <f t="shared" si="3"/>
        <v>260.477</v>
      </c>
      <c r="G30" s="12" t="s">
        <v>27</v>
      </c>
      <c r="H30" s="12" t="s">
        <v>27</v>
      </c>
      <c r="I30" s="11">
        <v>981</v>
      </c>
      <c r="J30"/>
      <c r="K30" s="86"/>
      <c r="L30" s="86"/>
    </row>
    <row r="31" spans="1:12" s="13" customFormat="1" ht="12.75">
      <c r="A31" s="29">
        <v>1917</v>
      </c>
      <c r="B31" s="11">
        <v>2587</v>
      </c>
      <c r="C31" s="12" t="s">
        <v>27</v>
      </c>
      <c r="D31" s="12" t="s">
        <v>27</v>
      </c>
      <c r="E31" s="73">
        <f>1.016*248.499</f>
        <v>252.474984</v>
      </c>
      <c r="F31" s="73">
        <f t="shared" si="3"/>
        <v>252.474984</v>
      </c>
      <c r="G31" s="12" t="s">
        <v>27</v>
      </c>
      <c r="H31" s="12" t="s">
        <v>27</v>
      </c>
      <c r="I31" s="11">
        <v>1002</v>
      </c>
      <c r="J31"/>
      <c r="K31" s="86"/>
      <c r="L31" s="86"/>
    </row>
    <row r="32" spans="1:12" s="13" customFormat="1" ht="12.75">
      <c r="A32" s="29">
        <v>1918</v>
      </c>
      <c r="B32" s="11">
        <v>2568</v>
      </c>
      <c r="C32" s="12" t="s">
        <v>27</v>
      </c>
      <c r="D32" s="12" t="s">
        <v>27</v>
      </c>
      <c r="E32" s="73">
        <f>1.016*227.749</f>
        <v>231.39298399999998</v>
      </c>
      <c r="F32" s="73">
        <f t="shared" si="3"/>
        <v>231.39298399999998</v>
      </c>
      <c r="G32" s="12" t="s">
        <v>27</v>
      </c>
      <c r="H32" s="12" t="s">
        <v>27</v>
      </c>
      <c r="I32" s="11">
        <v>990</v>
      </c>
      <c r="J32"/>
      <c r="K32" s="86"/>
      <c r="L32" s="86"/>
    </row>
    <row r="33" spans="1:12" s="13" customFormat="1" ht="12.75">
      <c r="A33" s="29">
        <v>1919</v>
      </c>
      <c r="B33" s="11">
        <v>2549</v>
      </c>
      <c r="C33" s="12" t="s">
        <v>27</v>
      </c>
      <c r="D33" s="12" t="s">
        <v>27</v>
      </c>
      <c r="E33" s="73">
        <f>1.016*229.78</f>
        <v>233.45648</v>
      </c>
      <c r="F33" s="73">
        <f t="shared" si="3"/>
        <v>233.45648</v>
      </c>
      <c r="G33" s="12" t="s">
        <v>27</v>
      </c>
      <c r="H33" s="12" t="s">
        <v>27</v>
      </c>
      <c r="I33" s="11">
        <v>1136</v>
      </c>
      <c r="J33"/>
      <c r="K33" s="86"/>
      <c r="L33" s="86"/>
    </row>
    <row r="34" spans="1:12" s="13" customFormat="1" ht="12.75">
      <c r="A34" s="29">
        <v>1920</v>
      </c>
      <c r="B34" s="11">
        <v>2571</v>
      </c>
      <c r="C34" s="12" t="s">
        <v>27</v>
      </c>
      <c r="D34" s="12" t="s">
        <v>27</v>
      </c>
      <c r="E34" s="73">
        <f>1.016*229.532</f>
        <v>233.20451200000002</v>
      </c>
      <c r="F34" s="73">
        <f t="shared" si="3"/>
        <v>233.20451200000002</v>
      </c>
      <c r="G34" s="12" t="s">
        <v>27</v>
      </c>
      <c r="H34" s="12" t="s">
        <v>27</v>
      </c>
      <c r="I34" s="11">
        <v>1191</v>
      </c>
      <c r="J34"/>
      <c r="K34" s="86"/>
      <c r="L34" s="86"/>
    </row>
    <row r="35" spans="1:12" s="13" customFormat="1" ht="12.75">
      <c r="A35" s="29">
        <v>1921</v>
      </c>
      <c r="B35" s="11">
        <v>2786</v>
      </c>
      <c r="C35" s="12" t="s">
        <v>27</v>
      </c>
      <c r="D35" s="12" t="s">
        <v>27</v>
      </c>
      <c r="E35" s="73">
        <f>1.016*163.251</f>
        <v>165.86301600000002</v>
      </c>
      <c r="F35" s="73">
        <f t="shared" si="3"/>
        <v>165.86301600000002</v>
      </c>
      <c r="G35" s="12" t="s">
        <v>27</v>
      </c>
      <c r="H35" s="12" t="s">
        <v>27</v>
      </c>
      <c r="I35" s="11"/>
      <c r="J35"/>
      <c r="K35" s="86"/>
      <c r="L35" s="86"/>
    </row>
    <row r="36" spans="1:12" s="13" customFormat="1" ht="12.75">
      <c r="A36" s="29">
        <v>1922</v>
      </c>
      <c r="B36" s="11">
        <v>2616</v>
      </c>
      <c r="C36" s="12" t="s">
        <v>27</v>
      </c>
      <c r="D36" s="12" t="s">
        <v>27</v>
      </c>
      <c r="E36" s="73">
        <f>1.016*249.607</f>
        <v>253.60071200000002</v>
      </c>
      <c r="F36" s="73">
        <f t="shared" si="3"/>
        <v>253.60071200000002</v>
      </c>
      <c r="G36" s="12" t="s">
        <v>27</v>
      </c>
      <c r="H36" s="12" t="s">
        <v>27</v>
      </c>
      <c r="I36" s="11">
        <v>1085</v>
      </c>
      <c r="J36"/>
      <c r="K36" s="86"/>
      <c r="L36" s="86"/>
    </row>
    <row r="37" spans="1:12" s="13" customFormat="1" ht="12.75">
      <c r="A37" s="29">
        <v>1923</v>
      </c>
      <c r="B37" s="11">
        <v>2607</v>
      </c>
      <c r="C37" s="12" t="s">
        <v>27</v>
      </c>
      <c r="D37" s="12" t="s">
        <v>27</v>
      </c>
      <c r="E37" s="73">
        <f>1.016*276.001</f>
        <v>280.417016</v>
      </c>
      <c r="F37" s="73">
        <f t="shared" si="3"/>
        <v>280.417016</v>
      </c>
      <c r="G37" s="12" t="s">
        <v>27</v>
      </c>
      <c r="H37" s="12" t="s">
        <v>27</v>
      </c>
      <c r="I37" s="11">
        <v>1151</v>
      </c>
      <c r="J37"/>
      <c r="K37" s="86"/>
      <c r="L37" s="86"/>
    </row>
    <row r="38" spans="1:12" s="13" customFormat="1" ht="12.75">
      <c r="A38" s="29">
        <v>1924</v>
      </c>
      <c r="B38" s="11">
        <v>2579</v>
      </c>
      <c r="C38" s="12" t="s">
        <v>27</v>
      </c>
      <c r="D38" s="12" t="s">
        <v>27</v>
      </c>
      <c r="E38" s="73">
        <f>1.016*267.118</f>
        <v>271.391888</v>
      </c>
      <c r="F38" s="73">
        <f t="shared" si="3"/>
        <v>271.391888</v>
      </c>
      <c r="G38" s="12" t="s">
        <v>27</v>
      </c>
      <c r="H38" s="12" t="s">
        <v>27</v>
      </c>
      <c r="I38" s="11">
        <v>1163</v>
      </c>
      <c r="J38"/>
      <c r="K38" s="86"/>
      <c r="L38" s="86"/>
    </row>
    <row r="39" spans="1:12" s="13" customFormat="1" ht="12.75">
      <c r="A39" s="29">
        <v>1925</v>
      </c>
      <c r="B39" s="11">
        <v>2479</v>
      </c>
      <c r="C39" s="12" t="s">
        <v>27</v>
      </c>
      <c r="D39" s="12" t="s">
        <v>27</v>
      </c>
      <c r="E39" s="73">
        <f>1.016*243.176</f>
        <v>247.066816</v>
      </c>
      <c r="F39" s="73">
        <f t="shared" si="3"/>
        <v>247.066816</v>
      </c>
      <c r="G39" s="12" t="s">
        <v>27</v>
      </c>
      <c r="H39" s="12" t="s">
        <v>27</v>
      </c>
      <c r="I39" s="11">
        <v>1078</v>
      </c>
      <c r="J39"/>
      <c r="K39" s="86"/>
      <c r="L39" s="86"/>
    </row>
    <row r="40" spans="1:12" s="13" customFormat="1" ht="12.75">
      <c r="A40" s="29">
        <v>1926</v>
      </c>
      <c r="B40" s="11">
        <v>2563</v>
      </c>
      <c r="C40" s="12" t="s">
        <v>27</v>
      </c>
      <c r="D40" s="12" t="s">
        <v>27</v>
      </c>
      <c r="E40" s="73">
        <f>1.016*126.279</f>
        <v>128.299464</v>
      </c>
      <c r="F40" s="73">
        <f t="shared" si="3"/>
        <v>128.299464</v>
      </c>
      <c r="G40" s="12" t="s">
        <v>27</v>
      </c>
      <c r="H40" s="12" t="s">
        <v>27</v>
      </c>
      <c r="I40" s="11"/>
      <c r="J40"/>
      <c r="K40" s="86"/>
      <c r="L40" s="86"/>
    </row>
    <row r="41" spans="1:12" s="13" customFormat="1" ht="12.75">
      <c r="A41" s="29">
        <v>1927</v>
      </c>
      <c r="B41" s="11">
        <v>2569</v>
      </c>
      <c r="C41" s="12" t="s">
        <v>27</v>
      </c>
      <c r="D41" s="12" t="s">
        <v>27</v>
      </c>
      <c r="E41" s="73">
        <f>1.016*251.232</f>
        <v>255.251712</v>
      </c>
      <c r="F41" s="73">
        <f t="shared" si="3"/>
        <v>255.251712</v>
      </c>
      <c r="G41" s="12" t="s">
        <v>27</v>
      </c>
      <c r="H41" s="12" t="s">
        <v>27</v>
      </c>
      <c r="I41" s="11">
        <v>991</v>
      </c>
      <c r="J41"/>
      <c r="K41" s="86"/>
      <c r="L41" s="86"/>
    </row>
    <row r="42" spans="1:12" s="13" customFormat="1" ht="12.75">
      <c r="A42" s="29">
        <v>1928</v>
      </c>
      <c r="B42" s="11">
        <v>2228</v>
      </c>
      <c r="C42" s="12" t="s">
        <v>27</v>
      </c>
      <c r="D42" s="12" t="s">
        <v>27</v>
      </c>
      <c r="E42" s="73">
        <f>1.016*237.472</f>
        <v>241.271552</v>
      </c>
      <c r="F42" s="73">
        <f t="shared" si="3"/>
        <v>241.271552</v>
      </c>
      <c r="G42" s="12" t="s">
        <v>27</v>
      </c>
      <c r="H42" s="12" t="s">
        <v>27</v>
      </c>
      <c r="I42" s="11">
        <v>915</v>
      </c>
      <c r="J42"/>
      <c r="K42" s="86"/>
      <c r="L42" s="86"/>
    </row>
    <row r="43" spans="1:12" s="13" customFormat="1" ht="12.75">
      <c r="A43" s="29">
        <v>1929</v>
      </c>
      <c r="B43" s="11">
        <v>2146</v>
      </c>
      <c r="C43" s="12" t="s">
        <v>27</v>
      </c>
      <c r="D43" s="12" t="s">
        <v>27</v>
      </c>
      <c r="E43" s="73">
        <f>1.016*257.907</f>
        <v>262.033512</v>
      </c>
      <c r="F43" s="73">
        <f t="shared" si="3"/>
        <v>262.033512</v>
      </c>
      <c r="G43" s="12" t="s">
        <v>27</v>
      </c>
      <c r="H43" s="12" t="s">
        <v>27</v>
      </c>
      <c r="I43" s="11">
        <v>925</v>
      </c>
      <c r="J43"/>
      <c r="K43" s="86"/>
      <c r="L43" s="86"/>
    </row>
    <row r="44" spans="1:12" s="13" customFormat="1" ht="12.75">
      <c r="A44" s="29">
        <v>1930</v>
      </c>
      <c r="B44" s="11">
        <v>2091</v>
      </c>
      <c r="C44" s="12" t="s">
        <v>27</v>
      </c>
      <c r="D44" s="12" t="s">
        <v>27</v>
      </c>
      <c r="E44" s="73">
        <f>1.016*243.882</f>
        <v>247.78411200000002</v>
      </c>
      <c r="F44" s="73">
        <f t="shared" si="3"/>
        <v>247.78411200000002</v>
      </c>
      <c r="G44" s="12" t="s">
        <v>27</v>
      </c>
      <c r="H44" s="12" t="s">
        <v>27</v>
      </c>
      <c r="I44" s="11">
        <v>910</v>
      </c>
      <c r="J44"/>
      <c r="K44" s="86"/>
      <c r="L44" s="86"/>
    </row>
    <row r="45" spans="1:12" s="13" customFormat="1" ht="12.75">
      <c r="A45" s="29">
        <v>1931</v>
      </c>
      <c r="B45" s="11">
        <v>1958</v>
      </c>
      <c r="C45" s="12" t="s">
        <v>27</v>
      </c>
      <c r="D45" s="12" t="s">
        <v>27</v>
      </c>
      <c r="E45" s="73">
        <f>1.016*219.459</f>
        <v>222.970344</v>
      </c>
      <c r="F45" s="73">
        <f t="shared" si="3"/>
        <v>222.970344</v>
      </c>
      <c r="G45" s="12" t="s">
        <v>27</v>
      </c>
      <c r="H45" s="12" t="s">
        <v>27</v>
      </c>
      <c r="I45" s="11">
        <v>843</v>
      </c>
      <c r="J45"/>
      <c r="K45" s="86"/>
      <c r="L45" s="86"/>
    </row>
    <row r="46" spans="1:12" s="13" customFormat="1" ht="12.75">
      <c r="A46" s="29">
        <v>1932</v>
      </c>
      <c r="B46" s="11">
        <v>1888</v>
      </c>
      <c r="C46" s="12" t="s">
        <v>27</v>
      </c>
      <c r="D46" s="12" t="s">
        <v>27</v>
      </c>
      <c r="E46" s="73">
        <f>1.016*208.733</f>
        <v>212.072728</v>
      </c>
      <c r="F46" s="73">
        <f t="shared" si="3"/>
        <v>212.072728</v>
      </c>
      <c r="G46" s="12" t="s">
        <v>27</v>
      </c>
      <c r="H46" s="12" t="s">
        <v>27</v>
      </c>
      <c r="I46" s="11">
        <v>796</v>
      </c>
      <c r="J46"/>
      <c r="K46" s="86"/>
      <c r="L46" s="86"/>
    </row>
    <row r="47" spans="1:12" s="13" customFormat="1" ht="12.75">
      <c r="A47" s="29">
        <v>1933</v>
      </c>
      <c r="B47" s="11">
        <v>1782</v>
      </c>
      <c r="C47" s="12" t="s">
        <v>27</v>
      </c>
      <c r="D47" s="12" t="s">
        <v>27</v>
      </c>
      <c r="E47" s="73">
        <f>1.016*207.112</f>
        <v>210.425792</v>
      </c>
      <c r="F47" s="73">
        <f t="shared" si="3"/>
        <v>210.425792</v>
      </c>
      <c r="G47" s="12" t="s">
        <v>27</v>
      </c>
      <c r="H47" s="12" t="s">
        <v>27</v>
      </c>
      <c r="I47" s="11">
        <v>767</v>
      </c>
      <c r="J47"/>
      <c r="K47" s="86"/>
      <c r="L47" s="86"/>
    </row>
    <row r="48" spans="1:12" s="13" customFormat="1" ht="12.75">
      <c r="A48" s="29">
        <v>1934</v>
      </c>
      <c r="B48" s="11">
        <v>1841</v>
      </c>
      <c r="C48" s="12" t="s">
        <v>27</v>
      </c>
      <c r="D48" s="12" t="s">
        <v>27</v>
      </c>
      <c r="E48" s="73">
        <f>1.016*220.726</f>
        <v>224.257616</v>
      </c>
      <c r="F48" s="73">
        <f t="shared" si="3"/>
        <v>224.257616</v>
      </c>
      <c r="G48" s="12" t="s">
        <v>27</v>
      </c>
      <c r="H48" s="12" t="s">
        <v>27</v>
      </c>
      <c r="I48" s="11">
        <v>768</v>
      </c>
      <c r="J48"/>
      <c r="K48" s="86"/>
      <c r="L48" s="86"/>
    </row>
    <row r="49" spans="1:12" s="13" customFormat="1" ht="12.75">
      <c r="A49" s="29">
        <v>1935</v>
      </c>
      <c r="B49" s="11">
        <v>1779</v>
      </c>
      <c r="C49" s="12" t="s">
        <v>27</v>
      </c>
      <c r="D49" s="12" t="s">
        <v>27</v>
      </c>
      <c r="E49" s="73">
        <f>1.016*222.249</f>
        <v>225.804984</v>
      </c>
      <c r="F49" s="73">
        <f t="shared" si="3"/>
        <v>225.804984</v>
      </c>
      <c r="G49" s="12" t="s">
        <v>27</v>
      </c>
      <c r="H49" s="12" t="s">
        <v>27</v>
      </c>
      <c r="I49" s="11">
        <v>753</v>
      </c>
      <c r="J49"/>
      <c r="K49" s="86"/>
      <c r="L49" s="86"/>
    </row>
    <row r="50" spans="1:12" s="13" customFormat="1" ht="12.75">
      <c r="A50" s="29">
        <v>1936</v>
      </c>
      <c r="B50" s="11">
        <v>1758</v>
      </c>
      <c r="C50" s="12" t="s">
        <v>27</v>
      </c>
      <c r="D50" s="12" t="s">
        <v>27</v>
      </c>
      <c r="E50" s="73">
        <f>1.016*228.448</f>
        <v>232.103168</v>
      </c>
      <c r="F50" s="73">
        <f t="shared" si="3"/>
        <v>232.103168</v>
      </c>
      <c r="G50" s="12" t="s">
        <v>27</v>
      </c>
      <c r="H50" s="12" t="s">
        <v>27</v>
      </c>
      <c r="I50" s="11">
        <v>750</v>
      </c>
      <c r="J50"/>
      <c r="K50" s="86"/>
      <c r="L50" s="86"/>
    </row>
    <row r="51" spans="1:12" s="13" customFormat="1" ht="12.75">
      <c r="A51" s="29">
        <v>1937</v>
      </c>
      <c r="B51" s="11">
        <v>1807</v>
      </c>
      <c r="C51" s="12" t="s">
        <v>27</v>
      </c>
      <c r="D51" s="12" t="s">
        <v>27</v>
      </c>
      <c r="E51" s="73">
        <f>1.016*240.409</f>
        <v>244.255544</v>
      </c>
      <c r="F51" s="73">
        <f t="shared" si="3"/>
        <v>244.255544</v>
      </c>
      <c r="G51" s="12" t="s">
        <v>27</v>
      </c>
      <c r="H51" s="12" t="s">
        <v>27</v>
      </c>
      <c r="I51" s="11">
        <v>773</v>
      </c>
      <c r="J51"/>
      <c r="K51" s="86"/>
      <c r="L51" s="86"/>
    </row>
    <row r="52" spans="1:12" s="13" customFormat="1" ht="12.75">
      <c r="A52" s="29">
        <v>1938</v>
      </c>
      <c r="B52" s="11">
        <v>1860</v>
      </c>
      <c r="C52" s="12" t="s">
        <v>27</v>
      </c>
      <c r="D52" s="12" t="s">
        <v>27</v>
      </c>
      <c r="E52" s="73">
        <f>1.016*226.993</f>
        <v>230.624888</v>
      </c>
      <c r="F52" s="73">
        <f t="shared" si="3"/>
        <v>230.624888</v>
      </c>
      <c r="G52" s="12" t="s">
        <v>27</v>
      </c>
      <c r="H52" s="12" t="s">
        <v>27</v>
      </c>
      <c r="I52" s="11">
        <v>776</v>
      </c>
      <c r="J52"/>
      <c r="K52" s="86"/>
      <c r="L52" s="86"/>
    </row>
    <row r="53" spans="1:12" s="13" customFormat="1" ht="12.75">
      <c r="A53" s="29">
        <v>1939</v>
      </c>
      <c r="B53" s="11">
        <v>1856</v>
      </c>
      <c r="C53" s="12" t="s">
        <v>27</v>
      </c>
      <c r="D53" s="12" t="s">
        <v>27</v>
      </c>
      <c r="E53" s="73">
        <f>1.016*231.338</f>
        <v>235.039408</v>
      </c>
      <c r="F53" s="73">
        <f t="shared" si="3"/>
        <v>235.039408</v>
      </c>
      <c r="G53" s="12" t="s">
        <v>27</v>
      </c>
      <c r="H53" s="12" t="s">
        <v>27</v>
      </c>
      <c r="I53" s="11">
        <v>761</v>
      </c>
      <c r="J53"/>
      <c r="K53" s="86"/>
      <c r="L53" s="86"/>
    </row>
    <row r="54" spans="1:12" s="13" customFormat="1" ht="12.75">
      <c r="A54" s="29">
        <v>1940</v>
      </c>
      <c r="B54" s="11">
        <v>1769</v>
      </c>
      <c r="C54" s="12" t="s">
        <v>27</v>
      </c>
      <c r="D54" s="12" t="s">
        <v>27</v>
      </c>
      <c r="E54" s="73">
        <f>1.016*224.299</f>
        <v>227.887784</v>
      </c>
      <c r="F54" s="73">
        <f t="shared" si="3"/>
        <v>227.887784</v>
      </c>
      <c r="G54" s="12" t="s">
        <v>27</v>
      </c>
      <c r="H54" s="12" t="s">
        <v>27</v>
      </c>
      <c r="I54" s="11">
        <v>744</v>
      </c>
      <c r="J54"/>
      <c r="K54" s="86"/>
      <c r="L54" s="86"/>
    </row>
    <row r="55" spans="1:12" s="13" customFormat="1" ht="12.75">
      <c r="A55" s="29">
        <v>1941</v>
      </c>
      <c r="B55" s="11">
        <v>1737</v>
      </c>
      <c r="C55" s="12" t="s">
        <v>27</v>
      </c>
      <c r="D55" s="12" t="s">
        <v>27</v>
      </c>
      <c r="E55" s="73">
        <f>1.016*206.344</f>
        <v>209.645504</v>
      </c>
      <c r="F55" s="73">
        <f t="shared" si="3"/>
        <v>209.645504</v>
      </c>
      <c r="G55" s="12" t="s">
        <v>27</v>
      </c>
      <c r="H55" s="12" t="s">
        <v>27</v>
      </c>
      <c r="I55" s="11">
        <v>692</v>
      </c>
      <c r="J55"/>
      <c r="K55" s="86"/>
      <c r="L55" s="86"/>
    </row>
    <row r="56" spans="1:12" s="13" customFormat="1" ht="15">
      <c r="A56" s="75" t="s">
        <v>137</v>
      </c>
      <c r="B56" s="11">
        <v>1738</v>
      </c>
      <c r="C56" s="12" t="s">
        <v>27</v>
      </c>
      <c r="D56" s="12" t="s">
        <v>27</v>
      </c>
      <c r="E56" s="104">
        <f>F56+G56</f>
        <v>208.223104</v>
      </c>
      <c r="F56" s="73">
        <f>1.016*203.633</f>
        <v>206.891128</v>
      </c>
      <c r="G56" s="73">
        <f>1.311*1.016</f>
        <v>1.331976</v>
      </c>
      <c r="H56" s="12" t="s">
        <v>27</v>
      </c>
      <c r="I56" s="11">
        <v>704</v>
      </c>
      <c r="J56"/>
      <c r="K56" s="86"/>
      <c r="L56" s="86"/>
    </row>
    <row r="57" spans="1:12" s="13" customFormat="1" ht="15">
      <c r="A57" s="75" t="s">
        <v>139</v>
      </c>
      <c r="B57" s="11">
        <v>1690</v>
      </c>
      <c r="C57" s="12" t="s">
        <v>27</v>
      </c>
      <c r="D57" s="11">
        <v>93</v>
      </c>
      <c r="E57" s="104">
        <f>F57+G57</f>
        <v>202.10271999999998</v>
      </c>
      <c r="F57" s="73">
        <f>1.016*194.493</f>
        <v>197.604888</v>
      </c>
      <c r="G57" s="73">
        <f>4.427*1.016</f>
        <v>4.497832</v>
      </c>
      <c r="H57" s="12" t="s">
        <v>27</v>
      </c>
      <c r="I57" s="11">
        <v>701</v>
      </c>
      <c r="K57" s="86"/>
      <c r="L57" s="86"/>
    </row>
    <row r="58" spans="1:12" s="13" customFormat="1" ht="15">
      <c r="A58" s="75" t="s">
        <v>140</v>
      </c>
      <c r="B58" s="11">
        <v>1634</v>
      </c>
      <c r="C58" s="12" t="s">
        <v>27</v>
      </c>
      <c r="D58" s="11">
        <v>157</v>
      </c>
      <c r="E58" s="104">
        <f>F58+G58</f>
        <v>195.83196800000002</v>
      </c>
      <c r="F58" s="73">
        <f>1.016*184.098</f>
        <v>187.04356800000002</v>
      </c>
      <c r="G58" s="73">
        <f>8.65*1.016</f>
        <v>8.788400000000001</v>
      </c>
      <c r="H58" s="12" t="s">
        <v>27</v>
      </c>
      <c r="I58" s="11">
        <v>704</v>
      </c>
      <c r="J58"/>
      <c r="K58" s="94"/>
      <c r="L58" s="86"/>
    </row>
    <row r="59" spans="1:12" s="13" customFormat="1" ht="15">
      <c r="A59" s="75" t="s">
        <v>141</v>
      </c>
      <c r="B59" s="11">
        <v>1570</v>
      </c>
      <c r="C59" s="12" t="s">
        <v>27</v>
      </c>
      <c r="D59" s="11">
        <v>136</v>
      </c>
      <c r="E59" s="104">
        <f>F59+G59</f>
        <v>185.6994</v>
      </c>
      <c r="F59" s="73">
        <f>1.016*174.658</f>
        <v>177.452528</v>
      </c>
      <c r="G59" s="73">
        <f>8.117*1.016</f>
        <v>8.246872000000002</v>
      </c>
      <c r="H59" s="12" t="s">
        <v>27</v>
      </c>
      <c r="I59" s="11">
        <v>702</v>
      </c>
      <c r="J59"/>
      <c r="K59" s="94"/>
      <c r="L59" s="86"/>
    </row>
    <row r="60" spans="1:12" s="13" customFormat="1" ht="15">
      <c r="A60" s="75" t="s">
        <v>142</v>
      </c>
      <c r="B60" s="11">
        <v>1564</v>
      </c>
      <c r="C60" s="12" t="s">
        <v>27</v>
      </c>
      <c r="D60" s="11">
        <v>135</v>
      </c>
      <c r="E60" s="104">
        <f>F60+G60</f>
        <v>193.1099008</v>
      </c>
      <c r="F60" s="73">
        <f>1.016*181.243</f>
        <v>184.142888</v>
      </c>
      <c r="G60" s="73">
        <f>8.8258*1.016</f>
        <v>8.9670128</v>
      </c>
      <c r="H60" s="12" t="s">
        <v>27</v>
      </c>
      <c r="I60" s="11">
        <v>693</v>
      </c>
      <c r="J60"/>
      <c r="K60" s="94"/>
      <c r="L60" s="86"/>
    </row>
    <row r="61" spans="1:12" s="13" customFormat="1" ht="15">
      <c r="A61" s="75" t="s">
        <v>143</v>
      </c>
      <c r="B61" s="11">
        <v>1542</v>
      </c>
      <c r="C61" s="11">
        <v>958</v>
      </c>
      <c r="D61" s="11">
        <v>125</v>
      </c>
      <c r="E61" s="73">
        <f>196.9*1.016</f>
        <v>200.0504</v>
      </c>
      <c r="F61" s="73">
        <f>1.016*187.203</f>
        <v>190.198248</v>
      </c>
      <c r="G61" s="104">
        <f aca="true" t="shared" si="4" ref="G61:G73">E61-F61</f>
        <v>9.85215199999999</v>
      </c>
      <c r="H61" s="12" t="s">
        <v>27</v>
      </c>
      <c r="I61" s="11">
        <v>707</v>
      </c>
      <c r="J61"/>
      <c r="K61" s="94"/>
      <c r="L61" s="86"/>
    </row>
    <row r="62" spans="1:12" s="13" customFormat="1" ht="15">
      <c r="A62" s="75" t="s">
        <v>138</v>
      </c>
      <c r="B62" s="11">
        <v>1445</v>
      </c>
      <c r="C62" s="11">
        <v>940</v>
      </c>
      <c r="D62" s="11">
        <v>111</v>
      </c>
      <c r="E62" s="73">
        <f>207*1.016</f>
        <v>210.312</v>
      </c>
      <c r="F62" s="73">
        <f>1.016*196.6</f>
        <v>199.7456</v>
      </c>
      <c r="G62" s="104">
        <f t="shared" si="4"/>
        <v>10.566400000000016</v>
      </c>
      <c r="H62" s="12" t="s">
        <v>27</v>
      </c>
      <c r="I62" s="11">
        <v>720</v>
      </c>
      <c r="J62" s="95"/>
      <c r="K62" s="95"/>
      <c r="L62" s="89"/>
    </row>
    <row r="63" spans="1:12" s="13" customFormat="1" ht="15">
      <c r="A63" s="75" t="s">
        <v>144</v>
      </c>
      <c r="B63" s="11">
        <v>1366</v>
      </c>
      <c r="C63" s="11">
        <v>912</v>
      </c>
      <c r="D63" s="11">
        <v>128</v>
      </c>
      <c r="E63" s="73">
        <f>214.9*1.016</f>
        <v>218.3384</v>
      </c>
      <c r="F63" s="73">
        <f>1.016*202.7</f>
        <v>205.9432</v>
      </c>
      <c r="G63" s="104">
        <f t="shared" si="4"/>
        <v>12.395200000000017</v>
      </c>
      <c r="H63" s="12" t="s">
        <v>27</v>
      </c>
      <c r="I63" s="11">
        <v>716</v>
      </c>
      <c r="J63" s="95"/>
      <c r="K63" s="95"/>
      <c r="L63" s="89"/>
    </row>
    <row r="64" spans="1:12" s="13" customFormat="1" ht="15">
      <c r="A64" s="75" t="s">
        <v>145</v>
      </c>
      <c r="B64" s="11">
        <v>1342</v>
      </c>
      <c r="C64" s="11">
        <v>901</v>
      </c>
      <c r="D64" s="11">
        <v>109</v>
      </c>
      <c r="E64" s="73">
        <f>216*1.016</f>
        <v>219.45600000000002</v>
      </c>
      <c r="F64" s="73">
        <f>1.016*204.1</f>
        <v>207.3656</v>
      </c>
      <c r="G64" s="104">
        <f t="shared" si="4"/>
        <v>12.090400000000017</v>
      </c>
      <c r="H64" s="12" t="s">
        <v>27</v>
      </c>
      <c r="I64" s="11">
        <v>693</v>
      </c>
      <c r="J64" s="95"/>
      <c r="K64" s="95"/>
      <c r="L64" s="89"/>
    </row>
    <row r="65" spans="1:12" s="13" customFormat="1" ht="15">
      <c r="A65" s="75" t="s">
        <v>146</v>
      </c>
      <c r="B65" s="11">
        <v>1314</v>
      </c>
      <c r="C65" s="11">
        <v>896</v>
      </c>
      <c r="D65" s="11">
        <v>98</v>
      </c>
      <c r="E65" s="73">
        <f>222.6*1.016</f>
        <v>226.1616</v>
      </c>
      <c r="F65" s="73">
        <f>1.016*211.3</f>
        <v>214.6808</v>
      </c>
      <c r="G65" s="104">
        <f t="shared" si="4"/>
        <v>11.480799999999988</v>
      </c>
      <c r="H65" s="12" t="s">
        <v>27</v>
      </c>
      <c r="I65" s="11">
        <v>695</v>
      </c>
      <c r="J65" s="95"/>
      <c r="K65" s="95"/>
      <c r="L65" s="89"/>
    </row>
    <row r="66" spans="1:12" s="13" customFormat="1" ht="15">
      <c r="A66" s="75" t="s">
        <v>147</v>
      </c>
      <c r="B66" s="11">
        <v>1334</v>
      </c>
      <c r="C66" s="11">
        <v>880</v>
      </c>
      <c r="D66" s="11">
        <v>92</v>
      </c>
      <c r="E66" s="73">
        <f>224.9*1.016</f>
        <v>228.4984</v>
      </c>
      <c r="F66" s="73">
        <f>1.016*212.7</f>
        <v>216.1032</v>
      </c>
      <c r="G66" s="104">
        <f t="shared" si="4"/>
        <v>12.395200000000017</v>
      </c>
      <c r="H66" s="12" t="s">
        <v>27</v>
      </c>
      <c r="I66" s="11">
        <v>712</v>
      </c>
      <c r="J66" s="95"/>
      <c r="K66" s="95"/>
      <c r="L66" s="89"/>
    </row>
    <row r="67" spans="1:12" s="13" customFormat="1" ht="15">
      <c r="A67" s="75" t="s">
        <v>148</v>
      </c>
      <c r="B67" s="11">
        <v>1337</v>
      </c>
      <c r="C67" s="11">
        <v>875</v>
      </c>
      <c r="D67" s="11">
        <v>92</v>
      </c>
      <c r="E67" s="73">
        <f>223.5*1.016</f>
        <v>227.076</v>
      </c>
      <c r="F67" s="73">
        <f>1.016*211.8</f>
        <v>215.18880000000001</v>
      </c>
      <c r="G67" s="104">
        <f t="shared" si="4"/>
        <v>11.887199999999979</v>
      </c>
      <c r="H67" s="12" t="s">
        <v>27</v>
      </c>
      <c r="I67" s="11">
        <v>713</v>
      </c>
      <c r="J67" s="95"/>
      <c r="K67" s="95"/>
      <c r="L67" s="89"/>
    </row>
    <row r="68" spans="1:12" s="13" customFormat="1" ht="15">
      <c r="A68" s="75" t="s">
        <v>149</v>
      </c>
      <c r="B68" s="11">
        <v>1327</v>
      </c>
      <c r="C68" s="11">
        <v>867</v>
      </c>
      <c r="D68" s="11">
        <v>90</v>
      </c>
      <c r="E68" s="73">
        <f>223.8*1.016</f>
        <v>227.38080000000002</v>
      </c>
      <c r="F68" s="73">
        <f>1.016*213.6</f>
        <v>217.0176</v>
      </c>
      <c r="G68" s="104">
        <f t="shared" si="4"/>
        <v>10.363200000000035</v>
      </c>
      <c r="H68" s="12" t="s">
        <v>27</v>
      </c>
      <c r="I68" s="11">
        <v>707</v>
      </c>
      <c r="J68" s="95"/>
      <c r="K68" s="95"/>
      <c r="L68" s="86"/>
    </row>
    <row r="69" spans="1:12" s="13" customFormat="1" ht="15">
      <c r="A69" s="75" t="s">
        <v>150</v>
      </c>
      <c r="B69" s="11">
        <v>1338</v>
      </c>
      <c r="C69" s="11">
        <v>850</v>
      </c>
      <c r="D69" s="11">
        <v>115</v>
      </c>
      <c r="E69" s="73">
        <f>222.1*1.016</f>
        <v>225.6536</v>
      </c>
      <c r="F69" s="73">
        <f>1.016*210.2</f>
        <v>213.5632</v>
      </c>
      <c r="G69" s="104">
        <f t="shared" si="4"/>
        <v>12.090400000000017</v>
      </c>
      <c r="H69" s="12" t="s">
        <v>27</v>
      </c>
      <c r="I69" s="11">
        <v>704</v>
      </c>
      <c r="J69" s="95"/>
      <c r="K69" s="95"/>
      <c r="L69" s="86"/>
    </row>
    <row r="70" spans="1:12" s="13" customFormat="1" ht="15">
      <c r="A70" s="75" t="s">
        <v>151</v>
      </c>
      <c r="B70" s="11">
        <v>1338</v>
      </c>
      <c r="C70" s="11">
        <v>840</v>
      </c>
      <c r="D70" s="11">
        <v>130</v>
      </c>
      <c r="E70" s="73">
        <f>222.5*1.016</f>
        <v>226.06</v>
      </c>
      <c r="F70" s="73">
        <f>1.016*209.9</f>
        <v>213.2584</v>
      </c>
      <c r="G70" s="104">
        <f t="shared" si="4"/>
        <v>12.801600000000008</v>
      </c>
      <c r="H70" s="12" t="s">
        <v>27</v>
      </c>
      <c r="I70" s="11">
        <v>703</v>
      </c>
      <c r="J70" s="95"/>
      <c r="K70" s="95"/>
      <c r="L70" s="86"/>
    </row>
    <row r="71" spans="1:12" s="13" customFormat="1" ht="15">
      <c r="A71" s="75" t="s">
        <v>152</v>
      </c>
      <c r="B71" s="11">
        <v>1355</v>
      </c>
      <c r="C71" s="11">
        <v>822</v>
      </c>
      <c r="D71" s="11">
        <v>148</v>
      </c>
      <c r="E71" s="73">
        <f>224.2*1.016</f>
        <v>227.78719999999998</v>
      </c>
      <c r="F71" s="73">
        <f>1.016*210</f>
        <v>213.36</v>
      </c>
      <c r="G71" s="104">
        <f t="shared" si="4"/>
        <v>14.42719999999997</v>
      </c>
      <c r="H71" s="12" t="s">
        <v>27</v>
      </c>
      <c r="I71" s="11">
        <v>710</v>
      </c>
      <c r="J71" s="95"/>
      <c r="K71" s="95"/>
      <c r="L71" s="86"/>
    </row>
    <row r="72" spans="1:12" s="13" customFormat="1" ht="15">
      <c r="A72" s="75" t="s">
        <v>153</v>
      </c>
      <c r="B72" s="11">
        <v>1349</v>
      </c>
      <c r="C72" s="11">
        <v>793</v>
      </c>
      <c r="D72" s="11">
        <v>151</v>
      </c>
      <c r="E72" s="73">
        <f>216.3*1.016</f>
        <v>219.76080000000002</v>
      </c>
      <c r="F72" s="73">
        <f>1.016*201.5</f>
        <v>204.724</v>
      </c>
      <c r="G72" s="104">
        <f t="shared" si="4"/>
        <v>15.036800000000028</v>
      </c>
      <c r="H72" s="12" t="s">
        <v>27</v>
      </c>
      <c r="I72" s="11">
        <v>699</v>
      </c>
      <c r="J72" s="95"/>
      <c r="K72" s="95"/>
      <c r="L72" s="86"/>
    </row>
    <row r="73" spans="1:13" s="13" customFormat="1" ht="15">
      <c r="A73" s="75" t="s">
        <v>154</v>
      </c>
      <c r="B73" s="11">
        <v>1262</v>
      </c>
      <c r="C73" s="11">
        <v>737</v>
      </c>
      <c r="D73" s="11">
        <v>100</v>
      </c>
      <c r="E73" s="73">
        <f>206.8*1.016</f>
        <v>210.1088</v>
      </c>
      <c r="F73" s="73">
        <f>1.016*195.3</f>
        <v>198.4248</v>
      </c>
      <c r="G73" s="104">
        <f t="shared" si="4"/>
        <v>11.683999999999997</v>
      </c>
      <c r="H73" s="12" t="s">
        <v>27</v>
      </c>
      <c r="I73" s="11">
        <v>665</v>
      </c>
      <c r="J73" s="95"/>
      <c r="K73" s="95"/>
      <c r="L73" s="91"/>
      <c r="M73" s="84"/>
    </row>
    <row r="74" spans="1:12" s="13" customFormat="1" ht="15">
      <c r="A74" s="75" t="s">
        <v>155</v>
      </c>
      <c r="B74" s="11">
        <v>1167</v>
      </c>
      <c r="C74" s="11">
        <v>698</v>
      </c>
      <c r="D74" s="11">
        <v>63</v>
      </c>
      <c r="E74" s="73">
        <v>197.831</v>
      </c>
      <c r="F74" s="96">
        <v>189.039</v>
      </c>
      <c r="G74" s="104">
        <f>E74-F74</f>
        <v>8.792000000000002</v>
      </c>
      <c r="H74" s="12" t="s">
        <v>27</v>
      </c>
      <c r="I74" s="11">
        <v>607</v>
      </c>
      <c r="J74" s="95"/>
      <c r="K74" s="95"/>
      <c r="L74" s="86"/>
    </row>
    <row r="75" spans="1:12" s="13" customFormat="1" ht="15">
      <c r="A75" s="75" t="s">
        <v>156</v>
      </c>
      <c r="B75" s="11">
        <v>1090</v>
      </c>
      <c r="C75" s="11">
        <v>669</v>
      </c>
      <c r="D75" s="11">
        <v>49</v>
      </c>
      <c r="E75" s="73">
        <v>195.047</v>
      </c>
      <c r="F75" s="96">
        <v>184.858</v>
      </c>
      <c r="G75" s="104">
        <f aca="true" t="shared" si="5" ref="G75:G129">E75-F75</f>
        <v>10.188999999999993</v>
      </c>
      <c r="H75" s="12" t="s">
        <v>27</v>
      </c>
      <c r="I75" s="11">
        <v>575</v>
      </c>
      <c r="J75" s="95"/>
      <c r="K75" s="95"/>
      <c r="L75" s="86"/>
    </row>
    <row r="76" spans="1:12" s="13" customFormat="1" ht="15">
      <c r="A76" s="75" t="s">
        <v>157</v>
      </c>
      <c r="B76" s="11">
        <v>1029</v>
      </c>
      <c r="C76" s="11">
        <v>616</v>
      </c>
      <c r="D76" s="11">
        <v>39</v>
      </c>
      <c r="E76" s="73">
        <v>202.639</v>
      </c>
      <c r="F76" s="96">
        <v>192.368</v>
      </c>
      <c r="G76" s="104">
        <f t="shared" si="5"/>
        <v>10.271000000000015</v>
      </c>
      <c r="H76" s="12" t="s">
        <v>27</v>
      </c>
      <c r="I76" s="11">
        <v>556</v>
      </c>
      <c r="J76" s="95"/>
      <c r="K76" s="95"/>
      <c r="L76" s="86"/>
    </row>
    <row r="77" spans="1:12" s="13" customFormat="1" ht="15">
      <c r="A77" s="75" t="s">
        <v>158</v>
      </c>
      <c r="B77" s="11">
        <v>943</v>
      </c>
      <c r="C77" s="11">
        <v>580</v>
      </c>
      <c r="D77" s="11">
        <v>33</v>
      </c>
      <c r="E77" s="73">
        <v>200.462</v>
      </c>
      <c r="F77" s="96">
        <v>192.702</v>
      </c>
      <c r="G77" s="104">
        <f t="shared" si="5"/>
        <v>7.759999999999991</v>
      </c>
      <c r="H77" s="12" t="s">
        <v>27</v>
      </c>
      <c r="I77" s="11">
        <v>528</v>
      </c>
      <c r="J77" s="95"/>
      <c r="K77" s="95"/>
      <c r="L77" s="86"/>
    </row>
    <row r="78" spans="1:12" s="13" customFormat="1" ht="15">
      <c r="A78" s="75" t="s">
        <v>159</v>
      </c>
      <c r="B78" s="11">
        <v>943</v>
      </c>
      <c r="C78" s="11">
        <v>545</v>
      </c>
      <c r="D78" s="11">
        <v>46</v>
      </c>
      <c r="E78" s="73">
        <v>198.056</v>
      </c>
      <c r="F78" s="96">
        <v>189.816</v>
      </c>
      <c r="G78" s="104">
        <f t="shared" si="5"/>
        <v>8.240000000000009</v>
      </c>
      <c r="H78" s="12" t="s">
        <v>27</v>
      </c>
      <c r="I78" s="11">
        <v>502</v>
      </c>
      <c r="J78" s="95"/>
      <c r="K78" s="95"/>
      <c r="L78" s="86"/>
    </row>
    <row r="79" spans="1:12" s="13" customFormat="1" ht="15">
      <c r="A79" s="75" t="s">
        <v>162</v>
      </c>
      <c r="B79" s="12" t="s">
        <v>27</v>
      </c>
      <c r="C79" s="11">
        <v>504</v>
      </c>
      <c r="D79" s="11">
        <v>52</v>
      </c>
      <c r="E79" s="73">
        <v>191.627</v>
      </c>
      <c r="F79" s="96">
        <v>183.059</v>
      </c>
      <c r="G79" s="104">
        <f t="shared" si="5"/>
        <v>8.568000000000012</v>
      </c>
      <c r="H79" s="12" t="s">
        <v>27</v>
      </c>
      <c r="I79" s="11">
        <v>454.7</v>
      </c>
      <c r="J79" s="95"/>
      <c r="K79" s="95"/>
      <c r="L79" s="86"/>
    </row>
    <row r="80" spans="1:12" s="13" customFormat="1" ht="15">
      <c r="A80" s="75" t="s">
        <v>163</v>
      </c>
      <c r="B80" s="12" t="s">
        <v>27</v>
      </c>
      <c r="C80" s="11">
        <v>442</v>
      </c>
      <c r="D80" s="11">
        <v>60</v>
      </c>
      <c r="E80" s="73">
        <v>179.909</v>
      </c>
      <c r="F80" s="96">
        <v>171.069</v>
      </c>
      <c r="G80" s="104">
        <f t="shared" si="5"/>
        <v>8.840000000000003</v>
      </c>
      <c r="H80" s="12" t="s">
        <v>27</v>
      </c>
      <c r="I80" s="11">
        <v>422</v>
      </c>
      <c r="J80" s="95"/>
      <c r="K80" s="95"/>
      <c r="L80" s="86"/>
    </row>
    <row r="81" spans="1:13" s="13" customFormat="1" ht="15">
      <c r="A81" s="75" t="s">
        <v>164</v>
      </c>
      <c r="B81" s="12" t="s">
        <v>27</v>
      </c>
      <c r="C81" s="11">
        <v>406</v>
      </c>
      <c r="D81" s="11">
        <v>56</v>
      </c>
      <c r="E81" s="73">
        <v>177.651</v>
      </c>
      <c r="F81" s="96">
        <v>167.709</v>
      </c>
      <c r="G81" s="104">
        <f t="shared" si="5"/>
        <v>9.942000000000007</v>
      </c>
      <c r="H81" s="12" t="s">
        <v>27</v>
      </c>
      <c r="I81" s="11">
        <v>389.5</v>
      </c>
      <c r="J81" s="95"/>
      <c r="K81" s="95"/>
      <c r="L81" s="92"/>
      <c r="M81" s="33"/>
    </row>
    <row r="82" spans="1:13" s="13" customFormat="1" ht="15">
      <c r="A82" s="75" t="s">
        <v>165</v>
      </c>
      <c r="B82" s="12" t="s">
        <v>27</v>
      </c>
      <c r="C82" s="11">
        <v>330</v>
      </c>
      <c r="D82" s="11">
        <v>44</v>
      </c>
      <c r="E82" s="73">
        <v>169.92</v>
      </c>
      <c r="F82" s="96">
        <v>159.739</v>
      </c>
      <c r="G82" s="104">
        <f t="shared" si="5"/>
        <v>10.180999999999983</v>
      </c>
      <c r="H82" s="12" t="s">
        <v>27</v>
      </c>
      <c r="I82" s="11">
        <v>330.9</v>
      </c>
      <c r="J82" s="95"/>
      <c r="K82" s="95"/>
      <c r="L82" s="92"/>
      <c r="M82" s="33"/>
    </row>
    <row r="83" spans="1:13" s="13" customFormat="1" ht="15">
      <c r="A83" s="75" t="s">
        <v>166</v>
      </c>
      <c r="B83" s="12" t="s">
        <v>27</v>
      </c>
      <c r="C83" s="11">
        <v>304</v>
      </c>
      <c r="D83" s="11">
        <v>43</v>
      </c>
      <c r="E83" s="73">
        <v>155.694</v>
      </c>
      <c r="F83" s="96">
        <v>146.557</v>
      </c>
      <c r="G83" s="104">
        <f t="shared" si="5"/>
        <v>9.137</v>
      </c>
      <c r="H83" s="12" t="s">
        <v>27</v>
      </c>
      <c r="I83" s="11">
        <v>305.7</v>
      </c>
      <c r="J83" s="95"/>
      <c r="K83" s="95"/>
      <c r="L83" s="92"/>
      <c r="M83" s="33"/>
    </row>
    <row r="84" spans="1:13" s="13" customFormat="1" ht="15">
      <c r="A84" s="75" t="s">
        <v>167</v>
      </c>
      <c r="B84" s="12" t="s">
        <v>27</v>
      </c>
      <c r="C84" s="11">
        <v>293</v>
      </c>
      <c r="D84" s="11">
        <v>58</v>
      </c>
      <c r="E84" s="73">
        <v>147.195</v>
      </c>
      <c r="F84" s="73">
        <v>136.686</v>
      </c>
      <c r="G84" s="104">
        <f t="shared" si="5"/>
        <v>10.508999999999986</v>
      </c>
      <c r="H84" s="73">
        <v>0.079</v>
      </c>
      <c r="I84" s="11">
        <v>290</v>
      </c>
      <c r="J84" s="95"/>
      <c r="K84" s="95"/>
      <c r="L84" s="93"/>
      <c r="M84" s="50"/>
    </row>
    <row r="85" spans="1:13" s="13" customFormat="1" ht="15">
      <c r="A85" s="75" t="s">
        <v>168</v>
      </c>
      <c r="B85" s="12" t="s">
        <v>27</v>
      </c>
      <c r="C85" s="11">
        <v>289</v>
      </c>
      <c r="D85" s="12" t="s">
        <v>27</v>
      </c>
      <c r="E85" s="73">
        <v>153.683</v>
      </c>
      <c r="F85" s="73">
        <v>136.478</v>
      </c>
      <c r="G85" s="104">
        <f t="shared" si="5"/>
        <v>17.204999999999984</v>
      </c>
      <c r="H85" s="73">
        <v>4.241</v>
      </c>
      <c r="I85" s="11">
        <v>286.1</v>
      </c>
      <c r="J85" s="95"/>
      <c r="K85" s="95"/>
      <c r="L85" s="93"/>
      <c r="M85" s="50"/>
    </row>
    <row r="86" spans="1:13" s="13" customFormat="1" ht="15">
      <c r="A86" s="75" t="s">
        <v>169</v>
      </c>
      <c r="B86" s="12" t="s">
        <v>27</v>
      </c>
      <c r="C86" s="11">
        <v>282</v>
      </c>
      <c r="D86" s="12" t="s">
        <v>27</v>
      </c>
      <c r="E86" s="73">
        <v>126.834</v>
      </c>
      <c r="F86" s="73">
        <v>109.086</v>
      </c>
      <c r="G86" s="104">
        <f t="shared" si="5"/>
        <v>17.748000000000005</v>
      </c>
      <c r="H86" s="73">
        <v>4.998</v>
      </c>
      <c r="I86" s="11">
        <v>273.6</v>
      </c>
      <c r="J86" s="95"/>
      <c r="K86" s="95"/>
      <c r="L86" s="93"/>
      <c r="M86" s="50"/>
    </row>
    <row r="87" spans="1:13" s="13" customFormat="1" ht="15">
      <c r="A87" s="75" t="s">
        <v>170</v>
      </c>
      <c r="B87" s="12" t="s">
        <v>27</v>
      </c>
      <c r="C87" s="11">
        <v>261</v>
      </c>
      <c r="D87" s="12" t="s">
        <v>27</v>
      </c>
      <c r="E87" s="73">
        <v>131.984</v>
      </c>
      <c r="F87" s="73">
        <v>120.03</v>
      </c>
      <c r="G87" s="104">
        <f t="shared" si="5"/>
        <v>11.954000000000008</v>
      </c>
      <c r="H87" s="73">
        <v>1.675</v>
      </c>
      <c r="I87" s="11">
        <v>251.8</v>
      </c>
      <c r="J87" s="95"/>
      <c r="K87" s="95"/>
      <c r="L87" s="93"/>
      <c r="M87" s="50"/>
    </row>
    <row r="88" spans="1:13" s="13" customFormat="1" ht="15">
      <c r="A88" s="75" t="s">
        <v>171</v>
      </c>
      <c r="B88" s="12" t="s">
        <v>27</v>
      </c>
      <c r="C88" s="11">
        <v>250</v>
      </c>
      <c r="D88" s="12" t="s">
        <v>27</v>
      </c>
      <c r="E88" s="73">
        <v>110.452</v>
      </c>
      <c r="F88" s="73">
        <v>99.993</v>
      </c>
      <c r="G88" s="104">
        <f t="shared" si="5"/>
        <v>10.459000000000003</v>
      </c>
      <c r="H88" s="73">
        <v>3.547</v>
      </c>
      <c r="I88" s="11">
        <v>252.8</v>
      </c>
      <c r="J88" s="95"/>
      <c r="K88" s="95"/>
      <c r="L88" s="93"/>
      <c r="M88" s="50"/>
    </row>
    <row r="89" spans="1:13" s="13" customFormat="1" ht="15">
      <c r="A89" s="75" t="s">
        <v>172</v>
      </c>
      <c r="B89" s="12" t="s">
        <v>27</v>
      </c>
      <c r="C89" s="11">
        <v>241</v>
      </c>
      <c r="D89" s="12" t="s">
        <v>27</v>
      </c>
      <c r="E89" s="73">
        <v>128.683</v>
      </c>
      <c r="F89" s="73">
        <v>117.412</v>
      </c>
      <c r="G89" s="104">
        <f t="shared" si="5"/>
        <v>11.270999999999987</v>
      </c>
      <c r="H89" s="73">
        <v>5.083</v>
      </c>
      <c r="I89" s="11">
        <v>252</v>
      </c>
      <c r="J89" s="95"/>
      <c r="K89" s="95"/>
      <c r="L89" s="93"/>
      <c r="M89" s="50"/>
    </row>
    <row r="90" spans="1:13" s="13" customFormat="1" ht="15">
      <c r="A90" s="75" t="s">
        <v>173</v>
      </c>
      <c r="B90" s="12" t="s">
        <v>27</v>
      </c>
      <c r="C90" s="11">
        <v>239</v>
      </c>
      <c r="D90" s="12" t="s">
        <v>27</v>
      </c>
      <c r="E90" s="73">
        <v>123.801</v>
      </c>
      <c r="F90" s="73">
        <v>110.265</v>
      </c>
      <c r="G90" s="104">
        <f t="shared" si="5"/>
        <v>13.536000000000001</v>
      </c>
      <c r="H90" s="73">
        <v>2.837</v>
      </c>
      <c r="I90" s="11">
        <v>249.7</v>
      </c>
      <c r="J90" s="95"/>
      <c r="K90" s="95"/>
      <c r="L90" s="93"/>
      <c r="M90" s="50"/>
    </row>
    <row r="91" spans="1:13" s="13" customFormat="1" ht="15">
      <c r="A91" s="75" t="s">
        <v>174</v>
      </c>
      <c r="B91" s="12" t="s">
        <v>27</v>
      </c>
      <c r="C91" s="11">
        <v>231</v>
      </c>
      <c r="D91" s="12" t="s">
        <v>27</v>
      </c>
      <c r="E91" s="73">
        <v>122.15</v>
      </c>
      <c r="F91" s="73">
        <v>107.123</v>
      </c>
      <c r="G91" s="104">
        <f t="shared" si="5"/>
        <v>15.027000000000001</v>
      </c>
      <c r="H91" s="73">
        <v>2.439</v>
      </c>
      <c r="I91" s="11">
        <v>247.9</v>
      </c>
      <c r="J91" s="95"/>
      <c r="K91" s="95"/>
      <c r="L91" s="93"/>
      <c r="M91" s="50"/>
    </row>
    <row r="92" spans="1:13" s="13" customFormat="1" ht="15">
      <c r="A92" s="75" t="s">
        <v>175</v>
      </c>
      <c r="B92" s="12" t="s">
        <v>27</v>
      </c>
      <c r="C92" s="11">
        <v>223</v>
      </c>
      <c r="D92" s="12" t="s">
        <v>27</v>
      </c>
      <c r="E92" s="73">
        <v>123.577</v>
      </c>
      <c r="F92" s="73">
        <v>107.528</v>
      </c>
      <c r="G92" s="104">
        <f t="shared" si="5"/>
        <v>16.048999999999992</v>
      </c>
      <c r="H92" s="73">
        <v>2.352</v>
      </c>
      <c r="I92" s="11">
        <v>240.4</v>
      </c>
      <c r="J92" s="95"/>
      <c r="K92" s="95"/>
      <c r="L92" s="93"/>
      <c r="M92" s="50"/>
    </row>
    <row r="93" spans="1:13" s="13" customFormat="1" ht="15">
      <c r="A93" s="75" t="s">
        <v>176</v>
      </c>
      <c r="B93" s="12" t="s">
        <v>27</v>
      </c>
      <c r="C93" s="11">
        <v>219</v>
      </c>
      <c r="D93" s="12" t="s">
        <v>27</v>
      </c>
      <c r="E93" s="73">
        <v>122.369</v>
      </c>
      <c r="F93" s="73">
        <v>107.775</v>
      </c>
      <c r="G93" s="104">
        <f t="shared" si="5"/>
        <v>14.593999999999994</v>
      </c>
      <c r="H93" s="73">
        <v>4.375</v>
      </c>
      <c r="I93" s="11">
        <v>241.6</v>
      </c>
      <c r="J93" s="95"/>
      <c r="K93" s="95"/>
      <c r="L93" s="93"/>
      <c r="M93" s="50"/>
    </row>
    <row r="94" spans="1:13" s="13" customFormat="1" ht="15">
      <c r="A94" s="75" t="s">
        <v>177</v>
      </c>
      <c r="B94" s="12" t="s">
        <v>27</v>
      </c>
      <c r="C94" s="11">
        <v>213</v>
      </c>
      <c r="D94" s="12" t="s">
        <v>27</v>
      </c>
      <c r="E94" s="73">
        <v>130.097</v>
      </c>
      <c r="F94" s="73">
        <v>112.43</v>
      </c>
      <c r="G94" s="104">
        <f t="shared" si="5"/>
        <v>17.667</v>
      </c>
      <c r="H94" s="73">
        <v>7.334</v>
      </c>
      <c r="I94" s="11">
        <v>236.9</v>
      </c>
      <c r="J94" s="95"/>
      <c r="K94" s="95"/>
      <c r="L94" s="93"/>
      <c r="M94" s="50"/>
    </row>
    <row r="95" spans="1:13" s="13" customFormat="1" ht="15">
      <c r="A95" s="75" t="s">
        <v>178</v>
      </c>
      <c r="B95" s="12" t="s">
        <v>27</v>
      </c>
      <c r="C95" s="11">
        <v>200</v>
      </c>
      <c r="D95" s="12" t="s">
        <v>27</v>
      </c>
      <c r="E95" s="73">
        <v>127.469</v>
      </c>
      <c r="F95" s="73">
        <v>110.473</v>
      </c>
      <c r="G95" s="104">
        <f t="shared" si="5"/>
        <v>16.995999999999995</v>
      </c>
      <c r="H95" s="73">
        <v>4.29</v>
      </c>
      <c r="I95" s="11">
        <v>172</v>
      </c>
      <c r="J95" s="95"/>
      <c r="K95" s="95"/>
      <c r="L95" s="93"/>
      <c r="M95" s="50"/>
    </row>
    <row r="96" spans="1:13" s="13" customFormat="1" ht="15">
      <c r="A96" s="75" t="s">
        <v>179</v>
      </c>
      <c r="B96" s="12" t="s">
        <v>27</v>
      </c>
      <c r="C96" s="11">
        <v>191</v>
      </c>
      <c r="D96" s="12" t="s">
        <v>27</v>
      </c>
      <c r="E96" s="73">
        <v>124.711</v>
      </c>
      <c r="F96" s="73">
        <v>106.161</v>
      </c>
      <c r="G96" s="104">
        <f t="shared" si="5"/>
        <v>18.549999999999997</v>
      </c>
      <c r="H96" s="73">
        <v>4.063</v>
      </c>
      <c r="I96" s="11">
        <v>164</v>
      </c>
      <c r="J96" s="95"/>
      <c r="K96" s="95"/>
      <c r="L96" s="93"/>
      <c r="M96" s="50"/>
    </row>
    <row r="97" spans="1:13" s="13" customFormat="1" ht="15">
      <c r="A97" s="75" t="s">
        <v>180</v>
      </c>
      <c r="B97" s="12" t="s">
        <v>27</v>
      </c>
      <c r="C97" s="11">
        <v>170</v>
      </c>
      <c r="D97" s="12" t="s">
        <v>27</v>
      </c>
      <c r="E97" s="73">
        <v>119.254</v>
      </c>
      <c r="F97" s="73">
        <v>101.742</v>
      </c>
      <c r="G97" s="104">
        <f t="shared" si="5"/>
        <v>17.512</v>
      </c>
      <c r="H97" s="73">
        <v>4.456</v>
      </c>
      <c r="I97" s="11">
        <v>148</v>
      </c>
      <c r="J97" s="95"/>
      <c r="K97" s="95"/>
      <c r="L97" s="92"/>
      <c r="M97" s="33"/>
    </row>
    <row r="98" spans="1:13" s="13" customFormat="1" ht="15">
      <c r="A98" s="75" t="s">
        <v>181</v>
      </c>
      <c r="B98" s="12" t="s">
        <v>27</v>
      </c>
      <c r="C98" s="11">
        <v>169</v>
      </c>
      <c r="D98" s="12" t="s">
        <v>27</v>
      </c>
      <c r="E98" s="73">
        <v>51.182</v>
      </c>
      <c r="F98" s="73">
        <v>35.243</v>
      </c>
      <c r="G98" s="104">
        <f t="shared" si="5"/>
        <v>15.939</v>
      </c>
      <c r="H98" s="73">
        <v>8.894</v>
      </c>
      <c r="I98" s="11">
        <v>139</v>
      </c>
      <c r="J98" s="95"/>
      <c r="K98" s="95"/>
      <c r="L98" s="92"/>
      <c r="M98" s="33"/>
    </row>
    <row r="99" spans="1:13" s="13" customFormat="1" ht="15">
      <c r="A99" s="75" t="s">
        <v>182</v>
      </c>
      <c r="B99" s="12" t="s">
        <v>27</v>
      </c>
      <c r="C99" s="11">
        <v>133</v>
      </c>
      <c r="D99" s="12" t="s">
        <v>27</v>
      </c>
      <c r="E99" s="73">
        <v>94.111</v>
      </c>
      <c r="F99" s="73">
        <v>75.289</v>
      </c>
      <c r="G99" s="104">
        <f t="shared" si="5"/>
        <v>18.822000000000003</v>
      </c>
      <c r="H99" s="73">
        <v>12.732</v>
      </c>
      <c r="I99" s="11">
        <v>114</v>
      </c>
      <c r="J99" s="95"/>
      <c r="K99" s="95"/>
      <c r="L99" s="92"/>
      <c r="M99" s="33"/>
    </row>
    <row r="100" spans="1:13" s="13" customFormat="1" ht="15">
      <c r="A100" s="75" t="s">
        <v>183</v>
      </c>
      <c r="B100" s="12" t="s">
        <v>27</v>
      </c>
      <c r="C100" s="11">
        <v>110</v>
      </c>
      <c r="D100" s="12" t="s">
        <v>27</v>
      </c>
      <c r="E100" s="73">
        <v>108.099</v>
      </c>
      <c r="F100" s="73">
        <v>90.366</v>
      </c>
      <c r="G100" s="104">
        <f t="shared" si="5"/>
        <v>17.733000000000004</v>
      </c>
      <c r="H100" s="73">
        <v>10.554</v>
      </c>
      <c r="I100" s="11">
        <v>91</v>
      </c>
      <c r="J100" s="95"/>
      <c r="K100" s="95"/>
      <c r="L100" s="92"/>
      <c r="M100" s="33"/>
    </row>
    <row r="101" spans="1:13" s="13" customFormat="1" ht="15">
      <c r="A101" s="75" t="s">
        <v>184</v>
      </c>
      <c r="B101" s="12" t="s">
        <v>27</v>
      </c>
      <c r="C101" s="11">
        <v>94</v>
      </c>
      <c r="D101" s="12" t="s">
        <v>27</v>
      </c>
      <c r="E101" s="73">
        <v>104.533</v>
      </c>
      <c r="F101" s="73">
        <v>85.957</v>
      </c>
      <c r="G101" s="104">
        <f t="shared" si="5"/>
        <v>18.576000000000008</v>
      </c>
      <c r="H101" s="73">
        <v>9.781</v>
      </c>
      <c r="I101" s="11">
        <v>75</v>
      </c>
      <c r="J101" s="95"/>
      <c r="K101" s="95"/>
      <c r="L101" s="92"/>
      <c r="M101" s="33"/>
    </row>
    <row r="102" spans="1:13" s="13" customFormat="1" ht="15">
      <c r="A102" s="75" t="s">
        <v>185</v>
      </c>
      <c r="B102" s="12" t="s">
        <v>27</v>
      </c>
      <c r="C102" s="11">
        <v>86</v>
      </c>
      <c r="D102" s="12" t="s">
        <v>27</v>
      </c>
      <c r="E102" s="73">
        <v>104.066</v>
      </c>
      <c r="F102" s="73">
        <v>83.762</v>
      </c>
      <c r="G102" s="104">
        <f t="shared" si="5"/>
        <v>20.304000000000002</v>
      </c>
      <c r="H102" s="73">
        <v>11.685</v>
      </c>
      <c r="I102" s="11">
        <v>69</v>
      </c>
      <c r="J102" s="95"/>
      <c r="K102" s="95"/>
      <c r="L102" s="92"/>
      <c r="M102" s="33"/>
    </row>
    <row r="103" spans="1:13" s="13" customFormat="1" ht="15">
      <c r="A103" s="75" t="s">
        <v>186</v>
      </c>
      <c r="B103" s="12" t="s">
        <v>27</v>
      </c>
      <c r="C103" s="11">
        <v>73</v>
      </c>
      <c r="D103" s="12" t="s">
        <v>27</v>
      </c>
      <c r="E103" s="73">
        <v>99.82</v>
      </c>
      <c r="F103" s="73">
        <v>79.628</v>
      </c>
      <c r="G103" s="104">
        <f t="shared" si="5"/>
        <v>20.191999999999993</v>
      </c>
      <c r="H103" s="73">
        <v>12.137</v>
      </c>
      <c r="I103" s="11">
        <v>56</v>
      </c>
      <c r="J103" s="95"/>
      <c r="K103" s="95"/>
      <c r="L103" s="92"/>
      <c r="M103" s="33"/>
    </row>
    <row r="104" spans="1:13" s="13" customFormat="1" ht="15">
      <c r="A104" s="75" t="s">
        <v>187</v>
      </c>
      <c r="B104" s="12" t="s">
        <v>27</v>
      </c>
      <c r="C104" s="11">
        <v>65</v>
      </c>
      <c r="D104" s="12" t="s">
        <v>27</v>
      </c>
      <c r="E104" s="73">
        <v>92.762</v>
      </c>
      <c r="F104" s="73">
        <v>72.899</v>
      </c>
      <c r="G104" s="104">
        <f t="shared" si="5"/>
        <v>19.863</v>
      </c>
      <c r="H104" s="73">
        <v>14.783</v>
      </c>
      <c r="I104" s="11">
        <v>49</v>
      </c>
      <c r="J104" s="95"/>
      <c r="K104" s="95"/>
      <c r="L104" s="92"/>
      <c r="M104" s="33"/>
    </row>
    <row r="105" spans="1:13" s="13" customFormat="1" ht="15">
      <c r="A105" s="75" t="s">
        <v>188</v>
      </c>
      <c r="B105" s="12" t="s">
        <v>27</v>
      </c>
      <c r="C105" s="11">
        <v>50</v>
      </c>
      <c r="D105" s="12" t="s">
        <v>27</v>
      </c>
      <c r="E105" s="73">
        <v>94.202</v>
      </c>
      <c r="F105" s="73">
        <v>73.357</v>
      </c>
      <c r="G105" s="104">
        <f t="shared" si="5"/>
        <v>20.845</v>
      </c>
      <c r="H105" s="73">
        <v>19.611</v>
      </c>
      <c r="I105" s="11">
        <v>38</v>
      </c>
      <c r="J105" s="95"/>
      <c r="K105" s="95"/>
      <c r="L105" s="92"/>
      <c r="M105" s="33"/>
    </row>
    <row r="106" spans="1:13" s="13" customFormat="1" ht="15">
      <c r="A106" s="75" t="s">
        <v>189</v>
      </c>
      <c r="B106" s="12" t="s">
        <v>27</v>
      </c>
      <c r="C106" s="11">
        <v>50</v>
      </c>
      <c r="D106" s="12" t="s">
        <v>27</v>
      </c>
      <c r="E106" s="73">
        <v>84.493</v>
      </c>
      <c r="F106" s="73">
        <v>65.8</v>
      </c>
      <c r="G106" s="104">
        <f t="shared" si="5"/>
        <v>18.692999999999998</v>
      </c>
      <c r="H106" s="73">
        <v>20.339</v>
      </c>
      <c r="I106" s="11">
        <v>28</v>
      </c>
      <c r="J106" s="95"/>
      <c r="K106" s="95"/>
      <c r="L106" s="92"/>
      <c r="M106" s="33"/>
    </row>
    <row r="107" spans="1:13" s="13" customFormat="1" ht="15">
      <c r="A107" s="75" t="s">
        <v>190</v>
      </c>
      <c r="B107" s="12" t="s">
        <v>27</v>
      </c>
      <c r="C107" s="11">
        <v>17</v>
      </c>
      <c r="D107" s="12" t="s">
        <v>27</v>
      </c>
      <c r="E107" s="73">
        <v>68.199</v>
      </c>
      <c r="F107" s="73">
        <v>50.457</v>
      </c>
      <c r="G107" s="104">
        <f t="shared" si="5"/>
        <v>17.741999999999997</v>
      </c>
      <c r="H107" s="73">
        <v>18.4</v>
      </c>
      <c r="I107" s="11">
        <v>10</v>
      </c>
      <c r="J107" s="95"/>
      <c r="K107" s="95"/>
      <c r="L107" s="92"/>
      <c r="M107" s="33"/>
    </row>
    <row r="108" spans="1:13" s="13" customFormat="1" ht="15">
      <c r="A108" s="75" t="s">
        <v>191</v>
      </c>
      <c r="B108" s="12" t="s">
        <v>27</v>
      </c>
      <c r="C108" s="11">
        <v>16</v>
      </c>
      <c r="D108" s="12" t="s">
        <v>27</v>
      </c>
      <c r="E108" s="73">
        <v>49.785</v>
      </c>
      <c r="F108" s="73">
        <v>31.854</v>
      </c>
      <c r="G108" s="104">
        <f t="shared" si="5"/>
        <v>17.930999999999997</v>
      </c>
      <c r="H108" s="73">
        <v>15.088</v>
      </c>
      <c r="I108" s="11">
        <v>7</v>
      </c>
      <c r="J108" s="95"/>
      <c r="K108" s="95"/>
      <c r="L108" s="92"/>
      <c r="M108" s="33"/>
    </row>
    <row r="109" spans="1:13" s="13" customFormat="1" ht="15">
      <c r="A109" s="75" t="s">
        <v>205</v>
      </c>
      <c r="B109" s="79">
        <v>32</v>
      </c>
      <c r="C109" s="12" t="s">
        <v>27</v>
      </c>
      <c r="D109" s="12" t="s">
        <v>27</v>
      </c>
      <c r="E109" s="73">
        <v>53.037</v>
      </c>
      <c r="F109" s="73">
        <v>35.15</v>
      </c>
      <c r="G109" s="104">
        <f t="shared" si="5"/>
        <v>17.887</v>
      </c>
      <c r="H109" s="73">
        <v>15.896</v>
      </c>
      <c r="I109" s="11">
        <v>11.657</v>
      </c>
      <c r="J109" s="95"/>
      <c r="K109" s="95"/>
      <c r="L109" s="92"/>
      <c r="M109" s="33"/>
    </row>
    <row r="110" spans="1:13" s="13" customFormat="1" ht="15">
      <c r="A110" s="75" t="s">
        <v>192</v>
      </c>
      <c r="B110" s="79">
        <v>25</v>
      </c>
      <c r="C110" s="12" t="s">
        <v>27</v>
      </c>
      <c r="D110" s="12" t="s">
        <v>27</v>
      </c>
      <c r="E110" s="73">
        <v>50.197</v>
      </c>
      <c r="F110" s="73">
        <v>32.223</v>
      </c>
      <c r="G110" s="104">
        <f t="shared" si="5"/>
        <v>17.974000000000004</v>
      </c>
      <c r="H110" s="73">
        <v>17.799363019</v>
      </c>
      <c r="I110" s="11">
        <v>10.315</v>
      </c>
      <c r="J110" s="95"/>
      <c r="K110" s="95"/>
      <c r="L110" s="92"/>
      <c r="M110" s="33"/>
    </row>
    <row r="111" spans="1:13" s="13" customFormat="1" ht="15">
      <c r="A111" s="75" t="s">
        <v>193</v>
      </c>
      <c r="B111" s="79">
        <v>22</v>
      </c>
      <c r="C111" s="12" t="s">
        <v>27</v>
      </c>
      <c r="D111" s="12" t="s">
        <v>27</v>
      </c>
      <c r="E111" s="73">
        <v>48.495</v>
      </c>
      <c r="F111" s="73">
        <v>30.281</v>
      </c>
      <c r="G111" s="104">
        <f t="shared" si="5"/>
        <v>18.214</v>
      </c>
      <c r="H111" s="73">
        <v>19.757</v>
      </c>
      <c r="I111" s="11">
        <v>13.768</v>
      </c>
      <c r="J111" s="95"/>
      <c r="K111" s="95"/>
      <c r="L111" s="92"/>
      <c r="M111" s="33"/>
    </row>
    <row r="112" spans="1:13" s="13" customFormat="1" ht="15">
      <c r="A112" s="75" t="s">
        <v>194</v>
      </c>
      <c r="B112" s="79">
        <v>21</v>
      </c>
      <c r="C112" s="12" t="s">
        <v>27</v>
      </c>
      <c r="D112" s="12" t="s">
        <v>27</v>
      </c>
      <c r="E112" s="73">
        <v>41.177</v>
      </c>
      <c r="F112" s="73">
        <v>25.731</v>
      </c>
      <c r="G112" s="104">
        <f t="shared" si="5"/>
        <v>15.445999999999998</v>
      </c>
      <c r="H112" s="73">
        <v>21.244</v>
      </c>
      <c r="I112" s="11">
        <v>11.113</v>
      </c>
      <c r="J112" s="95"/>
      <c r="K112" s="95"/>
      <c r="L112" s="92"/>
      <c r="M112" s="33"/>
    </row>
    <row r="113" spans="1:13" s="13" customFormat="1" ht="15">
      <c r="A113" s="75" t="s">
        <v>195</v>
      </c>
      <c r="B113" s="79">
        <v>20</v>
      </c>
      <c r="C113" s="12" t="s">
        <v>27</v>
      </c>
      <c r="D113" s="12" t="s">
        <v>27</v>
      </c>
      <c r="E113" s="73">
        <v>37.077</v>
      </c>
      <c r="F113" s="73">
        <v>20.888</v>
      </c>
      <c r="G113" s="104">
        <f t="shared" si="5"/>
        <v>16.188999999999997</v>
      </c>
      <c r="H113" s="73">
        <v>20.293</v>
      </c>
      <c r="I113" s="11">
        <v>11.973</v>
      </c>
      <c r="J113" s="95"/>
      <c r="K113" s="95"/>
      <c r="L113" s="92"/>
      <c r="M113" s="33"/>
    </row>
    <row r="114" spans="1:13" s="13" customFormat="1" ht="15">
      <c r="A114" s="75" t="s">
        <v>196</v>
      </c>
      <c r="B114" s="79">
        <v>33</v>
      </c>
      <c r="C114" s="12" t="s">
        <v>27</v>
      </c>
      <c r="D114" s="12">
        <v>45</v>
      </c>
      <c r="E114" s="73">
        <v>31.197582666666666</v>
      </c>
      <c r="F114" s="73">
        <v>17.187526666666663</v>
      </c>
      <c r="G114" s="104">
        <f t="shared" si="5"/>
        <v>14.010056000000002</v>
      </c>
      <c r="H114" s="73">
        <v>23.445900672999997</v>
      </c>
      <c r="I114" s="11">
        <v>10.939</v>
      </c>
      <c r="J114" s="95"/>
      <c r="K114" s="95"/>
      <c r="L114" s="92"/>
      <c r="M114" s="33"/>
    </row>
    <row r="115" spans="1:13" s="13" customFormat="1" ht="15">
      <c r="A115" s="75" t="s">
        <v>197</v>
      </c>
      <c r="B115" s="79">
        <v>29</v>
      </c>
      <c r="C115" s="12" t="s">
        <v>27</v>
      </c>
      <c r="D115" s="12">
        <v>56</v>
      </c>
      <c r="E115" s="73">
        <v>31.929856</v>
      </c>
      <c r="F115" s="73">
        <v>17.346712</v>
      </c>
      <c r="G115" s="104">
        <f t="shared" si="5"/>
        <v>14.583144</v>
      </c>
      <c r="H115" s="73">
        <v>35.542182625</v>
      </c>
      <c r="I115" s="11">
        <v>11.439</v>
      </c>
      <c r="J115" s="95"/>
      <c r="K115" s="95"/>
      <c r="L115" s="92"/>
      <c r="M115" s="33"/>
    </row>
    <row r="116" spans="1:13" s="13" customFormat="1" ht="15">
      <c r="A116" s="75" t="s">
        <v>198</v>
      </c>
      <c r="B116" s="79">
        <v>24</v>
      </c>
      <c r="C116" s="12" t="s">
        <v>27</v>
      </c>
      <c r="D116" s="12">
        <v>46</v>
      </c>
      <c r="E116" s="73">
        <v>29.989154999999997</v>
      </c>
      <c r="F116" s="73">
        <v>16.39137</v>
      </c>
      <c r="G116" s="104">
        <f t="shared" si="5"/>
        <v>13.597784999999998</v>
      </c>
      <c r="H116" s="73">
        <v>28.686214821</v>
      </c>
      <c r="I116" s="11">
        <v>9.578</v>
      </c>
      <c r="J116" s="95"/>
      <c r="K116" s="95"/>
      <c r="L116" s="92"/>
      <c r="M116" s="33"/>
    </row>
    <row r="117" spans="1:13" s="13" customFormat="1" ht="15">
      <c r="A117" s="75" t="s">
        <v>199</v>
      </c>
      <c r="B117" s="79">
        <v>20</v>
      </c>
      <c r="C117" s="12" t="s">
        <v>27</v>
      </c>
      <c r="D117" s="12">
        <v>35</v>
      </c>
      <c r="E117" s="73">
        <v>28.279</v>
      </c>
      <c r="F117" s="73">
        <v>15.633</v>
      </c>
      <c r="G117" s="104">
        <f t="shared" si="5"/>
        <v>12.646</v>
      </c>
      <c r="H117" s="73">
        <v>31.891144164</v>
      </c>
      <c r="I117" s="11">
        <v>8.25</v>
      </c>
      <c r="J117" s="95"/>
      <c r="K117" s="95"/>
      <c r="L117" s="92"/>
      <c r="M117" s="33"/>
    </row>
    <row r="118" spans="1:13" s="13" customFormat="1" ht="15">
      <c r="A118" s="75" t="s">
        <v>200</v>
      </c>
      <c r="B118" s="79">
        <v>18</v>
      </c>
      <c r="C118" s="12" t="s">
        <v>27</v>
      </c>
      <c r="D118" s="12">
        <v>41</v>
      </c>
      <c r="E118" s="73">
        <v>25.09605700000001</v>
      </c>
      <c r="F118" s="73">
        <v>12.542343000000002</v>
      </c>
      <c r="G118" s="104">
        <f t="shared" si="5"/>
        <v>12.553714000000006</v>
      </c>
      <c r="H118" s="73">
        <v>36.152810565</v>
      </c>
      <c r="I118" s="11">
        <v>7.772</v>
      </c>
      <c r="J118" s="95"/>
      <c r="K118" s="95"/>
      <c r="L118" s="92"/>
      <c r="M118" s="33"/>
    </row>
    <row r="119" spans="1:13" s="13" customFormat="1" ht="15">
      <c r="A119" s="75" t="s">
        <v>201</v>
      </c>
      <c r="B119" s="79">
        <v>17</v>
      </c>
      <c r="C119" s="12" t="s">
        <v>27</v>
      </c>
      <c r="D119" s="12">
        <v>35</v>
      </c>
      <c r="E119" s="73">
        <v>20.498292999999997</v>
      </c>
      <c r="F119" s="73">
        <v>9.563436999999999</v>
      </c>
      <c r="G119" s="104">
        <f t="shared" si="5"/>
        <v>10.934855999999998</v>
      </c>
      <c r="H119" s="73">
        <v>43.968490294</v>
      </c>
      <c r="I119" s="11">
        <v>6.054</v>
      </c>
      <c r="J119" s="95"/>
      <c r="K119" s="95"/>
      <c r="L119" s="92"/>
      <c r="M119" s="33"/>
    </row>
    <row r="120" spans="1:13" s="13" customFormat="1" ht="15">
      <c r="A120" s="75" t="s">
        <v>202</v>
      </c>
      <c r="B120" s="79">
        <v>19</v>
      </c>
      <c r="C120" s="12" t="s">
        <v>27</v>
      </c>
      <c r="D120" s="12">
        <v>28</v>
      </c>
      <c r="E120" s="73">
        <v>18.517162</v>
      </c>
      <c r="F120" s="73">
        <v>9.444401000000001</v>
      </c>
      <c r="G120" s="104">
        <f t="shared" si="5"/>
        <v>9.072760999999998</v>
      </c>
      <c r="H120" s="73">
        <v>50.52806891</v>
      </c>
      <c r="I120" s="11">
        <v>5.431</v>
      </c>
      <c r="J120" s="95"/>
      <c r="K120" s="95"/>
      <c r="L120" s="92"/>
      <c r="M120" s="33"/>
    </row>
    <row r="121" spans="1:13" s="13" customFormat="1" ht="15">
      <c r="A121" s="75" t="s">
        <v>203</v>
      </c>
      <c r="B121" s="79">
        <v>13</v>
      </c>
      <c r="C121" s="12" t="s">
        <v>27</v>
      </c>
      <c r="D121" s="12">
        <v>29</v>
      </c>
      <c r="E121" s="73">
        <v>17.007227000000004</v>
      </c>
      <c r="F121" s="73">
        <v>7.673882000000002</v>
      </c>
      <c r="G121" s="104">
        <f t="shared" si="5"/>
        <v>9.333345000000001</v>
      </c>
      <c r="H121" s="73">
        <v>43.36412035699999</v>
      </c>
      <c r="I121" s="11">
        <v>5.538</v>
      </c>
      <c r="J121" s="95"/>
      <c r="K121" s="95"/>
      <c r="L121" s="92"/>
      <c r="M121" s="33"/>
    </row>
    <row r="122" spans="1:13" s="13" customFormat="1" ht="15">
      <c r="A122" s="75" t="s">
        <v>204</v>
      </c>
      <c r="B122" s="11">
        <v>13</v>
      </c>
      <c r="C122" s="12" t="s">
        <v>27</v>
      </c>
      <c r="D122" s="12">
        <v>33</v>
      </c>
      <c r="E122" s="73">
        <v>18.05324257142857</v>
      </c>
      <c r="F122" s="73">
        <v>8.095680142857143</v>
      </c>
      <c r="G122" s="104">
        <f t="shared" si="5"/>
        <v>9.957562428571427</v>
      </c>
      <c r="H122" s="73">
        <v>43.875315509</v>
      </c>
      <c r="I122" s="73">
        <v>6.157</v>
      </c>
      <c r="J122" s="95"/>
      <c r="K122" s="95"/>
      <c r="L122" s="92"/>
      <c r="M122" s="33"/>
    </row>
    <row r="123" spans="1:13" s="13" customFormat="1" ht="15">
      <c r="A123" s="75" t="s">
        <v>337</v>
      </c>
      <c r="B123" s="11">
        <v>13</v>
      </c>
      <c r="C123" s="12" t="s">
        <v>27</v>
      </c>
      <c r="D123" s="12">
        <v>26</v>
      </c>
      <c r="E123" s="73">
        <v>17.87363382092287</v>
      </c>
      <c r="F123" s="73">
        <v>7.519695779953905</v>
      </c>
      <c r="G123" s="104">
        <f>E123-F123</f>
        <v>10.353938040968965</v>
      </c>
      <c r="H123" s="73">
        <v>38.166842009285716</v>
      </c>
      <c r="I123" s="73">
        <v>5.912</v>
      </c>
      <c r="J123" s="95"/>
      <c r="K123" s="95"/>
      <c r="L123" s="92"/>
      <c r="M123" s="33"/>
    </row>
    <row r="124" spans="1:13" s="13" customFormat="1" ht="15">
      <c r="A124" s="75" t="s">
        <v>346</v>
      </c>
      <c r="B124" s="11">
        <v>10</v>
      </c>
      <c r="C124" s="12" t="s">
        <v>27</v>
      </c>
      <c r="D124" s="12">
        <v>28</v>
      </c>
      <c r="E124" s="73">
        <v>18.346630369367602</v>
      </c>
      <c r="F124" s="73">
        <v>7.390448360105515</v>
      </c>
      <c r="G124" s="104">
        <f t="shared" si="5"/>
        <v>10.956182009262086</v>
      </c>
      <c r="H124" s="73">
        <v>26.54073566942857</v>
      </c>
      <c r="I124" s="73">
        <v>6.014</v>
      </c>
      <c r="J124" s="95"/>
      <c r="K124" s="95"/>
      <c r="L124" s="92"/>
      <c r="M124" s="33"/>
    </row>
    <row r="125" spans="1:13" s="13" customFormat="1" ht="12.75">
      <c r="A125" s="75" t="s">
        <v>351</v>
      </c>
      <c r="B125" s="11">
        <v>12</v>
      </c>
      <c r="C125" s="12" t="s">
        <v>27</v>
      </c>
      <c r="D125" s="12">
        <v>31</v>
      </c>
      <c r="E125" s="73">
        <v>18.55197821065712</v>
      </c>
      <c r="F125" s="73">
        <v>7.312222750337602</v>
      </c>
      <c r="G125" s="104">
        <f t="shared" si="5"/>
        <v>11.239755460319516</v>
      </c>
      <c r="H125" s="73">
        <v>32.527389433857145</v>
      </c>
      <c r="I125" s="73">
        <v>5.972</v>
      </c>
      <c r="J125" s="102"/>
      <c r="K125" s="102"/>
      <c r="L125" s="92"/>
      <c r="M125" s="33"/>
    </row>
    <row r="126" spans="1:13" s="13" customFormat="1" ht="12.75">
      <c r="A126" s="75" t="s">
        <v>354</v>
      </c>
      <c r="B126" s="11">
        <v>10</v>
      </c>
      <c r="C126" s="12" t="s">
        <v>27</v>
      </c>
      <c r="D126" s="12">
        <v>34</v>
      </c>
      <c r="E126" s="73">
        <v>16.96666706047249</v>
      </c>
      <c r="F126" s="73">
        <v>6.153107466119766</v>
      </c>
      <c r="G126" s="104">
        <f t="shared" si="5"/>
        <v>10.813559594352721</v>
      </c>
      <c r="H126" s="73">
        <v>44.815163843875425</v>
      </c>
      <c r="I126" s="73">
        <v>5.827</v>
      </c>
      <c r="J126" s="102"/>
      <c r="K126" s="102"/>
      <c r="L126" s="92"/>
      <c r="M126" s="33"/>
    </row>
    <row r="127" spans="1:13" s="13" customFormat="1" ht="12.75">
      <c r="A127" s="75" t="s">
        <v>358</v>
      </c>
      <c r="B127" s="113">
        <v>9</v>
      </c>
      <c r="C127" s="59" t="s">
        <v>27</v>
      </c>
      <c r="D127" s="59">
        <v>21</v>
      </c>
      <c r="E127" s="104">
        <v>12.767445612964803</v>
      </c>
      <c r="F127" s="104">
        <v>4.088723620059967</v>
      </c>
      <c r="G127" s="104">
        <f>E127-F127</f>
        <v>8.678721992904837</v>
      </c>
      <c r="H127" s="104">
        <v>50.61116195950519</v>
      </c>
      <c r="I127" s="104">
        <v>3.715</v>
      </c>
      <c r="J127" s="95"/>
      <c r="K127" s="102"/>
      <c r="L127" s="92"/>
      <c r="M127" s="33"/>
    </row>
    <row r="128" spans="1:13" s="13" customFormat="1" ht="12.75">
      <c r="A128" s="75" t="s">
        <v>379</v>
      </c>
      <c r="B128" s="113">
        <v>10</v>
      </c>
      <c r="C128" s="59" t="s">
        <v>27</v>
      </c>
      <c r="D128" s="59">
        <v>22</v>
      </c>
      <c r="E128" s="104">
        <v>11.647611787657134</v>
      </c>
      <c r="F128" s="104">
        <v>3.6851135499858856</v>
      </c>
      <c r="G128" s="104">
        <f t="shared" si="5"/>
        <v>7.962498237671248</v>
      </c>
      <c r="H128" s="104">
        <v>42.224994747</v>
      </c>
      <c r="I128" s="104">
        <v>3.601</v>
      </c>
      <c r="J128" s="95"/>
      <c r="K128" s="102"/>
      <c r="L128" s="92"/>
      <c r="M128" s="33"/>
    </row>
    <row r="129" spans="1:13" s="13" customFormat="1" ht="12.75">
      <c r="A129" s="75" t="s">
        <v>382</v>
      </c>
      <c r="B129" s="113">
        <v>5</v>
      </c>
      <c r="C129" s="59" t="s">
        <v>27</v>
      </c>
      <c r="D129" s="59">
        <v>17</v>
      </c>
      <c r="E129" s="104">
        <v>8.598017523225451</v>
      </c>
      <c r="F129" s="104">
        <v>2.783726609991074</v>
      </c>
      <c r="G129" s="104">
        <f t="shared" si="5"/>
        <v>5.814290913234377</v>
      </c>
      <c r="H129" s="104">
        <v>22.51807222214286</v>
      </c>
      <c r="I129" s="104">
        <v>1.975</v>
      </c>
      <c r="J129" s="102"/>
      <c r="K129" s="102"/>
      <c r="L129" s="92"/>
      <c r="M129" s="33"/>
    </row>
    <row r="130" spans="1:13" s="13" customFormat="1" ht="12.75">
      <c r="A130" s="75">
        <v>2016</v>
      </c>
      <c r="B130" s="113">
        <v>5</v>
      </c>
      <c r="C130" s="59" t="s">
        <v>27</v>
      </c>
      <c r="D130" s="59">
        <v>17</v>
      </c>
      <c r="E130" s="104">
        <v>4.177796429720879</v>
      </c>
      <c r="F130" s="104">
        <v>0.02178141000080109</v>
      </c>
      <c r="G130" s="104">
        <v>4.156015019720078</v>
      </c>
      <c r="H130" s="104">
        <v>8.913717769714287</v>
      </c>
      <c r="I130" s="104">
        <v>0.831</v>
      </c>
      <c r="J130" s="102"/>
      <c r="K130" s="102"/>
      <c r="L130" s="92"/>
      <c r="M130" s="33"/>
    </row>
    <row r="131" spans="1:13" s="13" customFormat="1" ht="12.75">
      <c r="A131" s="75" t="s">
        <v>410</v>
      </c>
      <c r="B131" s="113">
        <v>3</v>
      </c>
      <c r="C131" s="59" t="s">
        <v>27</v>
      </c>
      <c r="D131" s="59">
        <v>17</v>
      </c>
      <c r="E131" s="104">
        <v>3.0410644856719973</v>
      </c>
      <c r="F131" s="104">
        <v>0.020075579994201658</v>
      </c>
      <c r="G131" s="104">
        <v>3.0209889056777954</v>
      </c>
      <c r="H131" s="104">
        <v>8.497918279285713</v>
      </c>
      <c r="I131" s="104">
        <v>0.62</v>
      </c>
      <c r="J131" s="102"/>
      <c r="K131" s="102"/>
      <c r="L131" s="92"/>
      <c r="M131" s="33"/>
    </row>
    <row r="132" spans="1:13" s="13" customFormat="1" ht="12.75">
      <c r="A132" s="75" t="s">
        <v>413</v>
      </c>
      <c r="B132" s="113">
        <v>5</v>
      </c>
      <c r="C132" s="59" t="s">
        <v>27</v>
      </c>
      <c r="D132" s="59">
        <v>9</v>
      </c>
      <c r="E132" s="104">
        <v>2.782330016064644</v>
      </c>
      <c r="F132" s="104">
        <v>0.02</v>
      </c>
      <c r="G132" s="104">
        <v>2.76</v>
      </c>
      <c r="H132" s="104">
        <v>10.08</v>
      </c>
      <c r="I132" s="104">
        <v>0.64</v>
      </c>
      <c r="J132" s="102"/>
      <c r="K132" s="102"/>
      <c r="L132" s="92"/>
      <c r="M132" s="33"/>
    </row>
    <row r="133" spans="1:13" s="13" customFormat="1" ht="12.75">
      <c r="A133" s="75" t="s">
        <v>416</v>
      </c>
      <c r="B133" s="113">
        <v>4</v>
      </c>
      <c r="C133" s="59" t="s">
        <v>27</v>
      </c>
      <c r="D133" s="59">
        <v>9</v>
      </c>
      <c r="E133" s="104">
        <v>2.5914</v>
      </c>
      <c r="F133" s="104">
        <v>0.1</v>
      </c>
      <c r="G133" s="104">
        <v>2.49</v>
      </c>
      <c r="H133" s="104">
        <v>6.23</v>
      </c>
      <c r="I133" s="104">
        <v>0.83</v>
      </c>
      <c r="J133" s="102"/>
      <c r="K133" s="102"/>
      <c r="L133" s="92"/>
      <c r="M133" s="33"/>
    </row>
    <row r="134" spans="1:13" s="13" customFormat="1" ht="12.75">
      <c r="A134" s="75" t="s">
        <v>420</v>
      </c>
      <c r="B134" s="113">
        <v>3</v>
      </c>
      <c r="C134" s="59" t="s">
        <v>27</v>
      </c>
      <c r="D134" s="59">
        <v>3</v>
      </c>
      <c r="E134" s="104">
        <v>1.67329</v>
      </c>
      <c r="F134" s="104">
        <v>0.11</v>
      </c>
      <c r="G134" s="104">
        <v>1.57</v>
      </c>
      <c r="H134" s="104">
        <v>4.53</v>
      </c>
      <c r="I134" s="104">
        <v>0.64</v>
      </c>
      <c r="J134" s="102"/>
      <c r="K134" s="102"/>
      <c r="L134" s="92"/>
      <c r="M134" s="33"/>
    </row>
    <row r="135" spans="1:13" s="13" customFormat="1" ht="12.75">
      <c r="A135" s="75" t="s">
        <v>423</v>
      </c>
      <c r="B135" s="113">
        <v>4</v>
      </c>
      <c r="C135" s="59" t="s">
        <v>27</v>
      </c>
      <c r="D135" s="59">
        <v>3</v>
      </c>
      <c r="E135" s="104">
        <v>1.05382</v>
      </c>
      <c r="F135" s="104">
        <v>0.09</v>
      </c>
      <c r="G135" s="104">
        <v>0.96</v>
      </c>
      <c r="H135" s="104">
        <v>4.61</v>
      </c>
      <c r="I135" s="104">
        <v>0.48</v>
      </c>
      <c r="J135" s="102"/>
      <c r="K135" s="102"/>
      <c r="L135" s="92"/>
      <c r="M135" s="33"/>
    </row>
    <row r="136" spans="1:13" s="13" customFormat="1" ht="12.75">
      <c r="A136" s="75" t="s">
        <v>429</v>
      </c>
      <c r="B136" s="113">
        <v>6</v>
      </c>
      <c r="C136" s="59" t="s">
        <v>27</v>
      </c>
      <c r="D136" s="59">
        <v>2</v>
      </c>
      <c r="E136" s="104">
        <v>0.6509400000000001</v>
      </c>
      <c r="F136" s="104">
        <v>0.06</v>
      </c>
      <c r="G136" s="104">
        <v>0.59</v>
      </c>
      <c r="H136" s="104">
        <v>6.36</v>
      </c>
      <c r="I136" s="104">
        <v>0.36</v>
      </c>
      <c r="J136" s="102"/>
      <c r="K136" s="102"/>
      <c r="L136" s="92"/>
      <c r="M136" s="33"/>
    </row>
    <row r="137" spans="1:13" s="13" customFormat="1" ht="18" customHeight="1" hidden="1">
      <c r="A137" s="1"/>
      <c r="B137" s="108">
        <v>2.7</v>
      </c>
      <c r="C137" s="5"/>
      <c r="D137" s="108">
        <v>2.7</v>
      </c>
      <c r="E137" s="106" t="s">
        <v>363</v>
      </c>
      <c r="F137" s="106" t="s">
        <v>363</v>
      </c>
      <c r="G137" s="145" t="s">
        <v>419</v>
      </c>
      <c r="H137" s="106" t="s">
        <v>363</v>
      </c>
      <c r="I137" s="109" t="s">
        <v>369</v>
      </c>
      <c r="J137" s="7"/>
      <c r="K137" s="90"/>
      <c r="L137" s="92"/>
      <c r="M137" s="33"/>
    </row>
    <row r="139" spans="1:13" s="13" customFormat="1" ht="12.75">
      <c r="A139" s="81" t="s">
        <v>53</v>
      </c>
      <c r="B139" s="21"/>
      <c r="C139" s="48"/>
      <c r="D139" s="48"/>
      <c r="E139" s="48"/>
      <c r="F139" s="47"/>
      <c r="G139" s="47"/>
      <c r="H139" s="47"/>
      <c r="I139" s="6"/>
      <c r="J139" s="7"/>
      <c r="K139" s="90"/>
      <c r="L139" s="92"/>
      <c r="M139" s="33"/>
    </row>
    <row r="140" spans="1:13" s="84" customFormat="1" ht="15">
      <c r="A140" s="133" t="s">
        <v>388</v>
      </c>
      <c r="B140" s="21"/>
      <c r="C140" s="48"/>
      <c r="D140" s="48"/>
      <c r="E140" s="48"/>
      <c r="F140" s="47"/>
      <c r="G140" s="47"/>
      <c r="H140" s="47"/>
      <c r="I140" s="6"/>
      <c r="J140" s="18"/>
      <c r="K140" s="134"/>
      <c r="L140" s="93"/>
      <c r="M140" s="50"/>
    </row>
    <row r="141" spans="1:13" s="84" customFormat="1" ht="15">
      <c r="A141" s="135" t="s">
        <v>389</v>
      </c>
      <c r="B141" s="21"/>
      <c r="C141" s="48"/>
      <c r="D141" s="48"/>
      <c r="E141" s="48"/>
      <c r="F141" s="47"/>
      <c r="G141" s="47"/>
      <c r="H141" s="47"/>
      <c r="I141" s="6"/>
      <c r="J141" s="18"/>
      <c r="K141" s="134"/>
      <c r="L141" s="93"/>
      <c r="M141" s="50"/>
    </row>
    <row r="142" spans="1:13" s="84" customFormat="1" ht="14.25">
      <c r="A142" s="136" t="s">
        <v>390</v>
      </c>
      <c r="B142" s="21"/>
      <c r="C142" s="48"/>
      <c r="D142" s="48"/>
      <c r="E142" s="48"/>
      <c r="F142" s="47"/>
      <c r="G142" s="47"/>
      <c r="H142" s="47"/>
      <c r="I142" s="6"/>
      <c r="J142" s="144"/>
      <c r="K142" s="144"/>
      <c r="L142" s="144"/>
      <c r="M142" s="50"/>
    </row>
    <row r="143" spans="1:13" s="84" customFormat="1" ht="14.25">
      <c r="A143" s="136" t="s">
        <v>391</v>
      </c>
      <c r="B143" s="21"/>
      <c r="C143" s="48"/>
      <c r="D143" s="48"/>
      <c r="E143" s="48"/>
      <c r="F143" s="47"/>
      <c r="G143" s="47"/>
      <c r="H143" s="47"/>
      <c r="I143" s="6"/>
      <c r="J143" s="144"/>
      <c r="K143" s="144"/>
      <c r="L143" s="144"/>
      <c r="M143" s="50"/>
    </row>
    <row r="144" spans="1:13" s="84" customFormat="1" ht="15">
      <c r="A144" s="137" t="s">
        <v>392</v>
      </c>
      <c r="B144" s="21"/>
      <c r="C144" s="48"/>
      <c r="D144" s="48"/>
      <c r="E144" s="48"/>
      <c r="F144" s="47"/>
      <c r="G144" s="47"/>
      <c r="H144" s="47"/>
      <c r="I144" s="47"/>
      <c r="J144" s="144"/>
      <c r="K144" s="144"/>
      <c r="L144" s="144"/>
      <c r="M144" s="50"/>
    </row>
    <row r="145" spans="1:13" s="84" customFormat="1" ht="14.25">
      <c r="A145" s="135" t="s">
        <v>393</v>
      </c>
      <c r="B145" s="21"/>
      <c r="C145" s="48"/>
      <c r="D145" s="48"/>
      <c r="E145" s="48"/>
      <c r="F145" s="48"/>
      <c r="G145" s="48"/>
      <c r="H145" s="47"/>
      <c r="I145" s="47"/>
      <c r="J145" s="144"/>
      <c r="K145" s="144"/>
      <c r="L145" s="144"/>
      <c r="M145" s="50"/>
    </row>
    <row r="146" spans="1:13" s="84" customFormat="1" ht="14.25">
      <c r="A146" s="135" t="s">
        <v>394</v>
      </c>
      <c r="B146" s="21"/>
      <c r="C146" s="48"/>
      <c r="D146" s="48"/>
      <c r="E146" s="48"/>
      <c r="F146" s="48"/>
      <c r="G146" s="48"/>
      <c r="H146" s="47"/>
      <c r="I146" s="47"/>
      <c r="J146" s="18"/>
      <c r="K146" s="144"/>
      <c r="L146" s="93"/>
      <c r="M146" s="50"/>
    </row>
    <row r="147" spans="1:13" s="84" customFormat="1" ht="14.25">
      <c r="A147" s="135" t="s">
        <v>395</v>
      </c>
      <c r="B147" s="21"/>
      <c r="C147" s="48"/>
      <c r="D147" s="48"/>
      <c r="E147" s="48"/>
      <c r="F147" s="48"/>
      <c r="G147" s="48"/>
      <c r="H147" s="47"/>
      <c r="I147" s="47"/>
      <c r="J147" s="18"/>
      <c r="K147" s="134"/>
      <c r="L147" s="93"/>
      <c r="M147" s="50"/>
    </row>
    <row r="148" spans="1:13" s="84" customFormat="1" ht="15">
      <c r="A148" s="137" t="s">
        <v>396</v>
      </c>
      <c r="B148" s="21"/>
      <c r="C148" s="48"/>
      <c r="D148" s="48"/>
      <c r="E148" s="48"/>
      <c r="F148" s="47"/>
      <c r="G148" s="47"/>
      <c r="H148" s="47"/>
      <c r="I148" s="47"/>
      <c r="J148" s="18"/>
      <c r="K148" s="134"/>
      <c r="L148" s="93"/>
      <c r="M148" s="50"/>
    </row>
    <row r="149" spans="1:13" s="84" customFormat="1" ht="14.25">
      <c r="A149" s="135" t="s">
        <v>397</v>
      </c>
      <c r="B149" s="21"/>
      <c r="C149" s="48"/>
      <c r="D149" s="48"/>
      <c r="E149" s="48"/>
      <c r="F149" s="47"/>
      <c r="G149" s="47"/>
      <c r="H149" s="47"/>
      <c r="I149" s="47"/>
      <c r="J149" s="18"/>
      <c r="K149" s="134"/>
      <c r="L149" s="93"/>
      <c r="M149" s="50"/>
    </row>
    <row r="150" spans="1:13" s="13" customFormat="1" ht="12">
      <c r="A150" s="27"/>
      <c r="B150" s="21"/>
      <c r="C150" s="21"/>
      <c r="D150" s="21"/>
      <c r="E150" s="21"/>
      <c r="F150" s="47"/>
      <c r="G150" s="47"/>
      <c r="H150" s="47"/>
      <c r="I150" s="47"/>
      <c r="J150" s="7"/>
      <c r="K150" s="90"/>
      <c r="L150" s="92"/>
      <c r="M150" s="33"/>
    </row>
    <row r="151" spans="3:5" ht="12">
      <c r="C151" s="5"/>
      <c r="D151" s="5"/>
      <c r="E151" s="5"/>
    </row>
    <row r="152" ht="12">
      <c r="G152" s="47"/>
    </row>
    <row r="153" spans="3:7" ht="12">
      <c r="C153" s="5"/>
      <c r="D153" s="5"/>
      <c r="E153" s="5"/>
      <c r="G153" s="47"/>
    </row>
    <row r="154" spans="1:13" s="50" customFormat="1" ht="12">
      <c r="A154" s="59"/>
      <c r="B154" s="21"/>
      <c r="C154" s="48"/>
      <c r="D154" s="48"/>
      <c r="E154" s="48"/>
      <c r="F154" s="47"/>
      <c r="G154" s="47"/>
      <c r="H154" s="47"/>
      <c r="I154" s="47"/>
      <c r="J154" s="7"/>
      <c r="K154" s="90"/>
      <c r="L154" s="92"/>
      <c r="M154" s="33"/>
    </row>
    <row r="155" spans="1:13" s="50" customFormat="1" ht="12">
      <c r="A155" s="59"/>
      <c r="B155" s="21"/>
      <c r="C155" s="48"/>
      <c r="D155" s="48"/>
      <c r="E155" s="48"/>
      <c r="F155" s="47"/>
      <c r="G155" s="47"/>
      <c r="H155" s="47"/>
      <c r="I155" s="47"/>
      <c r="J155" s="7"/>
      <c r="K155" s="90"/>
      <c r="L155" s="92"/>
      <c r="M155" s="33"/>
    </row>
    <row r="156" spans="1:13" s="50" customFormat="1" ht="12">
      <c r="A156" s="59"/>
      <c r="B156" s="21"/>
      <c r="C156" s="48"/>
      <c r="D156" s="48"/>
      <c r="E156" s="48"/>
      <c r="F156" s="47"/>
      <c r="G156" s="47"/>
      <c r="H156" s="47"/>
      <c r="I156" s="47"/>
      <c r="J156" s="7"/>
      <c r="K156" s="90"/>
      <c r="L156" s="92"/>
      <c r="M156" s="33"/>
    </row>
    <row r="157" spans="1:13" s="50" customFormat="1" ht="12">
      <c r="A157" s="59"/>
      <c r="B157" s="21"/>
      <c r="C157" s="48"/>
      <c r="D157" s="48"/>
      <c r="E157" s="48"/>
      <c r="F157" s="47"/>
      <c r="G157" s="47"/>
      <c r="H157" s="47"/>
      <c r="I157" s="47"/>
      <c r="J157" s="7"/>
      <c r="K157" s="90"/>
      <c r="L157" s="92"/>
      <c r="M157" s="33"/>
    </row>
    <row r="158" spans="1:13" s="50" customFormat="1" ht="12">
      <c r="A158" s="59"/>
      <c r="B158" s="21"/>
      <c r="C158" s="48"/>
      <c r="D158" s="48"/>
      <c r="E158" s="48"/>
      <c r="F158" s="47"/>
      <c r="G158" s="47"/>
      <c r="H158" s="47"/>
      <c r="I158" s="47"/>
      <c r="J158" s="7"/>
      <c r="K158" s="90"/>
      <c r="L158" s="92"/>
      <c r="M158" s="33"/>
    </row>
    <row r="159" spans="1:13" s="50" customFormat="1" ht="12">
      <c r="A159" s="59"/>
      <c r="B159" s="21"/>
      <c r="C159" s="48"/>
      <c r="D159" s="48"/>
      <c r="E159" s="48"/>
      <c r="F159" s="47"/>
      <c r="G159" s="47"/>
      <c r="H159" s="47"/>
      <c r="I159" s="47"/>
      <c r="J159" s="7"/>
      <c r="K159" s="90"/>
      <c r="L159" s="92"/>
      <c r="M159" s="33"/>
    </row>
    <row r="160" spans="1:13" s="50" customFormat="1" ht="12">
      <c r="A160" s="59"/>
      <c r="B160" s="21"/>
      <c r="C160" s="48"/>
      <c r="D160" s="48"/>
      <c r="E160" s="48"/>
      <c r="F160" s="47"/>
      <c r="G160" s="47"/>
      <c r="H160" s="47"/>
      <c r="I160" s="47"/>
      <c r="J160" s="7"/>
      <c r="K160" s="90"/>
      <c r="L160" s="92"/>
      <c r="M160" s="33"/>
    </row>
    <row r="161" spans="1:13" s="50" customFormat="1" ht="12">
      <c r="A161" s="59"/>
      <c r="B161" s="21"/>
      <c r="C161" s="48"/>
      <c r="D161" s="48"/>
      <c r="E161" s="48"/>
      <c r="F161" s="51"/>
      <c r="G161" s="51"/>
      <c r="H161" s="51"/>
      <c r="I161" s="47"/>
      <c r="J161" s="7"/>
      <c r="K161" s="90"/>
      <c r="L161" s="92"/>
      <c r="M161" s="33"/>
    </row>
    <row r="162" spans="1:13" s="50" customFormat="1" ht="12">
      <c r="A162" s="59"/>
      <c r="B162" s="21"/>
      <c r="C162" s="48"/>
      <c r="D162" s="48"/>
      <c r="E162" s="48"/>
      <c r="F162" s="51"/>
      <c r="G162" s="51"/>
      <c r="H162" s="51"/>
      <c r="I162" s="47"/>
      <c r="J162" s="7"/>
      <c r="K162" s="90"/>
      <c r="L162" s="92"/>
      <c r="M162" s="33"/>
    </row>
    <row r="163" spans="1:13" s="50" customFormat="1" ht="12">
      <c r="A163" s="59"/>
      <c r="B163" s="21"/>
      <c r="C163" s="48"/>
      <c r="D163" s="48"/>
      <c r="E163" s="48"/>
      <c r="F163" s="47"/>
      <c r="G163" s="51"/>
      <c r="H163" s="47"/>
      <c r="I163" s="47"/>
      <c r="J163" s="7"/>
      <c r="K163" s="90"/>
      <c r="L163" s="92"/>
      <c r="M163" s="33"/>
    </row>
    <row r="164" spans="1:13" s="50" customFormat="1" ht="12">
      <c r="A164" s="59"/>
      <c r="B164" s="21"/>
      <c r="C164" s="48"/>
      <c r="D164" s="48"/>
      <c r="E164" s="48"/>
      <c r="F164" s="47"/>
      <c r="G164" s="47"/>
      <c r="H164" s="47"/>
      <c r="I164" s="47"/>
      <c r="J164" s="7"/>
      <c r="K164" s="90"/>
      <c r="L164" s="92"/>
      <c r="M164" s="33"/>
    </row>
    <row r="165" spans="1:13" s="50" customFormat="1" ht="12">
      <c r="A165" s="59"/>
      <c r="B165" s="21"/>
      <c r="C165" s="48"/>
      <c r="D165" s="48"/>
      <c r="E165" s="48"/>
      <c r="F165" s="47"/>
      <c r="G165" s="6"/>
      <c r="H165" s="47"/>
      <c r="I165" s="47"/>
      <c r="J165" s="7"/>
      <c r="K165" s="90"/>
      <c r="L165" s="92"/>
      <c r="M165" s="33"/>
    </row>
    <row r="166" spans="1:13" s="50" customFormat="1" ht="12">
      <c r="A166" s="59"/>
      <c r="B166" s="21"/>
      <c r="C166" s="48"/>
      <c r="D166" s="48"/>
      <c r="E166" s="48"/>
      <c r="F166" s="47"/>
      <c r="G166" s="6"/>
      <c r="H166" s="47"/>
      <c r="I166" s="47"/>
      <c r="J166" s="7"/>
      <c r="K166" s="90"/>
      <c r="L166" s="92"/>
      <c r="M166" s="33"/>
    </row>
    <row r="167" spans="3:5" ht="12">
      <c r="C167" s="5"/>
      <c r="D167" s="5"/>
      <c r="E167" s="5"/>
    </row>
    <row r="169" spans="3:5" ht="12">
      <c r="C169" s="5"/>
      <c r="D169" s="5"/>
      <c r="E169" s="5"/>
    </row>
    <row r="170" spans="3:5" ht="12">
      <c r="C170" s="5"/>
      <c r="D170" s="5"/>
      <c r="E170" s="5"/>
    </row>
    <row r="171" spans="3:5" ht="12">
      <c r="C171" s="5"/>
      <c r="D171" s="5"/>
      <c r="E171" s="5"/>
    </row>
    <row r="172" spans="3:5" ht="12">
      <c r="C172" s="5"/>
      <c r="D172" s="5"/>
      <c r="E172" s="5"/>
    </row>
    <row r="174" ht="12">
      <c r="G174" s="47"/>
    </row>
    <row r="175" ht="12">
      <c r="G175" s="47"/>
    </row>
    <row r="176" ht="12">
      <c r="G176" s="47"/>
    </row>
    <row r="177" ht="12">
      <c r="G177" s="47"/>
    </row>
    <row r="178" ht="12">
      <c r="G178" s="47"/>
    </row>
    <row r="179" ht="12">
      <c r="G179" s="47"/>
    </row>
    <row r="180" ht="12">
      <c r="G180" s="47"/>
    </row>
    <row r="181" spans="2:9" ht="12">
      <c r="B181" s="12"/>
      <c r="C181" s="12"/>
      <c r="D181" s="12"/>
      <c r="E181" s="12"/>
      <c r="F181" s="32"/>
      <c r="G181" s="52"/>
      <c r="H181" s="32"/>
      <c r="I181" s="32"/>
    </row>
    <row r="182" ht="12">
      <c r="G182" s="47"/>
    </row>
    <row r="183" spans="6:8" ht="12">
      <c r="F183" s="47"/>
      <c r="G183" s="47"/>
      <c r="H183" s="47"/>
    </row>
    <row r="184" spans="7:8" ht="12">
      <c r="G184" s="47"/>
      <c r="H184" s="47"/>
    </row>
    <row r="185" spans="6:8" ht="12">
      <c r="F185" s="47"/>
      <c r="G185" s="47"/>
      <c r="H185" s="47"/>
    </row>
    <row r="186" spans="6:8" ht="12">
      <c r="F186" s="47"/>
      <c r="G186" s="47"/>
      <c r="H186" s="47"/>
    </row>
    <row r="187" spans="6:8" ht="12">
      <c r="F187" s="47"/>
      <c r="H187" s="47"/>
    </row>
    <row r="188" spans="6:8" ht="12">
      <c r="F188" s="47"/>
      <c r="H188" s="47"/>
    </row>
    <row r="192" spans="3:5" ht="12">
      <c r="C192" s="5"/>
      <c r="D192" s="5"/>
      <c r="E192" s="5"/>
    </row>
    <row r="193" spans="3:5" ht="12">
      <c r="C193" s="5"/>
      <c r="D193" s="5"/>
      <c r="E193" s="5"/>
    </row>
    <row r="194" spans="3:5" ht="12">
      <c r="C194" s="5"/>
      <c r="D194" s="5"/>
      <c r="E194" s="5"/>
    </row>
    <row r="195" spans="3:5" ht="12">
      <c r="C195" s="5"/>
      <c r="D195" s="5"/>
      <c r="E195" s="5"/>
    </row>
    <row r="196" spans="3:5" ht="12">
      <c r="C196" s="5"/>
      <c r="D196" s="5"/>
      <c r="E196" s="5"/>
    </row>
    <row r="197" spans="3:5" ht="12">
      <c r="C197" s="5"/>
      <c r="D197" s="5"/>
      <c r="E197" s="5"/>
    </row>
    <row r="198" spans="3:5" ht="12">
      <c r="C198" s="5"/>
      <c r="D198" s="5"/>
      <c r="E198" s="5"/>
    </row>
    <row r="199" spans="3:5" ht="12">
      <c r="C199" s="5"/>
      <c r="D199" s="5"/>
      <c r="E199" s="5"/>
    </row>
    <row r="200" spans="3:5" ht="12">
      <c r="C200" s="5"/>
      <c r="D200" s="5"/>
      <c r="E200" s="5"/>
    </row>
    <row r="201" spans="3:5" ht="12">
      <c r="C201" s="5"/>
      <c r="D201" s="5"/>
      <c r="E201" s="5"/>
    </row>
    <row r="202" spans="3:5" ht="12">
      <c r="C202" s="5"/>
      <c r="D202" s="5"/>
      <c r="E202" s="5"/>
    </row>
    <row r="203" spans="3:5" ht="12">
      <c r="C203" s="5"/>
      <c r="D203" s="5"/>
      <c r="E203" s="5"/>
    </row>
    <row r="204" spans="3:5" ht="12">
      <c r="C204" s="5"/>
      <c r="D204" s="5"/>
      <c r="E204" s="5"/>
    </row>
    <row r="205" spans="3:5" ht="12">
      <c r="C205" s="5"/>
      <c r="D205" s="5"/>
      <c r="E205" s="5"/>
    </row>
    <row r="206" spans="3:5" ht="12">
      <c r="C206" s="5"/>
      <c r="D206" s="5"/>
      <c r="E206" s="5"/>
    </row>
    <row r="207" spans="3:5" ht="12">
      <c r="C207" s="5"/>
      <c r="D207" s="5"/>
      <c r="E207" s="5"/>
    </row>
    <row r="208" spans="3:5" ht="12">
      <c r="C208" s="5"/>
      <c r="D208" s="5"/>
      <c r="E208" s="5"/>
    </row>
    <row r="209" spans="3:5" ht="12">
      <c r="C209" s="5"/>
      <c r="D209" s="5"/>
      <c r="E209" s="5"/>
    </row>
    <row r="210" spans="3:5" ht="12">
      <c r="C210" s="5"/>
      <c r="D210" s="5"/>
      <c r="E210" s="5"/>
    </row>
    <row r="211" spans="3:5" ht="12">
      <c r="C211" s="5"/>
      <c r="D211" s="5"/>
      <c r="E211" s="5"/>
    </row>
    <row r="212" spans="3:5" ht="12">
      <c r="C212" s="5"/>
      <c r="D212" s="5"/>
      <c r="E212" s="5"/>
    </row>
    <row r="213" spans="3:5" ht="12">
      <c r="C213" s="5"/>
      <c r="D213" s="5"/>
      <c r="E213" s="5"/>
    </row>
    <row r="214" spans="3:5" ht="12">
      <c r="C214" s="5"/>
      <c r="D214" s="5"/>
      <c r="E214" s="5"/>
    </row>
    <row r="215" spans="3:5" ht="12">
      <c r="C215" s="5"/>
      <c r="D215" s="5"/>
      <c r="E215" s="5"/>
    </row>
    <row r="216" spans="3:5" ht="12">
      <c r="C216" s="5"/>
      <c r="D216" s="5"/>
      <c r="E216" s="5"/>
    </row>
    <row r="217" spans="3:5" ht="12">
      <c r="C217" s="5"/>
      <c r="D217" s="5"/>
      <c r="E217" s="5"/>
    </row>
    <row r="218" spans="3:5" ht="12">
      <c r="C218" s="5"/>
      <c r="D218" s="5"/>
      <c r="E218" s="5"/>
    </row>
    <row r="219" spans="3:5" ht="12">
      <c r="C219" s="5"/>
      <c r="D219" s="5"/>
      <c r="E219" s="5"/>
    </row>
    <row r="220" spans="3:5" ht="12">
      <c r="C220" s="5"/>
      <c r="D220" s="5"/>
      <c r="E220" s="5"/>
    </row>
    <row r="221" spans="3:5" ht="12">
      <c r="C221" s="5"/>
      <c r="D221" s="5"/>
      <c r="E221" s="5"/>
    </row>
    <row r="222" spans="3:5" ht="12">
      <c r="C222" s="5"/>
      <c r="D222" s="5"/>
      <c r="E222" s="5"/>
    </row>
    <row r="223" spans="3:5" ht="12">
      <c r="C223" s="5"/>
      <c r="D223" s="5"/>
      <c r="E223" s="5"/>
    </row>
    <row r="224" spans="3:5" ht="12">
      <c r="C224" s="5"/>
      <c r="D224" s="5"/>
      <c r="E224" s="5"/>
    </row>
    <row r="225" spans="3:5" ht="12">
      <c r="C225" s="5"/>
      <c r="D225" s="5"/>
      <c r="E225" s="5"/>
    </row>
    <row r="226" spans="3:5" ht="12">
      <c r="C226" s="5"/>
      <c r="D226" s="5"/>
      <c r="E226" s="5"/>
    </row>
    <row r="227" spans="3:5" ht="12">
      <c r="C227" s="5"/>
      <c r="D227" s="5"/>
      <c r="E227" s="5"/>
    </row>
    <row r="228" spans="3:5" ht="12">
      <c r="C228" s="5"/>
      <c r="D228" s="5"/>
      <c r="E228" s="5"/>
    </row>
    <row r="229" spans="3:5" ht="12">
      <c r="C229" s="5"/>
      <c r="D229" s="5"/>
      <c r="E229" s="5"/>
    </row>
    <row r="230" spans="3:5" ht="12">
      <c r="C230" s="5"/>
      <c r="D230" s="5"/>
      <c r="E230" s="5"/>
    </row>
    <row r="231" spans="3:5" ht="12">
      <c r="C231" s="5"/>
      <c r="D231" s="5"/>
      <c r="E231" s="5"/>
    </row>
    <row r="232" spans="3:5" ht="12">
      <c r="C232" s="5"/>
      <c r="D232" s="5"/>
      <c r="E232" s="5"/>
    </row>
    <row r="233" spans="3:5" ht="12">
      <c r="C233" s="5"/>
      <c r="D233" s="5"/>
      <c r="E233" s="5"/>
    </row>
    <row r="234" spans="3:5" ht="12">
      <c r="C234" s="5"/>
      <c r="D234" s="5"/>
      <c r="E234" s="5"/>
    </row>
    <row r="235" spans="3:5" ht="12">
      <c r="C235" s="5"/>
      <c r="D235" s="5"/>
      <c r="E235" s="5"/>
    </row>
    <row r="236" spans="3:5" ht="12">
      <c r="C236" s="5"/>
      <c r="D236" s="5"/>
      <c r="E236" s="5"/>
    </row>
    <row r="237" spans="3:5" ht="12">
      <c r="C237" s="5"/>
      <c r="D237" s="5"/>
      <c r="E237" s="5"/>
    </row>
    <row r="238" spans="3:5" ht="12">
      <c r="C238" s="5"/>
      <c r="D238" s="5"/>
      <c r="E238" s="5"/>
    </row>
    <row r="239" spans="3:5" ht="12">
      <c r="C239" s="5"/>
      <c r="D239" s="5"/>
      <c r="E239" s="5"/>
    </row>
    <row r="240" spans="3:5" ht="12">
      <c r="C240" s="5"/>
      <c r="D240" s="5"/>
      <c r="E240" s="5"/>
    </row>
    <row r="241" spans="3:5" ht="12">
      <c r="C241" s="5"/>
      <c r="D241" s="5"/>
      <c r="E241" s="5"/>
    </row>
    <row r="242" spans="3:5" ht="12">
      <c r="C242" s="5"/>
      <c r="D242" s="5"/>
      <c r="E242" s="5"/>
    </row>
    <row r="243" spans="3:5" ht="12">
      <c r="C243" s="5"/>
      <c r="D243" s="5"/>
      <c r="E243" s="5"/>
    </row>
    <row r="244" spans="3:5" ht="12">
      <c r="C244" s="5"/>
      <c r="D244" s="5"/>
      <c r="E244" s="5"/>
    </row>
    <row r="245" spans="3:5" ht="12">
      <c r="C245" s="5"/>
      <c r="D245" s="5"/>
      <c r="E245" s="5"/>
    </row>
    <row r="246" spans="3:5" ht="12">
      <c r="C246" s="5"/>
      <c r="D246" s="5"/>
      <c r="E246" s="5"/>
    </row>
    <row r="247" spans="3:5" ht="12">
      <c r="C247" s="5"/>
      <c r="D247" s="5"/>
      <c r="E247" s="5"/>
    </row>
    <row r="248" spans="3:5" ht="12">
      <c r="C248" s="5"/>
      <c r="D248" s="5"/>
      <c r="E248" s="5"/>
    </row>
    <row r="249" spans="3:5" ht="12">
      <c r="C249" s="5"/>
      <c r="D249" s="5"/>
      <c r="E249" s="5"/>
    </row>
    <row r="250" spans="3:5" ht="12">
      <c r="C250" s="5"/>
      <c r="D250" s="5"/>
      <c r="E250" s="5"/>
    </row>
    <row r="251" spans="3:5" ht="12">
      <c r="C251" s="5"/>
      <c r="D251" s="5"/>
      <c r="E251" s="5"/>
    </row>
    <row r="252" spans="3:5" ht="12">
      <c r="C252" s="5"/>
      <c r="D252" s="5"/>
      <c r="E252" s="5"/>
    </row>
    <row r="253" spans="3:5" ht="12">
      <c r="C253" s="5"/>
      <c r="D253" s="5"/>
      <c r="E253" s="5"/>
    </row>
    <row r="254" spans="3:5" ht="12">
      <c r="C254" s="5"/>
      <c r="D254" s="5"/>
      <c r="E254" s="5"/>
    </row>
    <row r="255" spans="3:5" ht="12">
      <c r="C255" s="5"/>
      <c r="D255" s="5"/>
      <c r="E255" s="5"/>
    </row>
    <row r="256" spans="3:5" ht="12">
      <c r="C256" s="5"/>
      <c r="D256" s="5"/>
      <c r="E256" s="5"/>
    </row>
    <row r="257" spans="3:5" ht="12">
      <c r="C257" s="5"/>
      <c r="D257" s="5"/>
      <c r="E257" s="5"/>
    </row>
    <row r="258" spans="3:5" ht="12">
      <c r="C258" s="5"/>
      <c r="D258" s="5"/>
      <c r="E258" s="5"/>
    </row>
    <row r="259" spans="3:5" ht="12">
      <c r="C259" s="5"/>
      <c r="D259" s="5"/>
      <c r="E259" s="5"/>
    </row>
    <row r="260" spans="3:5" ht="12">
      <c r="C260" s="5"/>
      <c r="D260" s="5"/>
      <c r="E260" s="5"/>
    </row>
    <row r="261" spans="3:5" ht="12">
      <c r="C261" s="5"/>
      <c r="D261" s="5"/>
      <c r="E261" s="5"/>
    </row>
    <row r="262" spans="3:5" ht="12">
      <c r="C262" s="5"/>
      <c r="D262" s="5"/>
      <c r="E262" s="5"/>
    </row>
    <row r="263" spans="3:5" ht="12">
      <c r="C263" s="5"/>
      <c r="D263" s="5"/>
      <c r="E263" s="5"/>
    </row>
    <row r="264" spans="3:5" ht="12">
      <c r="C264" s="5"/>
      <c r="D264" s="5"/>
      <c r="E264" s="5"/>
    </row>
    <row r="265" spans="3:5" ht="12">
      <c r="C265" s="5"/>
      <c r="D265" s="5"/>
      <c r="E265" s="5"/>
    </row>
    <row r="266" spans="3:5" ht="12">
      <c r="C266" s="5"/>
      <c r="D266" s="5"/>
      <c r="E266" s="5"/>
    </row>
    <row r="267" spans="3:5" ht="12">
      <c r="C267" s="5"/>
      <c r="D267" s="5"/>
      <c r="E267" s="5"/>
    </row>
    <row r="268" spans="3:5" ht="12">
      <c r="C268" s="5"/>
      <c r="D268" s="5"/>
      <c r="E268" s="5"/>
    </row>
    <row r="269" spans="3:5" ht="12">
      <c r="C269" s="5"/>
      <c r="D269" s="5"/>
      <c r="E269" s="5"/>
    </row>
    <row r="270" spans="3:5" ht="12">
      <c r="C270" s="5"/>
      <c r="D270" s="5"/>
      <c r="E270" s="5"/>
    </row>
    <row r="271" spans="3:5" ht="12">
      <c r="C271" s="5"/>
      <c r="D271" s="5"/>
      <c r="E271" s="5"/>
    </row>
    <row r="272" spans="3:5" ht="12">
      <c r="C272" s="5"/>
      <c r="D272" s="5"/>
      <c r="E272" s="5"/>
    </row>
    <row r="273" spans="3:5" ht="12">
      <c r="C273" s="5"/>
      <c r="D273" s="5"/>
      <c r="E273" s="5"/>
    </row>
    <row r="274" spans="3:5" ht="12">
      <c r="C274" s="5"/>
      <c r="D274" s="5"/>
      <c r="E274" s="5"/>
    </row>
    <row r="275" spans="3:5" ht="12">
      <c r="C275" s="5"/>
      <c r="D275" s="5"/>
      <c r="E275" s="5"/>
    </row>
    <row r="276" spans="3:5" ht="12">
      <c r="C276" s="5"/>
      <c r="D276" s="5"/>
      <c r="E276" s="5"/>
    </row>
    <row r="277" spans="3:5" ht="12">
      <c r="C277" s="5"/>
      <c r="D277" s="5"/>
      <c r="E277" s="5"/>
    </row>
    <row r="278" spans="3:5" ht="12">
      <c r="C278" s="5"/>
      <c r="D278" s="5"/>
      <c r="E278" s="5"/>
    </row>
    <row r="279" spans="3:5" ht="12">
      <c r="C279" s="5"/>
      <c r="D279" s="5"/>
      <c r="E279" s="5"/>
    </row>
    <row r="280" spans="3:5" ht="12">
      <c r="C280" s="5"/>
      <c r="D280" s="5"/>
      <c r="E280" s="5"/>
    </row>
    <row r="281" spans="3:5" ht="12">
      <c r="C281" s="5"/>
      <c r="D281" s="5"/>
      <c r="E281" s="5"/>
    </row>
    <row r="282" spans="3:5" ht="12">
      <c r="C282" s="5"/>
      <c r="D282" s="5"/>
      <c r="E282" s="5"/>
    </row>
    <row r="283" spans="3:5" ht="12">
      <c r="C283" s="5"/>
      <c r="D283" s="5"/>
      <c r="E283" s="5"/>
    </row>
    <row r="284" spans="3:5" ht="12">
      <c r="C284" s="5"/>
      <c r="D284" s="5"/>
      <c r="E284" s="5"/>
    </row>
    <row r="285" spans="3:5" ht="12">
      <c r="C285" s="5"/>
      <c r="D285" s="5"/>
      <c r="E285" s="5"/>
    </row>
    <row r="286" spans="3:5" ht="12">
      <c r="C286" s="5"/>
      <c r="D286" s="5"/>
      <c r="E286" s="5"/>
    </row>
    <row r="287" spans="3:5" ht="12">
      <c r="C287" s="5"/>
      <c r="D287" s="5"/>
      <c r="E287" s="5"/>
    </row>
    <row r="288" spans="3:5" ht="12">
      <c r="C288" s="5"/>
      <c r="D288" s="5"/>
      <c r="E288" s="5"/>
    </row>
    <row r="289" spans="3:5" ht="12">
      <c r="C289" s="5"/>
      <c r="D289" s="5"/>
      <c r="E289" s="5"/>
    </row>
    <row r="290" spans="3:5" ht="12">
      <c r="C290" s="5"/>
      <c r="D290" s="5"/>
      <c r="E290" s="5"/>
    </row>
    <row r="291" spans="3:5" ht="12">
      <c r="C291" s="5"/>
      <c r="D291" s="5"/>
      <c r="E291" s="5"/>
    </row>
    <row r="292" spans="3:5" ht="12">
      <c r="C292" s="5"/>
      <c r="D292" s="5"/>
      <c r="E292" s="5"/>
    </row>
    <row r="293" spans="3:5" ht="12">
      <c r="C293" s="5"/>
      <c r="D293" s="5"/>
      <c r="E293" s="5"/>
    </row>
    <row r="294" spans="3:5" ht="12">
      <c r="C294" s="5"/>
      <c r="D294" s="5"/>
      <c r="E294" s="5"/>
    </row>
    <row r="295" spans="3:5" ht="12">
      <c r="C295" s="5"/>
      <c r="D295" s="5"/>
      <c r="E295" s="5"/>
    </row>
    <row r="296" spans="3:5" ht="12">
      <c r="C296" s="5"/>
      <c r="D296" s="5"/>
      <c r="E296" s="5"/>
    </row>
    <row r="297" spans="3:5" ht="12">
      <c r="C297" s="5"/>
      <c r="D297" s="5"/>
      <c r="E297" s="5"/>
    </row>
    <row r="298" spans="3:5" ht="12">
      <c r="C298" s="5"/>
      <c r="D298" s="5"/>
      <c r="E298" s="5"/>
    </row>
    <row r="299" spans="3:5" ht="12">
      <c r="C299" s="5"/>
      <c r="D299" s="5"/>
      <c r="E299" s="5"/>
    </row>
    <row r="300" spans="3:5" ht="12">
      <c r="C300" s="5"/>
      <c r="D300" s="5"/>
      <c r="E300" s="5"/>
    </row>
    <row r="301" spans="3:5" ht="12">
      <c r="C301" s="5"/>
      <c r="D301" s="5"/>
      <c r="E301" s="5"/>
    </row>
    <row r="302" spans="3:5" ht="12">
      <c r="C302" s="5"/>
      <c r="D302" s="5"/>
      <c r="E302" s="5"/>
    </row>
    <row r="303" spans="3:5" ht="12">
      <c r="C303" s="5"/>
      <c r="D303" s="5"/>
      <c r="E303" s="5"/>
    </row>
    <row r="304" spans="3:5" ht="12">
      <c r="C304" s="5"/>
      <c r="D304" s="5"/>
      <c r="E304" s="5"/>
    </row>
    <row r="305" spans="3:5" ht="12">
      <c r="C305" s="5"/>
      <c r="D305" s="5"/>
      <c r="E305" s="5"/>
    </row>
    <row r="306" spans="3:5" ht="12">
      <c r="C306" s="5"/>
      <c r="D306" s="5"/>
      <c r="E306" s="5"/>
    </row>
    <row r="307" spans="3:5" ht="12">
      <c r="C307" s="5"/>
      <c r="D307" s="5"/>
      <c r="E307" s="5"/>
    </row>
    <row r="308" spans="3:5" ht="12">
      <c r="C308" s="5"/>
      <c r="D308" s="5"/>
      <c r="E308" s="5"/>
    </row>
    <row r="309" spans="3:5" ht="12">
      <c r="C309" s="5"/>
      <c r="D309" s="5"/>
      <c r="E309" s="5"/>
    </row>
    <row r="310" spans="3:5" ht="12">
      <c r="C310" s="5"/>
      <c r="D310" s="5"/>
      <c r="E310" s="5"/>
    </row>
    <row r="311" spans="3:5" ht="12">
      <c r="C311" s="5"/>
      <c r="D311" s="5"/>
      <c r="E311" s="5"/>
    </row>
    <row r="312" spans="3:5" ht="12">
      <c r="C312" s="5"/>
      <c r="D312" s="5"/>
      <c r="E312" s="5"/>
    </row>
    <row r="313" spans="3:5" ht="12">
      <c r="C313" s="5"/>
      <c r="D313" s="5"/>
      <c r="E313" s="5"/>
    </row>
    <row r="314" spans="3:5" ht="12">
      <c r="C314" s="5"/>
      <c r="D314" s="5"/>
      <c r="E314" s="5"/>
    </row>
    <row r="315" spans="3:5" ht="12">
      <c r="C315" s="5"/>
      <c r="D315" s="5"/>
      <c r="E315" s="5"/>
    </row>
    <row r="316" spans="3:5" ht="12">
      <c r="C316" s="5"/>
      <c r="D316" s="5"/>
      <c r="E316" s="5"/>
    </row>
    <row r="317" spans="3:5" ht="12">
      <c r="C317" s="5"/>
      <c r="D317" s="5"/>
      <c r="E317" s="5"/>
    </row>
    <row r="318" spans="3:5" ht="12">
      <c r="C318" s="5"/>
      <c r="D318" s="5"/>
      <c r="E318" s="5"/>
    </row>
    <row r="319" spans="3:5" ht="12">
      <c r="C319" s="5"/>
      <c r="D319" s="5"/>
      <c r="E319" s="5"/>
    </row>
    <row r="320" spans="3:5" ht="12">
      <c r="C320" s="5"/>
      <c r="D320" s="5"/>
      <c r="E320" s="5"/>
    </row>
    <row r="321" spans="3:5" ht="12">
      <c r="C321" s="5"/>
      <c r="D321" s="5"/>
      <c r="E321" s="5"/>
    </row>
    <row r="322" spans="3:5" ht="12">
      <c r="C322" s="5"/>
      <c r="D322" s="5"/>
      <c r="E322" s="5"/>
    </row>
    <row r="323" spans="3:5" ht="12">
      <c r="C323" s="5"/>
      <c r="D323" s="5"/>
      <c r="E323" s="5"/>
    </row>
    <row r="324" spans="3:5" ht="12">
      <c r="C324" s="5"/>
      <c r="D324" s="5"/>
      <c r="E324" s="5"/>
    </row>
    <row r="325" spans="3:5" ht="12">
      <c r="C325" s="5"/>
      <c r="D325" s="5"/>
      <c r="E325" s="5"/>
    </row>
    <row r="326" spans="3:5" ht="12">
      <c r="C326" s="5"/>
      <c r="D326" s="5"/>
      <c r="E326" s="5"/>
    </row>
    <row r="327" spans="3:5" ht="12">
      <c r="C327" s="5"/>
      <c r="D327" s="5"/>
      <c r="E327" s="5"/>
    </row>
    <row r="328" spans="3:5" ht="12">
      <c r="C328" s="5"/>
      <c r="D328" s="5"/>
      <c r="E328" s="5"/>
    </row>
    <row r="329" spans="3:5" ht="12">
      <c r="C329" s="5"/>
      <c r="D329" s="5"/>
      <c r="E329" s="5"/>
    </row>
    <row r="330" spans="3:5" ht="12">
      <c r="C330" s="5"/>
      <c r="D330" s="5"/>
      <c r="E330" s="5"/>
    </row>
    <row r="331" spans="3:5" ht="12">
      <c r="C331" s="5"/>
      <c r="D331" s="5"/>
      <c r="E331" s="5"/>
    </row>
    <row r="332" spans="3:5" ht="12">
      <c r="C332" s="5"/>
      <c r="D332" s="5"/>
      <c r="E332" s="5"/>
    </row>
    <row r="333" spans="3:5" ht="12">
      <c r="C333" s="5"/>
      <c r="D333" s="5"/>
      <c r="E333" s="5"/>
    </row>
    <row r="334" spans="3:5" ht="12">
      <c r="C334" s="5"/>
      <c r="D334" s="5"/>
      <c r="E334" s="5"/>
    </row>
    <row r="335" spans="3:5" ht="12">
      <c r="C335" s="5"/>
      <c r="D335" s="5"/>
      <c r="E335" s="5"/>
    </row>
    <row r="336" spans="3:5" ht="12">
      <c r="C336" s="5"/>
      <c r="D336" s="5"/>
      <c r="E336" s="5"/>
    </row>
    <row r="337" spans="3:5" ht="12">
      <c r="C337" s="5"/>
      <c r="D337" s="5"/>
      <c r="E337" s="5"/>
    </row>
    <row r="338" spans="3:5" ht="12">
      <c r="C338" s="5"/>
      <c r="D338" s="5"/>
      <c r="E338" s="5"/>
    </row>
    <row r="339" spans="3:5" ht="12">
      <c r="C339" s="5"/>
      <c r="D339" s="5"/>
      <c r="E339" s="5"/>
    </row>
    <row r="340" spans="3:5" ht="12">
      <c r="C340" s="5"/>
      <c r="D340" s="5"/>
      <c r="E340" s="5"/>
    </row>
    <row r="341" spans="3:5" ht="12">
      <c r="C341" s="5"/>
      <c r="D341" s="5"/>
      <c r="E341" s="5"/>
    </row>
    <row r="342" spans="3:5" ht="12">
      <c r="C342" s="5"/>
      <c r="D342" s="5"/>
      <c r="E342" s="5"/>
    </row>
    <row r="343" spans="3:5" ht="12">
      <c r="C343" s="5"/>
      <c r="D343" s="5"/>
      <c r="E343" s="5"/>
    </row>
    <row r="344" spans="3:5" ht="12">
      <c r="C344" s="5"/>
      <c r="D344" s="5"/>
      <c r="E344" s="5"/>
    </row>
    <row r="345" spans="3:5" ht="12">
      <c r="C345" s="5"/>
      <c r="D345" s="5"/>
      <c r="E345" s="5"/>
    </row>
    <row r="346" spans="3:5" ht="12">
      <c r="C346" s="5"/>
      <c r="D346" s="5"/>
      <c r="E346" s="5"/>
    </row>
    <row r="347" spans="3:5" ht="12">
      <c r="C347" s="5"/>
      <c r="D347" s="5"/>
      <c r="E347" s="5"/>
    </row>
    <row r="348" spans="3:5" ht="12">
      <c r="C348" s="5"/>
      <c r="D348" s="5"/>
      <c r="E348" s="5"/>
    </row>
    <row r="349" spans="3:5" ht="12">
      <c r="C349" s="5"/>
      <c r="D349" s="5"/>
      <c r="E349" s="5"/>
    </row>
    <row r="350" spans="3:5" ht="12">
      <c r="C350" s="5"/>
      <c r="D350" s="5"/>
      <c r="E350" s="5"/>
    </row>
    <row r="351" spans="3:5" ht="12">
      <c r="C351" s="5"/>
      <c r="D351" s="5"/>
      <c r="E351" s="5"/>
    </row>
    <row r="352" spans="3:5" ht="12">
      <c r="C352" s="5"/>
      <c r="D352" s="5"/>
      <c r="E352" s="5"/>
    </row>
    <row r="353" spans="3:5" ht="12">
      <c r="C353" s="5"/>
      <c r="D353" s="5"/>
      <c r="E353" s="5"/>
    </row>
    <row r="354" spans="3:5" ht="12">
      <c r="C354" s="5"/>
      <c r="D354" s="5"/>
      <c r="E354" s="5"/>
    </row>
    <row r="355" spans="3:5" ht="12">
      <c r="C355" s="5"/>
      <c r="D355" s="5"/>
      <c r="E355" s="5"/>
    </row>
    <row r="356" spans="3:5" ht="12">
      <c r="C356" s="5"/>
      <c r="D356" s="5"/>
      <c r="E356" s="5"/>
    </row>
    <row r="357" spans="3:5" ht="12">
      <c r="C357" s="5"/>
      <c r="D357" s="5"/>
      <c r="E357" s="5"/>
    </row>
    <row r="358" spans="3:5" ht="12">
      <c r="C358" s="5"/>
      <c r="D358" s="5"/>
      <c r="E358" s="5"/>
    </row>
    <row r="359" spans="3:5" ht="12">
      <c r="C359" s="5"/>
      <c r="D359" s="5"/>
      <c r="E359" s="5"/>
    </row>
    <row r="360" spans="3:5" ht="12">
      <c r="C360" s="5"/>
      <c r="D360" s="5"/>
      <c r="E360" s="5"/>
    </row>
    <row r="361" spans="3:5" ht="12">
      <c r="C361" s="5"/>
      <c r="D361" s="5"/>
      <c r="E361" s="5"/>
    </row>
    <row r="362" spans="3:5" ht="12">
      <c r="C362" s="5"/>
      <c r="D362" s="5"/>
      <c r="E362" s="5"/>
    </row>
    <row r="363" spans="3:5" ht="12">
      <c r="C363" s="5"/>
      <c r="D363" s="5"/>
      <c r="E363" s="5"/>
    </row>
    <row r="364" spans="3:5" ht="12">
      <c r="C364" s="5"/>
      <c r="D364" s="5"/>
      <c r="E364" s="5"/>
    </row>
    <row r="365" spans="3:5" ht="12">
      <c r="C365" s="5"/>
      <c r="D365" s="5"/>
      <c r="E365" s="5"/>
    </row>
    <row r="366" spans="3:5" ht="12">
      <c r="C366" s="5"/>
      <c r="D366" s="5"/>
      <c r="E366" s="5"/>
    </row>
    <row r="367" spans="3:5" ht="12">
      <c r="C367" s="5"/>
      <c r="D367" s="5"/>
      <c r="E367" s="5"/>
    </row>
    <row r="368" spans="3:5" ht="12">
      <c r="C368" s="5"/>
      <c r="D368" s="5"/>
      <c r="E368" s="5"/>
    </row>
    <row r="369" spans="3:5" ht="12">
      <c r="C369" s="5"/>
      <c r="D369" s="5"/>
      <c r="E369" s="5"/>
    </row>
    <row r="370" spans="3:5" ht="12">
      <c r="C370" s="5"/>
      <c r="D370" s="5"/>
      <c r="E370" s="5"/>
    </row>
    <row r="371" spans="3:5" ht="12">
      <c r="C371" s="5"/>
      <c r="D371" s="5"/>
      <c r="E371" s="5"/>
    </row>
    <row r="372" spans="3:5" ht="12">
      <c r="C372" s="5"/>
      <c r="D372" s="5"/>
      <c r="E372" s="5"/>
    </row>
    <row r="373" spans="3:5" ht="12">
      <c r="C373" s="5"/>
      <c r="D373" s="5"/>
      <c r="E373" s="5"/>
    </row>
    <row r="374" spans="3:5" ht="12">
      <c r="C374" s="5"/>
      <c r="D374" s="5"/>
      <c r="E374" s="5"/>
    </row>
    <row r="375" spans="3:5" ht="12">
      <c r="C375" s="5"/>
      <c r="D375" s="5"/>
      <c r="E375" s="5"/>
    </row>
    <row r="376" spans="3:5" ht="12">
      <c r="C376" s="5"/>
      <c r="D376" s="5"/>
      <c r="E376" s="5"/>
    </row>
    <row r="377" spans="3:5" ht="12">
      <c r="C377" s="5"/>
      <c r="D377" s="5"/>
      <c r="E377" s="5"/>
    </row>
    <row r="378" spans="3:5" ht="12">
      <c r="C378" s="5"/>
      <c r="D378" s="5"/>
      <c r="E378" s="5"/>
    </row>
    <row r="379" spans="3:5" ht="12">
      <c r="C379" s="5"/>
      <c r="D379" s="5"/>
      <c r="E379" s="5"/>
    </row>
    <row r="380" spans="3:5" ht="12">
      <c r="C380" s="5"/>
      <c r="D380" s="5"/>
      <c r="E380" s="5"/>
    </row>
    <row r="381" spans="3:5" ht="12">
      <c r="C381" s="5"/>
      <c r="D381" s="5"/>
      <c r="E381" s="5"/>
    </row>
    <row r="382" spans="3:5" ht="12">
      <c r="C382" s="5"/>
      <c r="D382" s="5"/>
      <c r="E382" s="5"/>
    </row>
    <row r="383" spans="3:5" ht="12">
      <c r="C383" s="5"/>
      <c r="D383" s="5"/>
      <c r="E383" s="5"/>
    </row>
    <row r="384" spans="3:5" ht="12">
      <c r="C384" s="5"/>
      <c r="D384" s="5"/>
      <c r="E384" s="5"/>
    </row>
    <row r="385" spans="3:5" ht="12">
      <c r="C385" s="5"/>
      <c r="D385" s="5"/>
      <c r="E385" s="5"/>
    </row>
    <row r="386" spans="3:5" ht="12">
      <c r="C386" s="5"/>
      <c r="D386" s="5"/>
      <c r="E386" s="5"/>
    </row>
    <row r="387" spans="3:5" ht="12">
      <c r="C387" s="5"/>
      <c r="D387" s="5"/>
      <c r="E387" s="5"/>
    </row>
    <row r="388" spans="3:5" ht="12">
      <c r="C388" s="5"/>
      <c r="D388" s="5"/>
      <c r="E388" s="5"/>
    </row>
    <row r="389" spans="3:5" ht="12">
      <c r="C389" s="5"/>
      <c r="D389" s="5"/>
      <c r="E389" s="5"/>
    </row>
    <row r="390" spans="3:5" ht="12">
      <c r="C390" s="5"/>
      <c r="D390" s="5"/>
      <c r="E390" s="5"/>
    </row>
    <row r="391" spans="3:5" ht="12">
      <c r="C391" s="5"/>
      <c r="D391" s="5"/>
      <c r="E391" s="5"/>
    </row>
    <row r="392" spans="3:5" ht="12">
      <c r="C392" s="5"/>
      <c r="D392" s="5"/>
      <c r="E392" s="5"/>
    </row>
    <row r="393" spans="3:5" ht="12">
      <c r="C393" s="5"/>
      <c r="D393" s="5"/>
      <c r="E393" s="5"/>
    </row>
    <row r="394" spans="3:5" ht="12">
      <c r="C394" s="5"/>
      <c r="D394" s="5"/>
      <c r="E394" s="5"/>
    </row>
    <row r="395" spans="3:5" ht="12">
      <c r="C395" s="5"/>
      <c r="D395" s="5"/>
      <c r="E395" s="5"/>
    </row>
    <row r="396" spans="3:5" ht="12">
      <c r="C396" s="5"/>
      <c r="D396" s="5"/>
      <c r="E396" s="5"/>
    </row>
    <row r="397" spans="3:5" ht="12">
      <c r="C397" s="5"/>
      <c r="D397" s="5"/>
      <c r="E397" s="5"/>
    </row>
    <row r="398" spans="3:5" ht="12">
      <c r="C398" s="5"/>
      <c r="D398" s="5"/>
      <c r="E398" s="5"/>
    </row>
    <row r="399" spans="3:5" ht="12">
      <c r="C399" s="5"/>
      <c r="D399" s="5"/>
      <c r="E399" s="5"/>
    </row>
    <row r="400" spans="3:5" ht="12">
      <c r="C400" s="5"/>
      <c r="D400" s="5"/>
      <c r="E400" s="5"/>
    </row>
    <row r="401" spans="3:5" ht="12">
      <c r="C401" s="5"/>
      <c r="D401" s="5"/>
      <c r="E401" s="5"/>
    </row>
    <row r="402" spans="3:5" ht="12">
      <c r="C402" s="5"/>
      <c r="D402" s="5"/>
      <c r="E402" s="5"/>
    </row>
    <row r="403" spans="3:5" ht="12">
      <c r="C403" s="5"/>
      <c r="D403" s="5"/>
      <c r="E403" s="5"/>
    </row>
    <row r="404" spans="3:5" ht="12">
      <c r="C404" s="5"/>
      <c r="D404" s="5"/>
      <c r="E404" s="5"/>
    </row>
    <row r="405" spans="3:5" ht="12">
      <c r="C405" s="5"/>
      <c r="D405" s="5"/>
      <c r="E405" s="5"/>
    </row>
    <row r="406" spans="3:5" ht="12">
      <c r="C406" s="5"/>
      <c r="D406" s="5"/>
      <c r="E406" s="5"/>
    </row>
    <row r="407" spans="3:5" ht="12">
      <c r="C407" s="5"/>
      <c r="D407" s="5"/>
      <c r="E407" s="5"/>
    </row>
    <row r="408" spans="3:5" ht="12">
      <c r="C408" s="5"/>
      <c r="D408" s="5"/>
      <c r="E408" s="5"/>
    </row>
    <row r="409" spans="3:5" ht="12">
      <c r="C409" s="5"/>
      <c r="D409" s="5"/>
      <c r="E409" s="5"/>
    </row>
    <row r="410" spans="3:5" ht="12">
      <c r="C410" s="5"/>
      <c r="D410" s="5"/>
      <c r="E410" s="5"/>
    </row>
    <row r="411" spans="3:5" ht="12">
      <c r="C411" s="5"/>
      <c r="D411" s="5"/>
      <c r="E411" s="5"/>
    </row>
    <row r="412" spans="3:5" ht="12">
      <c r="C412" s="5"/>
      <c r="D412" s="5"/>
      <c r="E412" s="5"/>
    </row>
    <row r="413" spans="3:5" ht="12">
      <c r="C413" s="5"/>
      <c r="D413" s="5"/>
      <c r="E413" s="5"/>
    </row>
    <row r="414" spans="3:5" ht="12">
      <c r="C414" s="5"/>
      <c r="D414" s="5"/>
      <c r="E414" s="5"/>
    </row>
    <row r="415" spans="3:5" ht="12">
      <c r="C415" s="5"/>
      <c r="D415" s="5"/>
      <c r="E415" s="5"/>
    </row>
    <row r="416" spans="3:5" ht="12">
      <c r="C416" s="5"/>
      <c r="D416" s="5"/>
      <c r="E416" s="5"/>
    </row>
    <row r="417" spans="3:5" ht="12">
      <c r="C417" s="5"/>
      <c r="D417" s="5"/>
      <c r="E417" s="5"/>
    </row>
    <row r="418" spans="3:5" ht="12">
      <c r="C418" s="5"/>
      <c r="D418" s="5"/>
      <c r="E418" s="5"/>
    </row>
    <row r="419" spans="3:5" ht="12">
      <c r="C419" s="5"/>
      <c r="D419" s="5"/>
      <c r="E419" s="5"/>
    </row>
    <row r="420" spans="3:5" ht="12">
      <c r="C420" s="5"/>
      <c r="D420" s="5"/>
      <c r="E420" s="5"/>
    </row>
    <row r="421" spans="3:5" ht="12">
      <c r="C421" s="5"/>
      <c r="D421" s="5"/>
      <c r="E421" s="5"/>
    </row>
    <row r="422" spans="3:5" ht="12">
      <c r="C422" s="5"/>
      <c r="D422" s="5"/>
      <c r="E422" s="5"/>
    </row>
    <row r="423" spans="3:5" ht="12">
      <c r="C423" s="5"/>
      <c r="D423" s="5"/>
      <c r="E423" s="5"/>
    </row>
    <row r="424" spans="3:5" ht="12">
      <c r="C424" s="5"/>
      <c r="D424" s="5"/>
      <c r="E424" s="5"/>
    </row>
    <row r="425" spans="3:5" ht="12">
      <c r="C425" s="5"/>
      <c r="D425" s="5"/>
      <c r="E425" s="5"/>
    </row>
    <row r="426" spans="3:5" ht="12">
      <c r="C426" s="5"/>
      <c r="D426" s="5"/>
      <c r="E426" s="5"/>
    </row>
    <row r="427" spans="3:5" ht="12">
      <c r="C427" s="5"/>
      <c r="D427" s="5"/>
      <c r="E427" s="5"/>
    </row>
    <row r="428" spans="3:5" ht="12">
      <c r="C428" s="5"/>
      <c r="D428" s="5"/>
      <c r="E428" s="5"/>
    </row>
    <row r="429" spans="3:5" ht="12">
      <c r="C429" s="5"/>
      <c r="D429" s="5"/>
      <c r="E429" s="5"/>
    </row>
    <row r="430" spans="3:5" ht="12">
      <c r="C430" s="5"/>
      <c r="D430" s="5"/>
      <c r="E430" s="5"/>
    </row>
    <row r="431" spans="3:5" ht="12">
      <c r="C431" s="5"/>
      <c r="D431" s="5"/>
      <c r="E431" s="5"/>
    </row>
    <row r="432" spans="3:5" ht="12">
      <c r="C432" s="5"/>
      <c r="D432" s="5"/>
      <c r="E432" s="5"/>
    </row>
    <row r="433" spans="3:5" ht="12">
      <c r="C433" s="5"/>
      <c r="D433" s="5"/>
      <c r="E433" s="5"/>
    </row>
    <row r="434" spans="3:5" ht="12">
      <c r="C434" s="5"/>
      <c r="D434" s="5"/>
      <c r="E434" s="5"/>
    </row>
    <row r="435" spans="3:5" ht="12">
      <c r="C435" s="5"/>
      <c r="D435" s="5"/>
      <c r="E435" s="5"/>
    </row>
    <row r="436" spans="3:5" ht="12">
      <c r="C436" s="5"/>
      <c r="D436" s="5"/>
      <c r="E436" s="5"/>
    </row>
    <row r="437" spans="3:5" ht="12">
      <c r="C437" s="5"/>
      <c r="D437" s="5"/>
      <c r="E437" s="5"/>
    </row>
    <row r="438" spans="3:5" ht="12">
      <c r="C438" s="5"/>
      <c r="D438" s="5"/>
      <c r="E438" s="5"/>
    </row>
    <row r="439" spans="3:5" ht="12">
      <c r="C439" s="5"/>
      <c r="D439" s="5"/>
      <c r="E439" s="5"/>
    </row>
    <row r="440" spans="3:5" ht="12">
      <c r="C440" s="5"/>
      <c r="D440" s="5"/>
      <c r="E440" s="5"/>
    </row>
    <row r="441" spans="3:5" ht="12">
      <c r="C441" s="5"/>
      <c r="D441" s="5"/>
      <c r="E441" s="5"/>
    </row>
    <row r="442" spans="3:5" ht="12">
      <c r="C442" s="5"/>
      <c r="D442" s="5"/>
      <c r="E442" s="5"/>
    </row>
    <row r="443" spans="3:5" ht="12">
      <c r="C443" s="5"/>
      <c r="D443" s="5"/>
      <c r="E443" s="5"/>
    </row>
    <row r="444" spans="3:5" ht="12">
      <c r="C444" s="5"/>
      <c r="D444" s="5"/>
      <c r="E444" s="5"/>
    </row>
    <row r="445" spans="3:5" ht="12">
      <c r="C445" s="5"/>
      <c r="D445" s="5"/>
      <c r="E445" s="5"/>
    </row>
    <row r="446" spans="3:5" ht="12">
      <c r="C446" s="5"/>
      <c r="D446" s="5"/>
      <c r="E446" s="5"/>
    </row>
    <row r="447" spans="3:5" ht="12">
      <c r="C447" s="5"/>
      <c r="D447" s="5"/>
      <c r="E447" s="5"/>
    </row>
    <row r="448" spans="3:5" ht="12">
      <c r="C448" s="5"/>
      <c r="D448" s="5"/>
      <c r="E448" s="5"/>
    </row>
    <row r="449" spans="3:5" ht="12">
      <c r="C449" s="5"/>
      <c r="D449" s="5"/>
      <c r="E449" s="5"/>
    </row>
    <row r="450" spans="3:5" ht="12">
      <c r="C450" s="5"/>
      <c r="D450" s="5"/>
      <c r="E450" s="5"/>
    </row>
    <row r="451" spans="3:5" ht="12">
      <c r="C451" s="5"/>
      <c r="D451" s="5"/>
      <c r="E451" s="5"/>
    </row>
    <row r="452" spans="3:5" ht="12">
      <c r="C452" s="5"/>
      <c r="D452" s="5"/>
      <c r="E452" s="5"/>
    </row>
    <row r="453" spans="3:5" ht="12">
      <c r="C453" s="5"/>
      <c r="D453" s="5"/>
      <c r="E453" s="5"/>
    </row>
    <row r="454" spans="3:5" ht="12">
      <c r="C454" s="5"/>
      <c r="D454" s="5"/>
      <c r="E454" s="5"/>
    </row>
    <row r="455" spans="3:5" ht="12">
      <c r="C455" s="5"/>
      <c r="D455" s="5"/>
      <c r="E455" s="5"/>
    </row>
    <row r="456" spans="3:5" ht="12">
      <c r="C456" s="5"/>
      <c r="D456" s="5"/>
      <c r="E456" s="5"/>
    </row>
    <row r="457" spans="3:5" ht="12">
      <c r="C457" s="5"/>
      <c r="D457" s="5"/>
      <c r="E457" s="5"/>
    </row>
    <row r="458" spans="3:5" ht="12">
      <c r="C458" s="5"/>
      <c r="D458" s="5"/>
      <c r="E458" s="5"/>
    </row>
    <row r="459" spans="3:5" ht="12">
      <c r="C459" s="5"/>
      <c r="D459" s="5"/>
      <c r="E459" s="5"/>
    </row>
    <row r="460" spans="3:5" ht="12">
      <c r="C460" s="5"/>
      <c r="D460" s="5"/>
      <c r="E460" s="5"/>
    </row>
    <row r="461" spans="3:5" ht="12">
      <c r="C461" s="5"/>
      <c r="D461" s="5"/>
      <c r="E461" s="5"/>
    </row>
    <row r="462" spans="3:5" ht="12">
      <c r="C462" s="5"/>
      <c r="D462" s="5"/>
      <c r="E462" s="5"/>
    </row>
    <row r="463" spans="3:5" ht="12">
      <c r="C463" s="5"/>
      <c r="D463" s="5"/>
      <c r="E463" s="5"/>
    </row>
    <row r="464" spans="3:5" ht="12">
      <c r="C464" s="5"/>
      <c r="D464" s="5"/>
      <c r="E464" s="5"/>
    </row>
    <row r="465" spans="3:5" ht="12">
      <c r="C465" s="5"/>
      <c r="D465" s="5"/>
      <c r="E465" s="5"/>
    </row>
    <row r="466" spans="3:5" ht="12">
      <c r="C466" s="5"/>
      <c r="D466" s="5"/>
      <c r="E466" s="5"/>
    </row>
    <row r="467" spans="3:5" ht="12">
      <c r="C467" s="5"/>
      <c r="D467" s="5"/>
      <c r="E467" s="5"/>
    </row>
    <row r="468" spans="3:5" ht="12">
      <c r="C468" s="5"/>
      <c r="D468" s="5"/>
      <c r="E468" s="5"/>
    </row>
    <row r="469" spans="3:5" ht="12">
      <c r="C469" s="5"/>
      <c r="D469" s="5"/>
      <c r="E469" s="5"/>
    </row>
    <row r="470" spans="3:5" ht="12">
      <c r="C470" s="5"/>
      <c r="D470" s="5"/>
      <c r="E470" s="5"/>
    </row>
    <row r="471" spans="3:5" ht="12">
      <c r="C471" s="5"/>
      <c r="D471" s="5"/>
      <c r="E471" s="5"/>
    </row>
    <row r="472" spans="3:5" ht="12">
      <c r="C472" s="5"/>
      <c r="D472" s="5"/>
      <c r="E472" s="5"/>
    </row>
    <row r="473" spans="3:5" ht="12">
      <c r="C473" s="5"/>
      <c r="D473" s="5"/>
      <c r="E473" s="5"/>
    </row>
    <row r="474" spans="3:5" ht="12">
      <c r="C474" s="5"/>
      <c r="D474" s="5"/>
      <c r="E474" s="5"/>
    </row>
    <row r="475" spans="3:5" ht="12">
      <c r="C475" s="5"/>
      <c r="D475" s="5"/>
      <c r="E475" s="5"/>
    </row>
    <row r="476" spans="3:5" ht="12">
      <c r="C476" s="5"/>
      <c r="D476" s="5"/>
      <c r="E476" s="5"/>
    </row>
    <row r="477" spans="3:5" ht="12">
      <c r="C477" s="5"/>
      <c r="D477" s="5"/>
      <c r="E477" s="5"/>
    </row>
    <row r="478" spans="3:5" ht="12">
      <c r="C478" s="5"/>
      <c r="D478" s="5"/>
      <c r="E478" s="5"/>
    </row>
    <row r="479" spans="3:5" ht="12">
      <c r="C479" s="5"/>
      <c r="D479" s="5"/>
      <c r="E479" s="5"/>
    </row>
    <row r="480" spans="3:5" ht="12">
      <c r="C480" s="5"/>
      <c r="D480" s="5"/>
      <c r="E480" s="5"/>
    </row>
    <row r="481" spans="3:5" ht="12">
      <c r="C481" s="5"/>
      <c r="D481" s="5"/>
      <c r="E481" s="5"/>
    </row>
    <row r="482" spans="3:5" ht="12">
      <c r="C482" s="5"/>
      <c r="D482" s="5"/>
      <c r="E482" s="5"/>
    </row>
    <row r="483" spans="3:5" ht="12">
      <c r="C483" s="5"/>
      <c r="D483" s="5"/>
      <c r="E483" s="5"/>
    </row>
    <row r="484" spans="3:5" ht="12">
      <c r="C484" s="5"/>
      <c r="D484" s="5"/>
      <c r="E484" s="5"/>
    </row>
    <row r="485" spans="3:5" ht="12">
      <c r="C485" s="5"/>
      <c r="D485" s="5"/>
      <c r="E485" s="5"/>
    </row>
    <row r="486" spans="3:5" ht="12">
      <c r="C486" s="5"/>
      <c r="D486" s="5"/>
      <c r="E486" s="5"/>
    </row>
    <row r="487" spans="3:5" ht="12">
      <c r="C487" s="5"/>
      <c r="D487" s="5"/>
      <c r="E487" s="5"/>
    </row>
    <row r="488" spans="3:5" ht="12">
      <c r="C488" s="5"/>
      <c r="D488" s="5"/>
      <c r="E488" s="5"/>
    </row>
    <row r="489" spans="3:5" ht="12">
      <c r="C489" s="5"/>
      <c r="D489" s="5"/>
      <c r="E489" s="5"/>
    </row>
    <row r="490" spans="3:5" ht="12">
      <c r="C490" s="5"/>
      <c r="D490" s="5"/>
      <c r="E490" s="5"/>
    </row>
    <row r="491" spans="3:5" ht="12">
      <c r="C491" s="5"/>
      <c r="D491" s="5"/>
      <c r="E491" s="5"/>
    </row>
    <row r="492" spans="3:5" ht="12">
      <c r="C492" s="5"/>
      <c r="D492" s="5"/>
      <c r="E492" s="5"/>
    </row>
    <row r="493" spans="3:5" ht="12">
      <c r="C493" s="5"/>
      <c r="D493" s="5"/>
      <c r="E493" s="5"/>
    </row>
    <row r="494" spans="3:5" ht="12">
      <c r="C494" s="5"/>
      <c r="D494" s="5"/>
      <c r="E494" s="5"/>
    </row>
    <row r="495" spans="3:5" ht="12">
      <c r="C495" s="5"/>
      <c r="D495" s="5"/>
      <c r="E495" s="5"/>
    </row>
    <row r="496" spans="3:5" ht="12">
      <c r="C496" s="5"/>
      <c r="D496" s="5"/>
      <c r="E496" s="5"/>
    </row>
    <row r="497" spans="3:5" ht="12">
      <c r="C497" s="5"/>
      <c r="D497" s="5"/>
      <c r="E497" s="5"/>
    </row>
    <row r="498" spans="3:5" ht="12">
      <c r="C498" s="5"/>
      <c r="D498" s="5"/>
      <c r="E498" s="5"/>
    </row>
    <row r="499" spans="3:5" ht="12">
      <c r="C499" s="5"/>
      <c r="D499" s="5"/>
      <c r="E499" s="5"/>
    </row>
    <row r="500" spans="3:5" ht="12">
      <c r="C500" s="5"/>
      <c r="D500" s="5"/>
      <c r="E500" s="5"/>
    </row>
    <row r="501" spans="3:5" ht="12">
      <c r="C501" s="5"/>
      <c r="D501" s="5"/>
      <c r="E501" s="5"/>
    </row>
    <row r="502" spans="3:5" ht="12">
      <c r="C502" s="5"/>
      <c r="D502" s="5"/>
      <c r="E502" s="5"/>
    </row>
    <row r="503" spans="3:5" ht="12">
      <c r="C503" s="5"/>
      <c r="D503" s="5"/>
      <c r="E503" s="5"/>
    </row>
    <row r="504" spans="3:5" ht="12">
      <c r="C504" s="5"/>
      <c r="D504" s="5"/>
      <c r="E504" s="5"/>
    </row>
    <row r="505" spans="3:5" ht="12">
      <c r="C505" s="5"/>
      <c r="D505" s="5"/>
      <c r="E505" s="5"/>
    </row>
    <row r="506" spans="3:5" ht="12">
      <c r="C506" s="5"/>
      <c r="D506" s="5"/>
      <c r="E506" s="5"/>
    </row>
    <row r="507" spans="3:5" ht="12">
      <c r="C507" s="5"/>
      <c r="D507" s="5"/>
      <c r="E507" s="5"/>
    </row>
    <row r="508" spans="3:5" ht="12">
      <c r="C508" s="5"/>
      <c r="D508" s="5"/>
      <c r="E508" s="5"/>
    </row>
    <row r="509" spans="3:5" ht="12">
      <c r="C509" s="5"/>
      <c r="D509" s="5"/>
      <c r="E509" s="5"/>
    </row>
    <row r="510" spans="3:5" ht="12">
      <c r="C510" s="5"/>
      <c r="D510" s="5"/>
      <c r="E510" s="5"/>
    </row>
    <row r="511" spans="3:5" ht="12">
      <c r="C511" s="5"/>
      <c r="D511" s="5"/>
      <c r="E511" s="5"/>
    </row>
    <row r="512" spans="3:5" ht="12">
      <c r="C512" s="5"/>
      <c r="D512" s="5"/>
      <c r="E512" s="5"/>
    </row>
    <row r="513" spans="3:5" ht="12">
      <c r="C513" s="5"/>
      <c r="D513" s="5"/>
      <c r="E513" s="5"/>
    </row>
    <row r="514" spans="3:5" ht="12">
      <c r="C514" s="5"/>
      <c r="D514" s="5"/>
      <c r="E514" s="5"/>
    </row>
    <row r="515" spans="3:5" ht="12">
      <c r="C515" s="5"/>
      <c r="D515" s="5"/>
      <c r="E515" s="5"/>
    </row>
    <row r="516" spans="3:5" ht="12">
      <c r="C516" s="5"/>
      <c r="D516" s="5"/>
      <c r="E516" s="5"/>
    </row>
    <row r="517" spans="3:5" ht="12">
      <c r="C517" s="5"/>
      <c r="D517" s="5"/>
      <c r="E517" s="5"/>
    </row>
    <row r="518" spans="3:5" ht="12">
      <c r="C518" s="5"/>
      <c r="D518" s="5"/>
      <c r="E518" s="5"/>
    </row>
    <row r="519" spans="3:5" ht="12">
      <c r="C519" s="5"/>
      <c r="D519" s="5"/>
      <c r="E519" s="5"/>
    </row>
    <row r="520" spans="3:5" ht="12">
      <c r="C520" s="5"/>
      <c r="D520" s="5"/>
      <c r="E520" s="5"/>
    </row>
    <row r="521" spans="3:5" ht="12">
      <c r="C521" s="5"/>
      <c r="D521" s="5"/>
      <c r="E521" s="5"/>
    </row>
    <row r="522" spans="3:5" ht="12">
      <c r="C522" s="5"/>
      <c r="D522" s="5"/>
      <c r="E522" s="5"/>
    </row>
    <row r="523" spans="3:5" ht="12">
      <c r="C523" s="5"/>
      <c r="D523" s="5"/>
      <c r="E523" s="5"/>
    </row>
    <row r="524" spans="3:5" ht="12">
      <c r="C524" s="5"/>
      <c r="D524" s="5"/>
      <c r="E524" s="5"/>
    </row>
    <row r="525" spans="3:5" ht="12">
      <c r="C525" s="5"/>
      <c r="D525" s="5"/>
      <c r="E525" s="5"/>
    </row>
    <row r="526" spans="3:5" ht="12">
      <c r="C526" s="5"/>
      <c r="D526" s="5"/>
      <c r="E526" s="5"/>
    </row>
    <row r="527" spans="3:5" ht="12">
      <c r="C527" s="5"/>
      <c r="D527" s="5"/>
      <c r="E527" s="5"/>
    </row>
    <row r="528" spans="3:5" ht="12">
      <c r="C528" s="5"/>
      <c r="D528" s="5"/>
      <c r="E528" s="5"/>
    </row>
    <row r="529" spans="3:5" ht="12">
      <c r="C529" s="5"/>
      <c r="D529" s="5"/>
      <c r="E529" s="5"/>
    </row>
    <row r="530" spans="3:5" ht="12">
      <c r="C530" s="5"/>
      <c r="D530" s="5"/>
      <c r="E530" s="5"/>
    </row>
    <row r="531" spans="3:5" ht="12">
      <c r="C531" s="5"/>
      <c r="D531" s="5"/>
      <c r="E531" s="5"/>
    </row>
    <row r="532" spans="3:5" ht="12">
      <c r="C532" s="5"/>
      <c r="D532" s="5"/>
      <c r="E532" s="5"/>
    </row>
    <row r="533" spans="3:5" ht="12">
      <c r="C533" s="5"/>
      <c r="D533" s="5"/>
      <c r="E533" s="5"/>
    </row>
    <row r="534" spans="3:5" ht="12">
      <c r="C534" s="5"/>
      <c r="D534" s="5"/>
      <c r="E534" s="5"/>
    </row>
    <row r="535" spans="3:5" ht="12">
      <c r="C535" s="5"/>
      <c r="D535" s="5"/>
      <c r="E535" s="5"/>
    </row>
    <row r="536" spans="3:5" ht="12">
      <c r="C536" s="5"/>
      <c r="D536" s="5"/>
      <c r="E536" s="5"/>
    </row>
    <row r="537" spans="3:5" ht="12">
      <c r="C537" s="5"/>
      <c r="D537" s="5"/>
      <c r="E537" s="5"/>
    </row>
    <row r="538" spans="3:5" ht="12">
      <c r="C538" s="5"/>
      <c r="D538" s="5"/>
      <c r="E538" s="5"/>
    </row>
    <row r="539" spans="3:5" ht="12">
      <c r="C539" s="5"/>
      <c r="D539" s="5"/>
      <c r="E539" s="5"/>
    </row>
    <row r="540" spans="3:5" ht="12">
      <c r="C540" s="5"/>
      <c r="D540" s="5"/>
      <c r="E540" s="5"/>
    </row>
    <row r="541" spans="3:5" ht="12">
      <c r="C541" s="5"/>
      <c r="D541" s="5"/>
      <c r="E541" s="5"/>
    </row>
    <row r="542" spans="3:5" ht="12">
      <c r="C542" s="5"/>
      <c r="D542" s="5"/>
      <c r="E542" s="5"/>
    </row>
    <row r="543" spans="3:5" ht="12">
      <c r="C543" s="5"/>
      <c r="D543" s="5"/>
      <c r="E543" s="5"/>
    </row>
    <row r="544" spans="3:5" ht="12">
      <c r="C544" s="5"/>
      <c r="D544" s="5"/>
      <c r="E544" s="5"/>
    </row>
    <row r="545" spans="3:5" ht="12">
      <c r="C545" s="5"/>
      <c r="D545" s="5"/>
      <c r="E545" s="5"/>
    </row>
    <row r="546" spans="3:5" ht="12">
      <c r="C546" s="5"/>
      <c r="D546" s="5"/>
      <c r="E546" s="5"/>
    </row>
    <row r="547" spans="3:5" ht="12">
      <c r="C547" s="5"/>
      <c r="D547" s="5"/>
      <c r="E547" s="5"/>
    </row>
    <row r="548" spans="3:5" ht="12">
      <c r="C548" s="5"/>
      <c r="D548" s="5"/>
      <c r="E548" s="5"/>
    </row>
    <row r="549" spans="3:5" ht="12">
      <c r="C549" s="5"/>
      <c r="D549" s="5"/>
      <c r="E549" s="5"/>
    </row>
    <row r="550" spans="3:5" ht="12">
      <c r="C550" s="5"/>
      <c r="D550" s="5"/>
      <c r="E550" s="5"/>
    </row>
    <row r="551" spans="3:5" ht="12">
      <c r="C551" s="5"/>
      <c r="D551" s="5"/>
      <c r="E551" s="5"/>
    </row>
    <row r="552" spans="3:5" ht="12">
      <c r="C552" s="5"/>
      <c r="D552" s="5"/>
      <c r="E552" s="5"/>
    </row>
    <row r="553" spans="3:5" ht="12">
      <c r="C553" s="5"/>
      <c r="D553" s="5"/>
      <c r="E553" s="5"/>
    </row>
    <row r="554" spans="3:5" ht="12">
      <c r="C554" s="5"/>
      <c r="D554" s="5"/>
      <c r="E554" s="5"/>
    </row>
    <row r="555" spans="3:5" ht="12">
      <c r="C555" s="5"/>
      <c r="D555" s="5"/>
      <c r="E555" s="5"/>
    </row>
    <row r="556" spans="3:5" ht="12">
      <c r="C556" s="5"/>
      <c r="D556" s="5"/>
      <c r="E556" s="5"/>
    </row>
    <row r="557" spans="3:5" ht="12">
      <c r="C557" s="5"/>
      <c r="D557" s="5"/>
      <c r="E557" s="5"/>
    </row>
    <row r="558" spans="3:5" ht="12">
      <c r="C558" s="5"/>
      <c r="D558" s="5"/>
      <c r="E558" s="5"/>
    </row>
    <row r="559" spans="3:5" ht="12">
      <c r="C559" s="5"/>
      <c r="D559" s="5"/>
      <c r="E559" s="5"/>
    </row>
    <row r="560" spans="3:5" ht="12">
      <c r="C560" s="5"/>
      <c r="D560" s="5"/>
      <c r="E560" s="5"/>
    </row>
    <row r="561" spans="3:5" ht="12">
      <c r="C561" s="5"/>
      <c r="D561" s="5"/>
      <c r="E561" s="5"/>
    </row>
    <row r="562" spans="3:5" ht="12">
      <c r="C562" s="5"/>
      <c r="D562" s="5"/>
      <c r="E562" s="5"/>
    </row>
    <row r="563" spans="3:5" ht="12">
      <c r="C563" s="5"/>
      <c r="D563" s="5"/>
      <c r="E563" s="5"/>
    </row>
    <row r="564" spans="3:5" ht="12">
      <c r="C564" s="5"/>
      <c r="D564" s="5"/>
      <c r="E564" s="5"/>
    </row>
    <row r="565" spans="3:5" ht="12">
      <c r="C565" s="5"/>
      <c r="D565" s="5"/>
      <c r="E565" s="5"/>
    </row>
    <row r="566" spans="3:5" ht="12">
      <c r="C566" s="5"/>
      <c r="D566" s="5"/>
      <c r="E566" s="5"/>
    </row>
    <row r="567" spans="3:5" ht="12">
      <c r="C567" s="5"/>
      <c r="D567" s="5"/>
      <c r="E567" s="5"/>
    </row>
    <row r="568" spans="3:5" ht="12">
      <c r="C568" s="5"/>
      <c r="D568" s="5"/>
      <c r="E568" s="5"/>
    </row>
    <row r="569" spans="3:5" ht="12">
      <c r="C569" s="5"/>
      <c r="D569" s="5"/>
      <c r="E569" s="5"/>
    </row>
    <row r="570" spans="3:5" ht="12">
      <c r="C570" s="5"/>
      <c r="D570" s="5"/>
      <c r="E570" s="5"/>
    </row>
    <row r="571" spans="3:5" ht="12">
      <c r="C571" s="5"/>
      <c r="D571" s="5"/>
      <c r="E571" s="5"/>
    </row>
    <row r="572" spans="3:5" ht="12">
      <c r="C572" s="5"/>
      <c r="D572" s="5"/>
      <c r="E572" s="5"/>
    </row>
    <row r="573" spans="3:5" ht="12">
      <c r="C573" s="5"/>
      <c r="D573" s="5"/>
      <c r="E573" s="5"/>
    </row>
    <row r="574" spans="3:5" ht="12">
      <c r="C574" s="5"/>
      <c r="D574" s="5"/>
      <c r="E574" s="5"/>
    </row>
    <row r="575" spans="3:5" ht="12">
      <c r="C575" s="5"/>
      <c r="D575" s="5"/>
      <c r="E575" s="5"/>
    </row>
    <row r="576" spans="3:5" ht="12">
      <c r="C576" s="5"/>
      <c r="D576" s="5"/>
      <c r="E576" s="5"/>
    </row>
    <row r="577" spans="3:5" ht="12">
      <c r="C577" s="5"/>
      <c r="D577" s="5"/>
      <c r="E577" s="5"/>
    </row>
    <row r="578" spans="3:5" ht="12">
      <c r="C578" s="5"/>
      <c r="D578" s="5"/>
      <c r="E578" s="5"/>
    </row>
    <row r="579" spans="3:5" ht="12">
      <c r="C579" s="5"/>
      <c r="D579" s="5"/>
      <c r="E579" s="5"/>
    </row>
    <row r="580" spans="3:5" ht="12">
      <c r="C580" s="5"/>
      <c r="D580" s="5"/>
      <c r="E580" s="5"/>
    </row>
    <row r="581" spans="3:5" ht="12">
      <c r="C581" s="5"/>
      <c r="D581" s="5"/>
      <c r="E581" s="5"/>
    </row>
    <row r="582" spans="3:5" ht="12">
      <c r="C582" s="5"/>
      <c r="D582" s="5"/>
      <c r="E582" s="5"/>
    </row>
    <row r="583" spans="3:5" ht="12">
      <c r="C583" s="5"/>
      <c r="D583" s="5"/>
      <c r="E583" s="5"/>
    </row>
    <row r="584" spans="3:5" ht="12">
      <c r="C584" s="5"/>
      <c r="D584" s="5"/>
      <c r="E584" s="5"/>
    </row>
    <row r="585" spans="3:5" ht="12">
      <c r="C585" s="5"/>
      <c r="D585" s="5"/>
      <c r="E585" s="5"/>
    </row>
    <row r="586" spans="3:5" ht="12">
      <c r="C586" s="5"/>
      <c r="D586" s="5"/>
      <c r="E586" s="5"/>
    </row>
    <row r="587" spans="3:5" ht="12">
      <c r="C587" s="5"/>
      <c r="D587" s="5"/>
      <c r="E587" s="5"/>
    </row>
    <row r="588" spans="3:5" ht="12">
      <c r="C588" s="5"/>
      <c r="D588" s="5"/>
      <c r="E588" s="5"/>
    </row>
    <row r="589" spans="3:5" ht="12">
      <c r="C589" s="5"/>
      <c r="D589" s="5"/>
      <c r="E589" s="5"/>
    </row>
    <row r="590" spans="3:5" ht="12">
      <c r="C590" s="5"/>
      <c r="D590" s="5"/>
      <c r="E590" s="5"/>
    </row>
    <row r="591" spans="3:5" ht="12">
      <c r="C591" s="5"/>
      <c r="D591" s="5"/>
      <c r="E591" s="5"/>
    </row>
    <row r="592" spans="3:5" ht="12">
      <c r="C592" s="5"/>
      <c r="D592" s="5"/>
      <c r="E592" s="5"/>
    </row>
    <row r="593" spans="3:5" ht="12">
      <c r="C593" s="5"/>
      <c r="D593" s="5"/>
      <c r="E593" s="5"/>
    </row>
    <row r="594" spans="3:5" ht="12">
      <c r="C594" s="5"/>
      <c r="D594" s="5"/>
      <c r="E594" s="5"/>
    </row>
    <row r="595" spans="3:5" ht="12">
      <c r="C595" s="5"/>
      <c r="D595" s="5"/>
      <c r="E595" s="5"/>
    </row>
    <row r="596" spans="3:5" ht="12">
      <c r="C596" s="5"/>
      <c r="D596" s="5"/>
      <c r="E596" s="5"/>
    </row>
    <row r="597" spans="3:5" ht="12">
      <c r="C597" s="5"/>
      <c r="D597" s="5"/>
      <c r="E597" s="5"/>
    </row>
    <row r="598" spans="3:5" ht="12">
      <c r="C598" s="5"/>
      <c r="D598" s="5"/>
      <c r="E598" s="5"/>
    </row>
    <row r="599" spans="3:5" ht="12">
      <c r="C599" s="5"/>
      <c r="D599" s="5"/>
      <c r="E599" s="5"/>
    </row>
    <row r="600" spans="3:5" ht="12">
      <c r="C600" s="5"/>
      <c r="D600" s="5"/>
      <c r="E600" s="5"/>
    </row>
    <row r="601" spans="3:5" ht="12">
      <c r="C601" s="5"/>
      <c r="D601" s="5"/>
      <c r="E601" s="5"/>
    </row>
    <row r="602" spans="3:5" ht="12">
      <c r="C602" s="5"/>
      <c r="D602" s="5"/>
      <c r="E602" s="5"/>
    </row>
    <row r="603" spans="3:5" ht="12">
      <c r="C603" s="5"/>
      <c r="D603" s="5"/>
      <c r="E603" s="5"/>
    </row>
    <row r="604" spans="3:5" ht="12">
      <c r="C604" s="5"/>
      <c r="D604" s="5"/>
      <c r="E604" s="5"/>
    </row>
    <row r="605" spans="3:5" ht="12">
      <c r="C605" s="5"/>
      <c r="D605" s="5"/>
      <c r="E605" s="5"/>
    </row>
    <row r="606" spans="3:5" ht="12">
      <c r="C606" s="5"/>
      <c r="D606" s="5"/>
      <c r="E606" s="5"/>
    </row>
    <row r="607" spans="3:5" ht="12">
      <c r="C607" s="5"/>
      <c r="D607" s="5"/>
      <c r="E607" s="5"/>
    </row>
    <row r="608" spans="3:5" ht="12">
      <c r="C608" s="5"/>
      <c r="D608" s="5"/>
      <c r="E608" s="5"/>
    </row>
    <row r="609" spans="3:5" ht="12">
      <c r="C609" s="5"/>
      <c r="D609" s="5"/>
      <c r="E609" s="5"/>
    </row>
    <row r="610" spans="3:5" ht="12">
      <c r="C610" s="5"/>
      <c r="D610" s="5"/>
      <c r="E610" s="5"/>
    </row>
    <row r="611" spans="3:5" ht="12">
      <c r="C611" s="5"/>
      <c r="D611" s="5"/>
      <c r="E611" s="5"/>
    </row>
    <row r="612" spans="3:5" ht="12">
      <c r="C612" s="5"/>
      <c r="D612" s="5"/>
      <c r="E612" s="5"/>
    </row>
    <row r="613" spans="3:5" ht="12">
      <c r="C613" s="5"/>
      <c r="D613" s="5"/>
      <c r="E613" s="5"/>
    </row>
    <row r="614" spans="3:5" ht="12">
      <c r="C614" s="5"/>
      <c r="D614" s="5"/>
      <c r="E614" s="5"/>
    </row>
    <row r="615" spans="3:5" ht="12">
      <c r="C615" s="5"/>
      <c r="D615" s="5"/>
      <c r="E615" s="5"/>
    </row>
    <row r="616" spans="3:5" ht="12">
      <c r="C616" s="5"/>
      <c r="D616" s="5"/>
      <c r="E616" s="5"/>
    </row>
    <row r="617" spans="3:5" ht="12">
      <c r="C617" s="5"/>
      <c r="D617" s="5"/>
      <c r="E617" s="5"/>
    </row>
    <row r="618" spans="3:5" ht="12">
      <c r="C618" s="5"/>
      <c r="D618" s="5"/>
      <c r="E618" s="5"/>
    </row>
    <row r="619" spans="3:5" ht="12">
      <c r="C619" s="5"/>
      <c r="D619" s="5"/>
      <c r="E619" s="5"/>
    </row>
    <row r="620" spans="3:5" ht="12">
      <c r="C620" s="5"/>
      <c r="D620" s="5"/>
      <c r="E620" s="5"/>
    </row>
    <row r="621" spans="3:5" ht="12">
      <c r="C621" s="5"/>
      <c r="D621" s="5"/>
      <c r="E621" s="5"/>
    </row>
    <row r="622" spans="3:5" ht="12">
      <c r="C622" s="5"/>
      <c r="D622" s="5"/>
      <c r="E622" s="5"/>
    </row>
    <row r="623" spans="3:5" ht="12">
      <c r="C623" s="5"/>
      <c r="D623" s="5"/>
      <c r="E623" s="5"/>
    </row>
    <row r="624" spans="3:5" ht="12">
      <c r="C624" s="5"/>
      <c r="D624" s="5"/>
      <c r="E624" s="5"/>
    </row>
    <row r="625" spans="3:5" ht="12">
      <c r="C625" s="5"/>
      <c r="D625" s="5"/>
      <c r="E625" s="5"/>
    </row>
    <row r="626" spans="3:5" ht="12">
      <c r="C626" s="5"/>
      <c r="D626" s="5"/>
      <c r="E626" s="5"/>
    </row>
    <row r="627" spans="3:5" ht="12">
      <c r="C627" s="5"/>
      <c r="D627" s="5"/>
      <c r="E627" s="5"/>
    </row>
    <row r="628" spans="3:5" ht="12">
      <c r="C628" s="5"/>
      <c r="D628" s="5"/>
      <c r="E628" s="5"/>
    </row>
    <row r="629" spans="3:5" ht="12">
      <c r="C629" s="5"/>
      <c r="D629" s="5"/>
      <c r="E629" s="5"/>
    </row>
    <row r="630" spans="3:5" ht="12">
      <c r="C630" s="5"/>
      <c r="D630" s="5"/>
      <c r="E630" s="5"/>
    </row>
    <row r="631" spans="3:5" ht="12">
      <c r="C631" s="5"/>
      <c r="D631" s="5"/>
      <c r="E631" s="5"/>
    </row>
    <row r="632" spans="3:5" ht="12">
      <c r="C632" s="5"/>
      <c r="D632" s="5"/>
      <c r="E632" s="5"/>
    </row>
    <row r="633" spans="3:5" ht="12">
      <c r="C633" s="5"/>
      <c r="D633" s="5"/>
      <c r="E633" s="5"/>
    </row>
    <row r="634" spans="3:5" ht="12">
      <c r="C634" s="5"/>
      <c r="D634" s="5"/>
      <c r="E634" s="5"/>
    </row>
    <row r="635" spans="3:5" ht="12">
      <c r="C635" s="5"/>
      <c r="D635" s="5"/>
      <c r="E635" s="5"/>
    </row>
    <row r="636" spans="3:5" ht="12">
      <c r="C636" s="5"/>
      <c r="D636" s="5"/>
      <c r="E636" s="5"/>
    </row>
    <row r="637" spans="3:5" ht="12">
      <c r="C637" s="5"/>
      <c r="D637" s="5"/>
      <c r="E637" s="5"/>
    </row>
    <row r="638" spans="3:5" ht="12">
      <c r="C638" s="5"/>
      <c r="D638" s="5"/>
      <c r="E638" s="5"/>
    </row>
    <row r="639" spans="3:5" ht="12">
      <c r="C639" s="5"/>
      <c r="D639" s="5"/>
      <c r="E639" s="5"/>
    </row>
    <row r="640" spans="3:5" ht="12">
      <c r="C640" s="5"/>
      <c r="D640" s="5"/>
      <c r="E640" s="5"/>
    </row>
    <row r="641" spans="3:5" ht="12">
      <c r="C641" s="5"/>
      <c r="D641" s="5"/>
      <c r="E641" s="5"/>
    </row>
    <row r="642" spans="3:5" ht="12">
      <c r="C642" s="5"/>
      <c r="D642" s="5"/>
      <c r="E642" s="5"/>
    </row>
    <row r="643" spans="3:5" ht="12">
      <c r="C643" s="5"/>
      <c r="D643" s="5"/>
      <c r="E643" s="5"/>
    </row>
    <row r="644" spans="3:5" ht="12">
      <c r="C644" s="5"/>
      <c r="D644" s="5"/>
      <c r="E644" s="5"/>
    </row>
    <row r="645" spans="3:5" ht="12">
      <c r="C645" s="5"/>
      <c r="D645" s="5"/>
      <c r="E645" s="5"/>
    </row>
    <row r="646" spans="3:5" ht="12">
      <c r="C646" s="5"/>
      <c r="D646" s="5"/>
      <c r="E646" s="5"/>
    </row>
    <row r="647" spans="3:5" ht="12">
      <c r="C647" s="5"/>
      <c r="D647" s="5"/>
      <c r="E647" s="5"/>
    </row>
    <row r="648" spans="3:5" ht="12">
      <c r="C648" s="5"/>
      <c r="D648" s="5"/>
      <c r="E648" s="5"/>
    </row>
    <row r="649" spans="3:5" ht="12">
      <c r="C649" s="5"/>
      <c r="D649" s="5"/>
      <c r="E649" s="5"/>
    </row>
    <row r="650" spans="3:5" ht="12">
      <c r="C650" s="5"/>
      <c r="D650" s="5"/>
      <c r="E650" s="5"/>
    </row>
    <row r="651" spans="3:5" ht="12">
      <c r="C651" s="5"/>
      <c r="D651" s="5"/>
      <c r="E651" s="5"/>
    </row>
    <row r="652" spans="3:5" ht="12">
      <c r="C652" s="5"/>
      <c r="D652" s="5"/>
      <c r="E652" s="5"/>
    </row>
    <row r="653" spans="3:5" ht="12">
      <c r="C653" s="5"/>
      <c r="D653" s="5"/>
      <c r="E653" s="5"/>
    </row>
    <row r="654" spans="3:5" ht="12">
      <c r="C654" s="5"/>
      <c r="D654" s="5"/>
      <c r="E654" s="5"/>
    </row>
    <row r="655" spans="3:5" ht="12">
      <c r="C655" s="5"/>
      <c r="D655" s="5"/>
      <c r="E655" s="5"/>
    </row>
    <row r="656" spans="3:5" ht="12">
      <c r="C656" s="5"/>
      <c r="D656" s="5"/>
      <c r="E656" s="5"/>
    </row>
    <row r="657" spans="3:5" ht="12">
      <c r="C657" s="5"/>
      <c r="D657" s="5"/>
      <c r="E657" s="5"/>
    </row>
    <row r="658" spans="3:5" ht="12">
      <c r="C658" s="5"/>
      <c r="D658" s="5"/>
      <c r="E658" s="5"/>
    </row>
    <row r="659" spans="3:5" ht="12">
      <c r="C659" s="5"/>
      <c r="D659" s="5"/>
      <c r="E659" s="5"/>
    </row>
    <row r="660" spans="3:5" ht="12">
      <c r="C660" s="5"/>
      <c r="D660" s="5"/>
      <c r="E660" s="5"/>
    </row>
    <row r="661" spans="3:5" ht="12">
      <c r="C661" s="5"/>
      <c r="D661" s="5"/>
      <c r="E661" s="5"/>
    </row>
    <row r="662" spans="3:5" ht="12">
      <c r="C662" s="5"/>
      <c r="D662" s="5"/>
      <c r="E662" s="5"/>
    </row>
    <row r="663" spans="3:5" ht="12">
      <c r="C663" s="5"/>
      <c r="D663" s="5"/>
      <c r="E663" s="5"/>
    </row>
    <row r="664" spans="3:5" ht="12">
      <c r="C664" s="5"/>
      <c r="D664" s="5"/>
      <c r="E664" s="5"/>
    </row>
    <row r="665" spans="3:5" ht="12">
      <c r="C665" s="5"/>
      <c r="D665" s="5"/>
      <c r="E665" s="5"/>
    </row>
    <row r="666" spans="3:5" ht="12">
      <c r="C666" s="5"/>
      <c r="D666" s="5"/>
      <c r="E666" s="5"/>
    </row>
    <row r="667" spans="3:5" ht="12">
      <c r="C667" s="5"/>
      <c r="D667" s="5"/>
      <c r="E667" s="5"/>
    </row>
    <row r="668" spans="3:5" ht="12">
      <c r="C668" s="5"/>
      <c r="D668" s="5"/>
      <c r="E668" s="5"/>
    </row>
    <row r="669" spans="3:5" ht="12">
      <c r="C669" s="5"/>
      <c r="D669" s="5"/>
      <c r="E669" s="5"/>
    </row>
    <row r="670" spans="3:5" ht="12">
      <c r="C670" s="5"/>
      <c r="D670" s="5"/>
      <c r="E670" s="5"/>
    </row>
    <row r="671" spans="3:5" ht="12">
      <c r="C671" s="5"/>
      <c r="D671" s="5"/>
      <c r="E671" s="5"/>
    </row>
    <row r="672" spans="3:5" ht="12">
      <c r="C672" s="5"/>
      <c r="D672" s="5"/>
      <c r="E672" s="5"/>
    </row>
    <row r="673" spans="3:5" ht="12">
      <c r="C673" s="5"/>
      <c r="D673" s="5"/>
      <c r="E673" s="5"/>
    </row>
    <row r="674" spans="3:5" ht="12">
      <c r="C674" s="5"/>
      <c r="D674" s="5"/>
      <c r="E674" s="5"/>
    </row>
    <row r="675" spans="3:5" ht="12">
      <c r="C675" s="5"/>
      <c r="D675" s="5"/>
      <c r="E675" s="5"/>
    </row>
    <row r="676" spans="3:5" ht="12">
      <c r="C676" s="5"/>
      <c r="D676" s="5"/>
      <c r="E676" s="5"/>
    </row>
    <row r="677" spans="3:5" ht="12">
      <c r="C677" s="5"/>
      <c r="D677" s="5"/>
      <c r="E677" s="5"/>
    </row>
    <row r="678" spans="3:5" ht="12">
      <c r="C678" s="5"/>
      <c r="D678" s="5"/>
      <c r="E678" s="5"/>
    </row>
    <row r="679" spans="3:5" ht="12">
      <c r="C679" s="5"/>
      <c r="D679" s="5"/>
      <c r="E679" s="5"/>
    </row>
    <row r="680" spans="3:5" ht="12">
      <c r="C680" s="5"/>
      <c r="D680" s="5"/>
      <c r="E680" s="5"/>
    </row>
    <row r="681" spans="3:5" ht="12">
      <c r="C681" s="5"/>
      <c r="D681" s="5"/>
      <c r="E681" s="5"/>
    </row>
    <row r="682" spans="3:5" ht="12">
      <c r="C682" s="5"/>
      <c r="D682" s="5"/>
      <c r="E682" s="5"/>
    </row>
    <row r="683" spans="3:5" ht="12">
      <c r="C683" s="5"/>
      <c r="D683" s="5"/>
      <c r="E683" s="5"/>
    </row>
    <row r="684" spans="3:5" ht="12">
      <c r="C684" s="5"/>
      <c r="D684" s="5"/>
      <c r="E684" s="5"/>
    </row>
    <row r="685" spans="3:5" ht="12">
      <c r="C685" s="5"/>
      <c r="D685" s="5"/>
      <c r="E685" s="5"/>
    </row>
    <row r="686" spans="3:5" ht="12">
      <c r="C686" s="5"/>
      <c r="D686" s="5"/>
      <c r="E686" s="5"/>
    </row>
    <row r="687" spans="3:5" ht="12">
      <c r="C687" s="5"/>
      <c r="D687" s="5"/>
      <c r="E687" s="5"/>
    </row>
    <row r="688" spans="3:5" ht="12">
      <c r="C688" s="5"/>
      <c r="D688" s="5"/>
      <c r="E688" s="5"/>
    </row>
    <row r="689" spans="3:5" ht="12">
      <c r="C689" s="5"/>
      <c r="D689" s="5"/>
      <c r="E689" s="5"/>
    </row>
    <row r="690" spans="3:5" ht="12">
      <c r="C690" s="5"/>
      <c r="D690" s="5"/>
      <c r="E690" s="5"/>
    </row>
    <row r="691" spans="3:5" ht="12">
      <c r="C691" s="5"/>
      <c r="D691" s="5"/>
      <c r="E691" s="5"/>
    </row>
    <row r="692" spans="3:5" ht="12">
      <c r="C692" s="5"/>
      <c r="D692" s="5"/>
      <c r="E692" s="5"/>
    </row>
    <row r="693" spans="3:5" ht="12">
      <c r="C693" s="5"/>
      <c r="D693" s="5"/>
      <c r="E693" s="5"/>
    </row>
    <row r="694" spans="3:5" ht="12">
      <c r="C694" s="5"/>
      <c r="D694" s="5"/>
      <c r="E694" s="5"/>
    </row>
    <row r="695" spans="3:5" ht="12">
      <c r="C695" s="5"/>
      <c r="D695" s="5"/>
      <c r="E695" s="5"/>
    </row>
    <row r="696" spans="3:5" ht="12">
      <c r="C696" s="5"/>
      <c r="D696" s="5"/>
      <c r="E696" s="5"/>
    </row>
    <row r="697" spans="3:5" ht="12">
      <c r="C697" s="5"/>
      <c r="D697" s="5"/>
      <c r="E697" s="5"/>
    </row>
    <row r="698" spans="3:5" ht="12">
      <c r="C698" s="5"/>
      <c r="D698" s="5"/>
      <c r="E698" s="5"/>
    </row>
    <row r="699" spans="3:5" ht="12">
      <c r="C699" s="5"/>
      <c r="D699" s="5"/>
      <c r="E699" s="5"/>
    </row>
    <row r="700" spans="3:5" ht="12">
      <c r="C700" s="5"/>
      <c r="D700" s="5"/>
      <c r="E700" s="5"/>
    </row>
    <row r="701" spans="3:5" ht="12">
      <c r="C701" s="5"/>
      <c r="D701" s="5"/>
      <c r="E701" s="5"/>
    </row>
    <row r="702" spans="3:5" ht="12">
      <c r="C702" s="5"/>
      <c r="D702" s="5"/>
      <c r="E702" s="5"/>
    </row>
    <row r="703" spans="3:5" ht="12">
      <c r="C703" s="5"/>
      <c r="D703" s="5"/>
      <c r="E703" s="5"/>
    </row>
    <row r="704" spans="3:5" ht="12">
      <c r="C704" s="5"/>
      <c r="D704" s="5"/>
      <c r="E704" s="5"/>
    </row>
    <row r="705" spans="3:5" ht="12">
      <c r="C705" s="5"/>
      <c r="D705" s="5"/>
      <c r="E705" s="5"/>
    </row>
    <row r="706" spans="3:5" ht="12">
      <c r="C706" s="5"/>
      <c r="D706" s="5"/>
      <c r="E706" s="5"/>
    </row>
    <row r="707" spans="3:5" ht="12">
      <c r="C707" s="5"/>
      <c r="D707" s="5"/>
      <c r="E707" s="5"/>
    </row>
    <row r="708" spans="3:5" ht="12">
      <c r="C708" s="5"/>
      <c r="D708" s="5"/>
      <c r="E708" s="5"/>
    </row>
    <row r="709" spans="3:5" ht="12">
      <c r="C709" s="5"/>
      <c r="D709" s="5"/>
      <c r="E709" s="5"/>
    </row>
    <row r="710" spans="3:5" ht="12">
      <c r="C710" s="5"/>
      <c r="D710" s="5"/>
      <c r="E710" s="5"/>
    </row>
    <row r="711" spans="3:5" ht="12">
      <c r="C711" s="5"/>
      <c r="D711" s="5"/>
      <c r="E711" s="5"/>
    </row>
    <row r="712" spans="3:5" ht="12">
      <c r="C712" s="5"/>
      <c r="D712" s="5"/>
      <c r="E712" s="5"/>
    </row>
    <row r="713" spans="3:5" ht="12">
      <c r="C713" s="5"/>
      <c r="D713" s="5"/>
      <c r="E713" s="5"/>
    </row>
    <row r="714" spans="3:5" ht="12">
      <c r="C714" s="5"/>
      <c r="D714" s="5"/>
      <c r="E714" s="5"/>
    </row>
    <row r="715" spans="3:5" ht="12">
      <c r="C715" s="5"/>
      <c r="D715" s="5"/>
      <c r="E715" s="5"/>
    </row>
    <row r="716" spans="3:5" ht="12">
      <c r="C716" s="5"/>
      <c r="D716" s="5"/>
      <c r="E716" s="5"/>
    </row>
    <row r="717" spans="3:5" ht="12">
      <c r="C717" s="5"/>
      <c r="D717" s="5"/>
      <c r="E717" s="5"/>
    </row>
    <row r="718" spans="3:5" ht="12">
      <c r="C718" s="5"/>
      <c r="D718" s="5"/>
      <c r="E718" s="5"/>
    </row>
    <row r="719" spans="3:5" ht="12">
      <c r="C719" s="5"/>
      <c r="D719" s="5"/>
      <c r="E719" s="5"/>
    </row>
    <row r="720" spans="3:5" ht="12">
      <c r="C720" s="5"/>
      <c r="D720" s="5"/>
      <c r="E720" s="5"/>
    </row>
    <row r="721" spans="3:5" ht="12">
      <c r="C721" s="5"/>
      <c r="D721" s="5"/>
      <c r="E721" s="5"/>
    </row>
    <row r="722" spans="3:5" ht="12">
      <c r="C722" s="5"/>
      <c r="D722" s="5"/>
      <c r="E722" s="5"/>
    </row>
    <row r="723" spans="3:5" ht="12">
      <c r="C723" s="5"/>
      <c r="D723" s="5"/>
      <c r="E723" s="5"/>
    </row>
    <row r="724" spans="3:5" ht="12">
      <c r="C724" s="5"/>
      <c r="D724" s="5"/>
      <c r="E724" s="5"/>
    </row>
    <row r="725" spans="3:5" ht="12">
      <c r="C725" s="5"/>
      <c r="D725" s="5"/>
      <c r="E725" s="5"/>
    </row>
    <row r="726" spans="3:5" ht="12">
      <c r="C726" s="5"/>
      <c r="D726" s="5"/>
      <c r="E726" s="5"/>
    </row>
    <row r="727" spans="3:5" ht="12">
      <c r="C727" s="5"/>
      <c r="D727" s="5"/>
      <c r="E727" s="5"/>
    </row>
    <row r="728" spans="3:5" ht="12">
      <c r="C728" s="5"/>
      <c r="D728" s="5"/>
      <c r="E728" s="5"/>
    </row>
    <row r="729" spans="3:5" ht="12">
      <c r="C729" s="5"/>
      <c r="D729" s="5"/>
      <c r="E729" s="5"/>
    </row>
    <row r="730" spans="3:5" ht="12">
      <c r="C730" s="5"/>
      <c r="D730" s="5"/>
      <c r="E730" s="5"/>
    </row>
    <row r="731" spans="3:5" ht="12">
      <c r="C731" s="5"/>
      <c r="D731" s="5"/>
      <c r="E731" s="5"/>
    </row>
    <row r="732" spans="3:5" ht="12">
      <c r="C732" s="5"/>
      <c r="D732" s="5"/>
      <c r="E732" s="5"/>
    </row>
    <row r="733" spans="3:5" ht="12">
      <c r="C733" s="5"/>
      <c r="D733" s="5"/>
      <c r="E733" s="5"/>
    </row>
    <row r="734" spans="3:5" ht="12">
      <c r="C734" s="5"/>
      <c r="D734" s="5"/>
      <c r="E734" s="5"/>
    </row>
    <row r="735" spans="3:5" ht="12">
      <c r="C735" s="5"/>
      <c r="D735" s="5"/>
      <c r="E735" s="5"/>
    </row>
    <row r="736" spans="3:5" ht="12">
      <c r="C736" s="5"/>
      <c r="D736" s="5"/>
      <c r="E736" s="5"/>
    </row>
    <row r="737" spans="3:5" ht="12">
      <c r="C737" s="5"/>
      <c r="D737" s="5"/>
      <c r="E737" s="5"/>
    </row>
    <row r="738" spans="3:5" ht="12">
      <c r="C738" s="5"/>
      <c r="D738" s="5"/>
      <c r="E738" s="5"/>
    </row>
    <row r="739" spans="3:5" ht="12">
      <c r="C739" s="5"/>
      <c r="D739" s="5"/>
      <c r="E739" s="5"/>
    </row>
    <row r="740" spans="3:5" ht="12">
      <c r="C740" s="5"/>
      <c r="D740" s="5"/>
      <c r="E740" s="5"/>
    </row>
    <row r="741" spans="3:5" ht="12">
      <c r="C741" s="5"/>
      <c r="D741" s="5"/>
      <c r="E741" s="5"/>
    </row>
    <row r="742" spans="3:5" ht="12">
      <c r="C742" s="5"/>
      <c r="D742" s="5"/>
      <c r="E742" s="5"/>
    </row>
    <row r="743" spans="3:5" ht="12">
      <c r="C743" s="5"/>
      <c r="D743" s="5"/>
      <c r="E743" s="5"/>
    </row>
    <row r="744" spans="3:5" ht="12">
      <c r="C744" s="5"/>
      <c r="D744" s="5"/>
      <c r="E744" s="5"/>
    </row>
    <row r="745" spans="3:5" ht="12">
      <c r="C745" s="5"/>
      <c r="D745" s="5"/>
      <c r="E745" s="5"/>
    </row>
    <row r="746" spans="3:5" ht="12">
      <c r="C746" s="5"/>
      <c r="D746" s="5"/>
      <c r="E746" s="5"/>
    </row>
    <row r="747" spans="3:5" ht="12">
      <c r="C747" s="5"/>
      <c r="D747" s="5"/>
      <c r="E747" s="5"/>
    </row>
    <row r="748" spans="3:5" ht="12">
      <c r="C748" s="5"/>
      <c r="D748" s="5"/>
      <c r="E748" s="5"/>
    </row>
    <row r="749" spans="3:5" ht="12">
      <c r="C749" s="5"/>
      <c r="D749" s="5"/>
      <c r="E749" s="5"/>
    </row>
    <row r="750" spans="3:5" ht="12">
      <c r="C750" s="5"/>
      <c r="D750" s="5"/>
      <c r="E750" s="5"/>
    </row>
    <row r="751" spans="3:5" ht="12">
      <c r="C751" s="5"/>
      <c r="D751" s="5"/>
      <c r="E751" s="5"/>
    </row>
    <row r="752" spans="3:5" ht="12">
      <c r="C752" s="5"/>
      <c r="D752" s="5"/>
      <c r="E752" s="5"/>
    </row>
    <row r="753" spans="3:5" ht="12">
      <c r="C753" s="5"/>
      <c r="D753" s="5"/>
      <c r="E753" s="5"/>
    </row>
    <row r="754" spans="3:5" ht="12">
      <c r="C754" s="5"/>
      <c r="D754" s="5"/>
      <c r="E754" s="5"/>
    </row>
    <row r="755" spans="3:5" ht="12">
      <c r="C755" s="5"/>
      <c r="D755" s="5"/>
      <c r="E755" s="5"/>
    </row>
    <row r="756" spans="3:5" ht="12">
      <c r="C756" s="5"/>
      <c r="D756" s="5"/>
      <c r="E756" s="5"/>
    </row>
    <row r="757" spans="3:5" ht="12">
      <c r="C757" s="5"/>
      <c r="D757" s="5"/>
      <c r="E757" s="5"/>
    </row>
    <row r="758" spans="3:5" ht="12">
      <c r="C758" s="5"/>
      <c r="D758" s="5"/>
      <c r="E758" s="5"/>
    </row>
    <row r="759" spans="3:5" ht="12">
      <c r="C759" s="5"/>
      <c r="D759" s="5"/>
      <c r="E759" s="5"/>
    </row>
    <row r="760" spans="3:5" ht="12">
      <c r="C760" s="5"/>
      <c r="D760" s="5"/>
      <c r="E760" s="5"/>
    </row>
    <row r="761" spans="3:5" ht="12">
      <c r="C761" s="5"/>
      <c r="D761" s="5"/>
      <c r="E761" s="5"/>
    </row>
    <row r="762" spans="3:5" ht="12">
      <c r="C762" s="5"/>
      <c r="D762" s="5"/>
      <c r="E762" s="5"/>
    </row>
    <row r="763" spans="3:5" ht="12">
      <c r="C763" s="5"/>
      <c r="D763" s="5"/>
      <c r="E763" s="5"/>
    </row>
    <row r="764" spans="3:5" ht="12">
      <c r="C764" s="5"/>
      <c r="D764" s="5"/>
      <c r="E764" s="5"/>
    </row>
    <row r="765" spans="3:5" ht="12">
      <c r="C765" s="5"/>
      <c r="D765" s="5"/>
      <c r="E765" s="5"/>
    </row>
    <row r="766" spans="3:5" ht="12">
      <c r="C766" s="5"/>
      <c r="D766" s="5"/>
      <c r="E766" s="5"/>
    </row>
    <row r="767" spans="3:5" ht="12">
      <c r="C767" s="5"/>
      <c r="D767" s="5"/>
      <c r="E767" s="5"/>
    </row>
    <row r="768" spans="3:5" ht="12">
      <c r="C768" s="5"/>
      <c r="D768" s="5"/>
      <c r="E768" s="5"/>
    </row>
    <row r="769" spans="3:5" ht="12">
      <c r="C769" s="5"/>
      <c r="D769" s="5"/>
      <c r="E769" s="5"/>
    </row>
    <row r="770" spans="3:5" ht="12">
      <c r="C770" s="5"/>
      <c r="D770" s="5"/>
      <c r="E770" s="5"/>
    </row>
    <row r="771" spans="3:5" ht="12">
      <c r="C771" s="5"/>
      <c r="D771" s="5"/>
      <c r="E771" s="5"/>
    </row>
    <row r="772" spans="3:5" ht="12">
      <c r="C772" s="5"/>
      <c r="D772" s="5"/>
      <c r="E772" s="5"/>
    </row>
    <row r="773" spans="3:5" ht="12">
      <c r="C773" s="5"/>
      <c r="D773" s="5"/>
      <c r="E773" s="5"/>
    </row>
    <row r="774" spans="3:5" ht="12">
      <c r="C774" s="5"/>
      <c r="D774" s="5"/>
      <c r="E774" s="5"/>
    </row>
    <row r="775" spans="3:5" ht="12">
      <c r="C775" s="5"/>
      <c r="D775" s="5"/>
      <c r="E775" s="5"/>
    </row>
    <row r="776" spans="3:5" ht="12">
      <c r="C776" s="5"/>
      <c r="D776" s="5"/>
      <c r="E776" s="5"/>
    </row>
    <row r="777" spans="3:5" ht="12">
      <c r="C777" s="5"/>
      <c r="D777" s="5"/>
      <c r="E777" s="5"/>
    </row>
    <row r="778" spans="3:5" ht="12">
      <c r="C778" s="5"/>
      <c r="D778" s="5"/>
      <c r="E778" s="5"/>
    </row>
    <row r="779" spans="3:5" ht="12">
      <c r="C779" s="5"/>
      <c r="D779" s="5"/>
      <c r="E779" s="5"/>
    </row>
    <row r="780" spans="3:5" ht="12">
      <c r="C780" s="5"/>
      <c r="D780" s="5"/>
      <c r="E780" s="5"/>
    </row>
    <row r="781" spans="3:5" ht="12">
      <c r="C781" s="5"/>
      <c r="D781" s="5"/>
      <c r="E781" s="5"/>
    </row>
    <row r="782" spans="3:5" ht="12">
      <c r="C782" s="5"/>
      <c r="D782" s="5"/>
      <c r="E782" s="5"/>
    </row>
    <row r="783" spans="3:5" ht="12">
      <c r="C783" s="5"/>
      <c r="D783" s="5"/>
      <c r="E783" s="5"/>
    </row>
    <row r="784" spans="3:5" ht="12">
      <c r="C784" s="5"/>
      <c r="D784" s="5"/>
      <c r="E784" s="5"/>
    </row>
    <row r="785" spans="3:5" ht="12">
      <c r="C785" s="5"/>
      <c r="D785" s="5"/>
      <c r="E785" s="5"/>
    </row>
    <row r="786" spans="3:5" ht="12">
      <c r="C786" s="5"/>
      <c r="D786" s="5"/>
      <c r="E786" s="5"/>
    </row>
    <row r="787" spans="3:5" ht="12">
      <c r="C787" s="5"/>
      <c r="D787" s="5"/>
      <c r="E787" s="5"/>
    </row>
    <row r="788" spans="3:5" ht="12">
      <c r="C788" s="5"/>
      <c r="D788" s="5"/>
      <c r="E788" s="5"/>
    </row>
    <row r="789" spans="3:5" ht="12">
      <c r="C789" s="5"/>
      <c r="D789" s="5"/>
      <c r="E789" s="5"/>
    </row>
    <row r="790" spans="3:5" ht="12">
      <c r="C790" s="5"/>
      <c r="D790" s="5"/>
      <c r="E790" s="5"/>
    </row>
    <row r="791" spans="3:5" ht="12">
      <c r="C791" s="5"/>
      <c r="D791" s="5"/>
      <c r="E791" s="5"/>
    </row>
    <row r="792" spans="3:5" ht="12">
      <c r="C792" s="5"/>
      <c r="D792" s="5"/>
      <c r="E792" s="5"/>
    </row>
    <row r="793" spans="3:5" ht="12">
      <c r="C793" s="5"/>
      <c r="D793" s="5"/>
      <c r="E793" s="5"/>
    </row>
    <row r="794" spans="3:5" ht="12">
      <c r="C794" s="5"/>
      <c r="D794" s="5"/>
      <c r="E794" s="5"/>
    </row>
    <row r="795" spans="3:5" ht="12">
      <c r="C795" s="5"/>
      <c r="D795" s="5"/>
      <c r="E795" s="5"/>
    </row>
    <row r="796" spans="3:5" ht="12">
      <c r="C796" s="5"/>
      <c r="D796" s="5"/>
      <c r="E796" s="5"/>
    </row>
    <row r="797" spans="3:5" ht="12">
      <c r="C797" s="5"/>
      <c r="D797" s="5"/>
      <c r="E797" s="5"/>
    </row>
    <row r="798" spans="3:5" ht="12">
      <c r="C798" s="5"/>
      <c r="D798" s="5"/>
      <c r="E798" s="5"/>
    </row>
    <row r="799" spans="3:5" ht="12">
      <c r="C799" s="5"/>
      <c r="D799" s="5"/>
      <c r="E799" s="5"/>
    </row>
    <row r="800" spans="3:5" ht="12">
      <c r="C800" s="5"/>
      <c r="D800" s="5"/>
      <c r="E800" s="5"/>
    </row>
    <row r="801" spans="3:5" ht="12">
      <c r="C801" s="5"/>
      <c r="D801" s="5"/>
      <c r="E801" s="5"/>
    </row>
    <row r="802" spans="3:5" ht="12">
      <c r="C802" s="5"/>
      <c r="D802" s="5"/>
      <c r="E802" s="5"/>
    </row>
    <row r="803" spans="3:5" ht="12">
      <c r="C803" s="5"/>
      <c r="D803" s="5"/>
      <c r="E803" s="5"/>
    </row>
    <row r="804" spans="3:5" ht="12">
      <c r="C804" s="5"/>
      <c r="D804" s="5"/>
      <c r="E804" s="5"/>
    </row>
    <row r="805" spans="3:5" ht="12">
      <c r="C805" s="5"/>
      <c r="D805" s="5"/>
      <c r="E805" s="5"/>
    </row>
    <row r="806" spans="3:5" ht="12">
      <c r="C806" s="5"/>
      <c r="D806" s="5"/>
      <c r="E806" s="5"/>
    </row>
    <row r="807" spans="3:5" ht="12">
      <c r="C807" s="5"/>
      <c r="D807" s="5"/>
      <c r="E807" s="5"/>
    </row>
    <row r="808" spans="3:5" ht="12">
      <c r="C808" s="5"/>
      <c r="D808" s="5"/>
      <c r="E808" s="5"/>
    </row>
    <row r="809" spans="3:5" ht="12">
      <c r="C809" s="5"/>
      <c r="D809" s="5"/>
      <c r="E809" s="5"/>
    </row>
    <row r="810" spans="3:5" ht="12">
      <c r="C810" s="5"/>
      <c r="D810" s="5"/>
      <c r="E810" s="5"/>
    </row>
    <row r="811" spans="3:5" ht="12">
      <c r="C811" s="5"/>
      <c r="D811" s="5"/>
      <c r="E811" s="5"/>
    </row>
    <row r="812" spans="3:5" ht="12">
      <c r="C812" s="5"/>
      <c r="D812" s="5"/>
      <c r="E812" s="5"/>
    </row>
    <row r="813" spans="3:5" ht="12">
      <c r="C813" s="5"/>
      <c r="D813" s="5"/>
      <c r="E813" s="5"/>
    </row>
    <row r="814" spans="3:5" ht="12">
      <c r="C814" s="5"/>
      <c r="D814" s="5"/>
      <c r="E814" s="5"/>
    </row>
    <row r="815" spans="3:5" ht="12">
      <c r="C815" s="5"/>
      <c r="D815" s="5"/>
      <c r="E815" s="5"/>
    </row>
    <row r="816" spans="3:5" ht="12">
      <c r="C816" s="5"/>
      <c r="D816" s="5"/>
      <c r="E816" s="5"/>
    </row>
    <row r="817" spans="3:5" ht="12">
      <c r="C817" s="5"/>
      <c r="D817" s="5"/>
      <c r="E817" s="5"/>
    </row>
    <row r="818" spans="3:5" ht="12">
      <c r="C818" s="5"/>
      <c r="D818" s="5"/>
      <c r="E818" s="5"/>
    </row>
    <row r="819" spans="3:5" ht="12">
      <c r="C819" s="5"/>
      <c r="D819" s="5"/>
      <c r="E819" s="5"/>
    </row>
    <row r="820" spans="3:5" ht="12">
      <c r="C820" s="5"/>
      <c r="D820" s="5"/>
      <c r="E820" s="5"/>
    </row>
    <row r="821" spans="3:5" ht="12">
      <c r="C821" s="5"/>
      <c r="D821" s="5"/>
      <c r="E821" s="5"/>
    </row>
    <row r="822" spans="3:5" ht="12">
      <c r="C822" s="5"/>
      <c r="D822" s="5"/>
      <c r="E822" s="5"/>
    </row>
    <row r="823" spans="3:5" ht="12">
      <c r="C823" s="5"/>
      <c r="D823" s="5"/>
      <c r="E823" s="5"/>
    </row>
    <row r="824" spans="3:5" ht="12">
      <c r="C824" s="5"/>
      <c r="D824" s="5"/>
      <c r="E824" s="5"/>
    </row>
    <row r="825" spans="3:5" ht="12">
      <c r="C825" s="5"/>
      <c r="D825" s="5"/>
      <c r="E825" s="5"/>
    </row>
    <row r="826" spans="3:5" ht="12">
      <c r="C826" s="5"/>
      <c r="D826" s="5"/>
      <c r="E826" s="5"/>
    </row>
    <row r="827" spans="3:5" ht="12">
      <c r="C827" s="5"/>
      <c r="D827" s="5"/>
      <c r="E827" s="5"/>
    </row>
    <row r="828" spans="3:5" ht="12">
      <c r="C828" s="5"/>
      <c r="D828" s="5"/>
      <c r="E828" s="5"/>
    </row>
    <row r="829" spans="3:5" ht="12">
      <c r="C829" s="5"/>
      <c r="D829" s="5"/>
      <c r="E829" s="5"/>
    </row>
    <row r="830" spans="3:5" ht="12">
      <c r="C830" s="5"/>
      <c r="D830" s="5"/>
      <c r="E830" s="5"/>
    </row>
    <row r="831" spans="3:5" ht="12">
      <c r="C831" s="5"/>
      <c r="D831" s="5"/>
      <c r="E831" s="5"/>
    </row>
    <row r="832" spans="3:5" ht="12">
      <c r="C832" s="5"/>
      <c r="D832" s="5"/>
      <c r="E832" s="5"/>
    </row>
    <row r="833" spans="3:5" ht="12">
      <c r="C833" s="5"/>
      <c r="D833" s="5"/>
      <c r="E833" s="5"/>
    </row>
    <row r="834" spans="3:5" ht="12">
      <c r="C834" s="5"/>
      <c r="D834" s="5"/>
      <c r="E834" s="5"/>
    </row>
    <row r="835" spans="3:5" ht="12">
      <c r="C835" s="5"/>
      <c r="D835" s="5"/>
      <c r="E835" s="5"/>
    </row>
    <row r="836" spans="3:5" ht="12">
      <c r="C836" s="5"/>
      <c r="D836" s="5"/>
      <c r="E836" s="5"/>
    </row>
    <row r="837" spans="3:5" ht="12">
      <c r="C837" s="5"/>
      <c r="D837" s="5"/>
      <c r="E837" s="5"/>
    </row>
    <row r="838" spans="3:5" ht="12">
      <c r="C838" s="5"/>
      <c r="D838" s="5"/>
      <c r="E838" s="5"/>
    </row>
    <row r="839" spans="3:5" ht="12">
      <c r="C839" s="5"/>
      <c r="D839" s="5"/>
      <c r="E839" s="5"/>
    </row>
    <row r="840" spans="3:5" ht="12">
      <c r="C840" s="5"/>
      <c r="D840" s="5"/>
      <c r="E840" s="5"/>
    </row>
    <row r="841" spans="3:5" ht="12">
      <c r="C841" s="5"/>
      <c r="D841" s="5"/>
      <c r="E841" s="5"/>
    </row>
    <row r="842" spans="3:5" ht="12">
      <c r="C842" s="5"/>
      <c r="D842" s="5"/>
      <c r="E842" s="5"/>
    </row>
    <row r="843" spans="3:5" ht="12">
      <c r="C843" s="5"/>
      <c r="D843" s="5"/>
      <c r="E843" s="5"/>
    </row>
    <row r="844" spans="3:5" ht="12">
      <c r="C844" s="5"/>
      <c r="D844" s="5"/>
      <c r="E844" s="5"/>
    </row>
    <row r="845" spans="3:5" ht="12">
      <c r="C845" s="5"/>
      <c r="D845" s="5"/>
      <c r="E845" s="5"/>
    </row>
    <row r="846" spans="3:5" ht="12">
      <c r="C846" s="5"/>
      <c r="D846" s="5"/>
      <c r="E846" s="5"/>
    </row>
    <row r="847" spans="3:5" ht="12">
      <c r="C847" s="5"/>
      <c r="D847" s="5"/>
      <c r="E847" s="5"/>
    </row>
    <row r="848" spans="3:5" ht="12">
      <c r="C848" s="5"/>
      <c r="D848" s="5"/>
      <c r="E848" s="5"/>
    </row>
    <row r="849" spans="3:5" ht="12">
      <c r="C849" s="5"/>
      <c r="D849" s="5"/>
      <c r="E849" s="5"/>
    </row>
    <row r="850" spans="3:5" ht="12">
      <c r="C850" s="5"/>
      <c r="D850" s="5"/>
      <c r="E850" s="5"/>
    </row>
    <row r="851" spans="3:5" ht="12">
      <c r="C851" s="5"/>
      <c r="D851" s="5"/>
      <c r="E851" s="5"/>
    </row>
    <row r="852" spans="3:5" ht="12">
      <c r="C852" s="5"/>
      <c r="D852" s="5"/>
      <c r="E852" s="5"/>
    </row>
    <row r="853" spans="3:5" ht="12">
      <c r="C853" s="5"/>
      <c r="D853" s="5"/>
      <c r="E853" s="5"/>
    </row>
    <row r="854" spans="3:5" ht="12">
      <c r="C854" s="5"/>
      <c r="D854" s="5"/>
      <c r="E854" s="5"/>
    </row>
    <row r="855" spans="3:5" ht="12">
      <c r="C855" s="5"/>
      <c r="D855" s="5"/>
      <c r="E855" s="5"/>
    </row>
    <row r="856" spans="3:5" ht="12">
      <c r="C856" s="5"/>
      <c r="D856" s="5"/>
      <c r="E856" s="5"/>
    </row>
    <row r="857" spans="3:5" ht="12">
      <c r="C857" s="5"/>
      <c r="D857" s="5"/>
      <c r="E857" s="5"/>
    </row>
    <row r="858" spans="3:5" ht="12">
      <c r="C858" s="5"/>
      <c r="D858" s="5"/>
      <c r="E858" s="5"/>
    </row>
    <row r="859" spans="3:5" ht="12">
      <c r="C859" s="5"/>
      <c r="D859" s="5"/>
      <c r="E859" s="5"/>
    </row>
    <row r="860" spans="3:5" ht="12">
      <c r="C860" s="5"/>
      <c r="D860" s="5"/>
      <c r="E860" s="5"/>
    </row>
    <row r="861" spans="3:5" ht="12">
      <c r="C861" s="5"/>
      <c r="D861" s="5"/>
      <c r="E861" s="5"/>
    </row>
    <row r="862" spans="3:5" ht="12">
      <c r="C862" s="5"/>
      <c r="D862" s="5"/>
      <c r="E862" s="5"/>
    </row>
    <row r="863" spans="3:5" ht="12">
      <c r="C863" s="5"/>
      <c r="D863" s="5"/>
      <c r="E863" s="5"/>
    </row>
    <row r="864" spans="3:5" ht="12">
      <c r="C864" s="5"/>
      <c r="D864" s="5"/>
      <c r="E864" s="5"/>
    </row>
    <row r="865" spans="3:5" ht="12">
      <c r="C865" s="5"/>
      <c r="D865" s="5"/>
      <c r="E865" s="5"/>
    </row>
    <row r="866" spans="3:5" ht="12">
      <c r="C866" s="5"/>
      <c r="D866" s="5"/>
      <c r="E866" s="5"/>
    </row>
    <row r="867" spans="3:5" ht="12">
      <c r="C867" s="5"/>
      <c r="D867" s="5"/>
      <c r="E867" s="5"/>
    </row>
    <row r="868" spans="3:5" ht="12">
      <c r="C868" s="5"/>
      <c r="D868" s="5"/>
      <c r="E868" s="5"/>
    </row>
    <row r="869" spans="3:5" ht="12">
      <c r="C869" s="5"/>
      <c r="D869" s="5"/>
      <c r="E869" s="5"/>
    </row>
    <row r="870" spans="3:5" ht="12">
      <c r="C870" s="5"/>
      <c r="D870" s="5"/>
      <c r="E870" s="5"/>
    </row>
    <row r="871" spans="3:5" ht="12">
      <c r="C871" s="5"/>
      <c r="D871" s="5"/>
      <c r="E871" s="5"/>
    </row>
    <row r="872" spans="3:5" ht="12">
      <c r="C872" s="53"/>
      <c r="D872" s="53"/>
      <c r="E872" s="53"/>
    </row>
    <row r="873" spans="3:5" ht="12">
      <c r="C873" s="53"/>
      <c r="D873" s="53"/>
      <c r="E873" s="53"/>
    </row>
    <row r="874" spans="3:5" ht="12">
      <c r="C874" s="53"/>
      <c r="D874" s="53"/>
      <c r="E874" s="53"/>
    </row>
    <row r="875" spans="3:5" ht="12">
      <c r="C875" s="53"/>
      <c r="D875" s="53"/>
      <c r="E875" s="53"/>
    </row>
    <row r="876" spans="3:5" ht="12">
      <c r="C876" s="53"/>
      <c r="D876" s="53"/>
      <c r="E876" s="53"/>
    </row>
    <row r="877" spans="3:5" ht="12">
      <c r="C877" s="53"/>
      <c r="D877" s="53"/>
      <c r="E877" s="53"/>
    </row>
    <row r="878" spans="3:5" ht="12">
      <c r="C878" s="53"/>
      <c r="D878" s="53"/>
      <c r="E878" s="53"/>
    </row>
    <row r="879" spans="3:5" ht="12">
      <c r="C879" s="53"/>
      <c r="D879" s="53"/>
      <c r="E879" s="53"/>
    </row>
    <row r="880" spans="3:5" ht="12">
      <c r="C880" s="53"/>
      <c r="D880" s="53"/>
      <c r="E880" s="53"/>
    </row>
    <row r="881" spans="3:5" ht="12">
      <c r="C881" s="53"/>
      <c r="D881" s="53"/>
      <c r="E881" s="53"/>
    </row>
    <row r="882" spans="3:5" ht="12">
      <c r="C882" s="53"/>
      <c r="D882" s="53"/>
      <c r="E882" s="53"/>
    </row>
    <row r="883" spans="3:5" ht="12">
      <c r="C883" s="53"/>
      <c r="D883" s="53"/>
      <c r="E883" s="53"/>
    </row>
    <row r="884" spans="3:5" ht="12">
      <c r="C884" s="53"/>
      <c r="D884" s="53"/>
      <c r="E884" s="53"/>
    </row>
    <row r="885" spans="3:5" ht="12">
      <c r="C885" s="53"/>
      <c r="D885" s="53"/>
      <c r="E885" s="53"/>
    </row>
    <row r="886" spans="3:5" ht="12">
      <c r="C886" s="53"/>
      <c r="D886" s="53"/>
      <c r="E886" s="53"/>
    </row>
    <row r="887" spans="3:5" ht="12">
      <c r="C887" s="53"/>
      <c r="D887" s="53"/>
      <c r="E887" s="53"/>
    </row>
    <row r="888" spans="3:5" ht="12">
      <c r="C888" s="53"/>
      <c r="D888" s="53"/>
      <c r="E888" s="53"/>
    </row>
    <row r="889" spans="3:5" ht="12">
      <c r="C889" s="53"/>
      <c r="D889" s="53"/>
      <c r="E889" s="53"/>
    </row>
    <row r="890" spans="3:5" ht="12">
      <c r="C890" s="53"/>
      <c r="D890" s="53"/>
      <c r="E890" s="53"/>
    </row>
    <row r="891" spans="3:5" ht="12">
      <c r="C891" s="53"/>
      <c r="D891" s="53"/>
      <c r="E891" s="53"/>
    </row>
    <row r="892" spans="3:5" ht="12">
      <c r="C892" s="53"/>
      <c r="D892" s="53"/>
      <c r="E892" s="53"/>
    </row>
    <row r="893" spans="3:5" ht="12">
      <c r="C893" s="53"/>
      <c r="D893" s="53"/>
      <c r="E893" s="53"/>
    </row>
    <row r="894" spans="3:5" ht="12">
      <c r="C894" s="53"/>
      <c r="D894" s="53"/>
      <c r="E894" s="53"/>
    </row>
    <row r="895" spans="3:5" ht="12">
      <c r="C895" s="53"/>
      <c r="D895" s="53"/>
      <c r="E895" s="53"/>
    </row>
    <row r="896" spans="3:5" ht="12">
      <c r="C896" s="53"/>
      <c r="D896" s="53"/>
      <c r="E896" s="53"/>
    </row>
    <row r="897" spans="3:5" ht="12">
      <c r="C897" s="53"/>
      <c r="D897" s="53"/>
      <c r="E897" s="53"/>
    </row>
    <row r="898" spans="3:5" ht="12">
      <c r="C898" s="53"/>
      <c r="D898" s="53"/>
      <c r="E898" s="53"/>
    </row>
    <row r="899" spans="3:5" ht="12">
      <c r="C899" s="53"/>
      <c r="D899" s="53"/>
      <c r="E899" s="53"/>
    </row>
    <row r="900" spans="3:5" ht="12">
      <c r="C900" s="53"/>
      <c r="D900" s="53"/>
      <c r="E900" s="53"/>
    </row>
    <row r="901" spans="3:5" ht="12">
      <c r="C901" s="53"/>
      <c r="D901" s="53"/>
      <c r="E901" s="53"/>
    </row>
    <row r="902" spans="3:5" ht="12">
      <c r="C902" s="53"/>
      <c r="D902" s="53"/>
      <c r="E902" s="53"/>
    </row>
    <row r="903" spans="3:5" ht="12">
      <c r="C903" s="53"/>
      <c r="D903" s="53"/>
      <c r="E903" s="53"/>
    </row>
    <row r="904" spans="3:5" ht="12">
      <c r="C904" s="53"/>
      <c r="D904" s="53"/>
      <c r="E904" s="53"/>
    </row>
    <row r="905" spans="3:5" ht="12">
      <c r="C905" s="53"/>
      <c r="D905" s="53"/>
      <c r="E905" s="53"/>
    </row>
    <row r="906" spans="3:5" ht="12">
      <c r="C906" s="53"/>
      <c r="D906" s="53"/>
      <c r="E906" s="53"/>
    </row>
    <row r="907" spans="3:5" ht="12">
      <c r="C907" s="53"/>
      <c r="D907" s="53"/>
      <c r="E907" s="53"/>
    </row>
    <row r="908" spans="3:5" ht="12">
      <c r="C908" s="53"/>
      <c r="D908" s="53"/>
      <c r="E908" s="53"/>
    </row>
    <row r="909" spans="3:5" ht="12">
      <c r="C909" s="53"/>
      <c r="D909" s="53"/>
      <c r="E909" s="53"/>
    </row>
    <row r="910" spans="3:5" ht="12">
      <c r="C910" s="53"/>
      <c r="D910" s="53"/>
      <c r="E910" s="53"/>
    </row>
    <row r="911" spans="3:5" ht="12">
      <c r="C911" s="53"/>
      <c r="D911" s="53"/>
      <c r="E911" s="53"/>
    </row>
    <row r="912" spans="3:5" ht="12">
      <c r="C912" s="53"/>
      <c r="D912" s="53"/>
      <c r="E912" s="53"/>
    </row>
    <row r="913" spans="3:5" ht="12">
      <c r="C913" s="53"/>
      <c r="D913" s="53"/>
      <c r="E913" s="53"/>
    </row>
    <row r="914" spans="3:5" ht="12">
      <c r="C914" s="53"/>
      <c r="D914" s="53"/>
      <c r="E914" s="53"/>
    </row>
    <row r="915" spans="3:5" ht="12">
      <c r="C915" s="53"/>
      <c r="D915" s="53"/>
      <c r="E915" s="53"/>
    </row>
    <row r="916" spans="3:5" ht="12">
      <c r="C916" s="53"/>
      <c r="D916" s="53"/>
      <c r="E916" s="53"/>
    </row>
    <row r="917" spans="3:5" ht="12">
      <c r="C917" s="53"/>
      <c r="D917" s="53"/>
      <c r="E917" s="53"/>
    </row>
    <row r="918" spans="3:5" ht="12">
      <c r="C918" s="53"/>
      <c r="D918" s="53"/>
      <c r="E918" s="53"/>
    </row>
    <row r="919" spans="3:5" ht="12">
      <c r="C919" s="53"/>
      <c r="D919" s="53"/>
      <c r="E919" s="53"/>
    </row>
    <row r="920" spans="3:5" ht="12">
      <c r="C920" s="53"/>
      <c r="D920" s="53"/>
      <c r="E920" s="53"/>
    </row>
    <row r="921" spans="3:5" ht="12">
      <c r="C921" s="53"/>
      <c r="D921" s="53"/>
      <c r="E921" s="53"/>
    </row>
    <row r="922" spans="3:5" ht="12">
      <c r="C922" s="53"/>
      <c r="D922" s="53"/>
      <c r="E922" s="53"/>
    </row>
    <row r="923" spans="3:5" ht="12">
      <c r="C923" s="53"/>
      <c r="D923" s="53"/>
      <c r="E923" s="53"/>
    </row>
    <row r="924" spans="3:5" ht="12">
      <c r="C924" s="53"/>
      <c r="D924" s="53"/>
      <c r="E924" s="53"/>
    </row>
    <row r="925" spans="3:5" ht="12">
      <c r="C925" s="53"/>
      <c r="D925" s="53"/>
      <c r="E925" s="53"/>
    </row>
    <row r="926" spans="3:5" ht="12">
      <c r="C926" s="53"/>
      <c r="D926" s="53"/>
      <c r="E926" s="53"/>
    </row>
    <row r="927" spans="3:5" ht="12">
      <c r="C927" s="53"/>
      <c r="D927" s="53"/>
      <c r="E927" s="53"/>
    </row>
    <row r="928" spans="3:5" ht="12">
      <c r="C928" s="53"/>
      <c r="D928" s="53"/>
      <c r="E928" s="53"/>
    </row>
    <row r="929" spans="3:5" ht="12">
      <c r="C929" s="53"/>
      <c r="D929" s="53"/>
      <c r="E929" s="53"/>
    </row>
    <row r="930" spans="3:5" ht="12">
      <c r="C930" s="53"/>
      <c r="D930" s="53"/>
      <c r="E930" s="53"/>
    </row>
    <row r="931" spans="3:5" ht="12">
      <c r="C931" s="53"/>
      <c r="D931" s="53"/>
      <c r="E931" s="53"/>
    </row>
    <row r="932" spans="3:5" ht="12">
      <c r="C932" s="53"/>
      <c r="D932" s="53"/>
      <c r="E932" s="53"/>
    </row>
    <row r="933" spans="3:5" ht="12">
      <c r="C933" s="53"/>
      <c r="D933" s="53"/>
      <c r="E933" s="53"/>
    </row>
    <row r="934" spans="3:5" ht="12">
      <c r="C934" s="53"/>
      <c r="D934" s="53"/>
      <c r="E934" s="53"/>
    </row>
    <row r="935" spans="3:5" ht="12">
      <c r="C935" s="53"/>
      <c r="D935" s="53"/>
      <c r="E935" s="53"/>
    </row>
    <row r="936" spans="3:5" ht="12">
      <c r="C936" s="53"/>
      <c r="D936" s="53"/>
      <c r="E936" s="53"/>
    </row>
    <row r="937" spans="3:5" ht="12">
      <c r="C937" s="53"/>
      <c r="D937" s="53"/>
      <c r="E937" s="53"/>
    </row>
    <row r="938" spans="3:5" ht="12">
      <c r="C938" s="53"/>
      <c r="D938" s="53"/>
      <c r="E938" s="53"/>
    </row>
    <row r="939" spans="3:5" ht="12">
      <c r="C939" s="53"/>
      <c r="D939" s="53"/>
      <c r="E939" s="53"/>
    </row>
    <row r="940" spans="3:5" ht="12">
      <c r="C940" s="53"/>
      <c r="D940" s="53"/>
      <c r="E940" s="53"/>
    </row>
    <row r="941" spans="3:5" ht="12">
      <c r="C941" s="53"/>
      <c r="D941" s="53"/>
      <c r="E941" s="53"/>
    </row>
    <row r="942" spans="3:5" ht="12">
      <c r="C942" s="53"/>
      <c r="D942" s="53"/>
      <c r="E942" s="53"/>
    </row>
    <row r="943" spans="3:5" ht="12">
      <c r="C943" s="53"/>
      <c r="D943" s="53"/>
      <c r="E943" s="53"/>
    </row>
    <row r="944" spans="3:5" ht="12">
      <c r="C944" s="53"/>
      <c r="D944" s="53"/>
      <c r="E944" s="53"/>
    </row>
    <row r="945" spans="3:5" ht="12">
      <c r="C945" s="53"/>
      <c r="D945" s="53"/>
      <c r="E945" s="53"/>
    </row>
    <row r="946" spans="3:5" ht="12">
      <c r="C946" s="53"/>
      <c r="D946" s="53"/>
      <c r="E946" s="53"/>
    </row>
    <row r="947" spans="3:5" ht="12">
      <c r="C947" s="53"/>
      <c r="D947" s="53"/>
      <c r="E947" s="53"/>
    </row>
    <row r="948" spans="3:5" ht="12">
      <c r="C948" s="53"/>
      <c r="D948" s="53"/>
      <c r="E948" s="53"/>
    </row>
    <row r="949" spans="3:5" ht="12">
      <c r="C949" s="53"/>
      <c r="D949" s="53"/>
      <c r="E949" s="53"/>
    </row>
    <row r="950" spans="3:5" ht="12">
      <c r="C950" s="53"/>
      <c r="D950" s="53"/>
      <c r="E950" s="53"/>
    </row>
    <row r="951" spans="3:5" ht="12">
      <c r="C951" s="53"/>
      <c r="D951" s="53"/>
      <c r="E951" s="53"/>
    </row>
    <row r="952" spans="3:5" ht="12">
      <c r="C952" s="53"/>
      <c r="D952" s="53"/>
      <c r="E952" s="53"/>
    </row>
    <row r="953" spans="3:5" ht="12">
      <c r="C953" s="53"/>
      <c r="D953" s="53"/>
      <c r="E953" s="53"/>
    </row>
    <row r="954" spans="3:5" ht="12">
      <c r="C954" s="53"/>
      <c r="D954" s="53"/>
      <c r="E954" s="53"/>
    </row>
    <row r="955" spans="3:5" ht="12">
      <c r="C955" s="53"/>
      <c r="D955" s="53"/>
      <c r="E955" s="53"/>
    </row>
    <row r="956" spans="3:5" ht="12">
      <c r="C956" s="53"/>
      <c r="D956" s="53"/>
      <c r="E956" s="53"/>
    </row>
    <row r="957" spans="3:5" ht="12">
      <c r="C957" s="53"/>
      <c r="D957" s="53"/>
      <c r="E957" s="53"/>
    </row>
    <row r="958" spans="3:5" ht="12">
      <c r="C958" s="53"/>
      <c r="D958" s="53"/>
      <c r="E958" s="53"/>
    </row>
    <row r="959" spans="3:5" ht="12">
      <c r="C959" s="53"/>
      <c r="D959" s="53"/>
      <c r="E959" s="53"/>
    </row>
    <row r="960" spans="3:5" ht="12">
      <c r="C960" s="53"/>
      <c r="D960" s="53"/>
      <c r="E960" s="53"/>
    </row>
    <row r="961" spans="3:5" ht="12">
      <c r="C961" s="53"/>
      <c r="D961" s="53"/>
      <c r="E961" s="53"/>
    </row>
    <row r="962" spans="3:5" ht="12">
      <c r="C962" s="53"/>
      <c r="D962" s="53"/>
      <c r="E962" s="53"/>
    </row>
    <row r="963" spans="3:5" ht="12">
      <c r="C963" s="53"/>
      <c r="D963" s="53"/>
      <c r="E963" s="53"/>
    </row>
    <row r="964" spans="3:5" ht="12">
      <c r="C964" s="53"/>
      <c r="D964" s="53"/>
      <c r="E964" s="53"/>
    </row>
    <row r="965" spans="3:5" ht="12">
      <c r="C965" s="53"/>
      <c r="D965" s="53"/>
      <c r="E965" s="53"/>
    </row>
    <row r="966" spans="3:5" ht="12">
      <c r="C966" s="53"/>
      <c r="D966" s="53"/>
      <c r="E966" s="53"/>
    </row>
    <row r="967" spans="3:5" ht="12">
      <c r="C967" s="53"/>
      <c r="D967" s="53"/>
      <c r="E967" s="53"/>
    </row>
    <row r="968" spans="3:5" ht="12">
      <c r="C968" s="53"/>
      <c r="D968" s="53"/>
      <c r="E968" s="53"/>
    </row>
    <row r="969" spans="3:5" ht="12">
      <c r="C969" s="53"/>
      <c r="D969" s="53"/>
      <c r="E969" s="53"/>
    </row>
    <row r="970" spans="3:5" ht="12">
      <c r="C970" s="53"/>
      <c r="D970" s="53"/>
      <c r="E970" s="53"/>
    </row>
    <row r="971" spans="3:5" ht="12">
      <c r="C971" s="53"/>
      <c r="D971" s="53"/>
      <c r="E971" s="53"/>
    </row>
    <row r="972" spans="3:5" ht="12">
      <c r="C972" s="53"/>
      <c r="D972" s="53"/>
      <c r="E972" s="53"/>
    </row>
    <row r="973" spans="3:5" ht="12">
      <c r="C973" s="53"/>
      <c r="D973" s="53"/>
      <c r="E973" s="53"/>
    </row>
    <row r="974" spans="3:5" ht="12">
      <c r="C974" s="53"/>
      <c r="D974" s="53"/>
      <c r="E974" s="53"/>
    </row>
    <row r="975" spans="3:5" ht="12">
      <c r="C975" s="53"/>
      <c r="D975" s="53"/>
      <c r="E975" s="53"/>
    </row>
    <row r="976" spans="3:5" ht="12">
      <c r="C976" s="53"/>
      <c r="D976" s="53"/>
      <c r="E976" s="53"/>
    </row>
    <row r="977" spans="3:5" ht="12">
      <c r="C977" s="53"/>
      <c r="D977" s="53"/>
      <c r="E977" s="53"/>
    </row>
    <row r="978" spans="3:5" ht="12">
      <c r="C978" s="53"/>
      <c r="D978" s="53"/>
      <c r="E978" s="53"/>
    </row>
    <row r="979" spans="3:5" ht="12">
      <c r="C979" s="53"/>
      <c r="D979" s="53"/>
      <c r="E979" s="53"/>
    </row>
    <row r="980" spans="3:5" ht="12">
      <c r="C980" s="53"/>
      <c r="D980" s="53"/>
      <c r="E980" s="53"/>
    </row>
    <row r="981" spans="3:5" ht="12">
      <c r="C981" s="53"/>
      <c r="D981" s="53"/>
      <c r="E981" s="53"/>
    </row>
    <row r="982" spans="3:5" ht="12">
      <c r="C982" s="53"/>
      <c r="D982" s="53"/>
      <c r="E982" s="53"/>
    </row>
    <row r="983" spans="3:5" ht="12">
      <c r="C983" s="53"/>
      <c r="D983" s="53"/>
      <c r="E983" s="53"/>
    </row>
    <row r="984" spans="3:5" ht="12">
      <c r="C984" s="53"/>
      <c r="D984" s="53"/>
      <c r="E984" s="53"/>
    </row>
    <row r="985" spans="3:5" ht="12">
      <c r="C985" s="53"/>
      <c r="D985" s="53"/>
      <c r="E985" s="53"/>
    </row>
    <row r="986" spans="3:5" ht="12">
      <c r="C986" s="53"/>
      <c r="D986" s="53"/>
      <c r="E986" s="53"/>
    </row>
    <row r="987" spans="3:5" ht="12">
      <c r="C987" s="53"/>
      <c r="D987" s="53"/>
      <c r="E987" s="53"/>
    </row>
    <row r="988" spans="3:5" ht="12">
      <c r="C988" s="53"/>
      <c r="D988" s="53"/>
      <c r="E988" s="53"/>
    </row>
    <row r="989" spans="3:5" ht="12">
      <c r="C989" s="53"/>
      <c r="D989" s="53"/>
      <c r="E989" s="53"/>
    </row>
    <row r="990" spans="3:5" ht="12">
      <c r="C990" s="53"/>
      <c r="D990" s="53"/>
      <c r="E990" s="53"/>
    </row>
    <row r="991" spans="3:5" ht="12">
      <c r="C991" s="53"/>
      <c r="D991" s="53"/>
      <c r="E991" s="53"/>
    </row>
    <row r="992" spans="3:5" ht="12">
      <c r="C992" s="53"/>
      <c r="D992" s="53"/>
      <c r="E992" s="53"/>
    </row>
    <row r="993" spans="3:5" ht="12">
      <c r="C993" s="53"/>
      <c r="D993" s="53"/>
      <c r="E993" s="53"/>
    </row>
    <row r="994" spans="3:5" ht="12">
      <c r="C994" s="53"/>
      <c r="D994" s="53"/>
      <c r="E994" s="53"/>
    </row>
    <row r="995" spans="3:5" ht="12">
      <c r="C995" s="53"/>
      <c r="D995" s="53"/>
      <c r="E995" s="53"/>
    </row>
    <row r="996" spans="3:5" ht="12">
      <c r="C996" s="53"/>
      <c r="D996" s="53"/>
      <c r="E996" s="53"/>
    </row>
    <row r="997" spans="3:5" ht="12">
      <c r="C997" s="53"/>
      <c r="D997" s="53"/>
      <c r="E997" s="53"/>
    </row>
    <row r="998" spans="3:5" ht="12">
      <c r="C998" s="53"/>
      <c r="D998" s="53"/>
      <c r="E998" s="53"/>
    </row>
    <row r="999" spans="3:5" ht="12">
      <c r="C999" s="53"/>
      <c r="D999" s="53"/>
      <c r="E999" s="53"/>
    </row>
    <row r="1000" spans="3:5" ht="12">
      <c r="C1000" s="53"/>
      <c r="D1000" s="53"/>
      <c r="E1000" s="53"/>
    </row>
    <row r="1001" spans="3:5" ht="12">
      <c r="C1001" s="53"/>
      <c r="D1001" s="53"/>
      <c r="E1001" s="53"/>
    </row>
    <row r="1002" spans="3:5" ht="12">
      <c r="C1002" s="53"/>
      <c r="D1002" s="53"/>
      <c r="E1002" s="53"/>
    </row>
    <row r="1003" spans="3:5" ht="12">
      <c r="C1003" s="53"/>
      <c r="D1003" s="53"/>
      <c r="E1003" s="53"/>
    </row>
    <row r="1004" spans="3:5" ht="12">
      <c r="C1004" s="53"/>
      <c r="D1004" s="53"/>
      <c r="E1004" s="53"/>
    </row>
    <row r="1005" spans="3:5" ht="12">
      <c r="C1005" s="53"/>
      <c r="D1005" s="53"/>
      <c r="E1005" s="53"/>
    </row>
    <row r="1006" spans="3:5" ht="12">
      <c r="C1006" s="53"/>
      <c r="D1006" s="53"/>
      <c r="E1006" s="53"/>
    </row>
    <row r="1007" spans="3:5" ht="12">
      <c r="C1007" s="53"/>
      <c r="D1007" s="53"/>
      <c r="E1007" s="53"/>
    </row>
    <row r="1008" spans="3:5" ht="12">
      <c r="C1008" s="53"/>
      <c r="D1008" s="53"/>
      <c r="E1008" s="53"/>
    </row>
    <row r="1009" spans="3:5" ht="12">
      <c r="C1009" s="53"/>
      <c r="D1009" s="53"/>
      <c r="E1009" s="53"/>
    </row>
    <row r="1010" spans="3:5" ht="12">
      <c r="C1010" s="53"/>
      <c r="D1010" s="53"/>
      <c r="E1010" s="53"/>
    </row>
    <row r="1011" spans="3:5" ht="12">
      <c r="C1011" s="53"/>
      <c r="D1011" s="53"/>
      <c r="E1011" s="53"/>
    </row>
    <row r="1012" spans="3:5" ht="12">
      <c r="C1012" s="53"/>
      <c r="D1012" s="53"/>
      <c r="E1012" s="53"/>
    </row>
    <row r="1013" spans="3:5" ht="12">
      <c r="C1013" s="53"/>
      <c r="D1013" s="53"/>
      <c r="E1013" s="53"/>
    </row>
    <row r="1014" spans="3:5" ht="12">
      <c r="C1014" s="53"/>
      <c r="D1014" s="53"/>
      <c r="E1014" s="53"/>
    </row>
    <row r="1015" spans="3:5" ht="12">
      <c r="C1015" s="53"/>
      <c r="D1015" s="53"/>
      <c r="E1015" s="53"/>
    </row>
    <row r="1016" spans="3:5" ht="12">
      <c r="C1016" s="53"/>
      <c r="D1016" s="53"/>
      <c r="E1016" s="53"/>
    </row>
    <row r="1017" spans="3:5" ht="12">
      <c r="C1017" s="53"/>
      <c r="D1017" s="53"/>
      <c r="E1017" s="53"/>
    </row>
    <row r="1018" spans="3:5" ht="12">
      <c r="C1018" s="53"/>
      <c r="D1018" s="53"/>
      <c r="E1018" s="53"/>
    </row>
    <row r="1019" spans="3:5" ht="12">
      <c r="C1019" s="53"/>
      <c r="D1019" s="53"/>
      <c r="E1019" s="53"/>
    </row>
    <row r="1020" spans="3:5" ht="12">
      <c r="C1020" s="53"/>
      <c r="D1020" s="53"/>
      <c r="E1020" s="53"/>
    </row>
    <row r="1021" spans="3:5" ht="12">
      <c r="C1021" s="53"/>
      <c r="D1021" s="53"/>
      <c r="E1021" s="53"/>
    </row>
    <row r="1022" spans="3:5" ht="12">
      <c r="C1022" s="53"/>
      <c r="D1022" s="53"/>
      <c r="E1022" s="53"/>
    </row>
    <row r="1023" spans="3:5" ht="12">
      <c r="C1023" s="53"/>
      <c r="D1023" s="53"/>
      <c r="E1023" s="53"/>
    </row>
    <row r="1024" spans="3:5" ht="12">
      <c r="C1024" s="53"/>
      <c r="D1024" s="53"/>
      <c r="E1024" s="53"/>
    </row>
    <row r="1025" spans="3:5" ht="12">
      <c r="C1025" s="53"/>
      <c r="D1025" s="53"/>
      <c r="E1025" s="53"/>
    </row>
    <row r="1026" spans="3:5" ht="12">
      <c r="C1026" s="53"/>
      <c r="D1026" s="53"/>
      <c r="E1026" s="53"/>
    </row>
    <row r="1027" spans="3:5" ht="12">
      <c r="C1027" s="53"/>
      <c r="D1027" s="53"/>
      <c r="E1027" s="53"/>
    </row>
    <row r="1028" spans="3:5" ht="12">
      <c r="C1028" s="53"/>
      <c r="D1028" s="53"/>
      <c r="E1028" s="53"/>
    </row>
    <row r="1029" spans="3:5" ht="12">
      <c r="C1029" s="53"/>
      <c r="D1029" s="53"/>
      <c r="E1029" s="53"/>
    </row>
    <row r="1030" spans="3:5" ht="12">
      <c r="C1030" s="53"/>
      <c r="D1030" s="53"/>
      <c r="E1030" s="53"/>
    </row>
    <row r="1031" spans="3:5" ht="12">
      <c r="C1031" s="53"/>
      <c r="D1031" s="53"/>
      <c r="E1031" s="53"/>
    </row>
    <row r="1032" spans="3:5" ht="12">
      <c r="C1032" s="53"/>
      <c r="D1032" s="53"/>
      <c r="E1032" s="53"/>
    </row>
    <row r="1033" spans="3:5" ht="12">
      <c r="C1033" s="53"/>
      <c r="D1033" s="53"/>
      <c r="E1033" s="53"/>
    </row>
    <row r="1034" spans="3:5" ht="12">
      <c r="C1034" s="53"/>
      <c r="D1034" s="53"/>
      <c r="E1034" s="53"/>
    </row>
    <row r="1035" spans="3:5" ht="12">
      <c r="C1035" s="53"/>
      <c r="D1035" s="53"/>
      <c r="E1035" s="53"/>
    </row>
    <row r="1036" spans="3:5" ht="12">
      <c r="C1036" s="53"/>
      <c r="D1036" s="53"/>
      <c r="E1036" s="53"/>
    </row>
    <row r="1037" spans="3:5" ht="12">
      <c r="C1037" s="53"/>
      <c r="D1037" s="53"/>
      <c r="E1037" s="53"/>
    </row>
    <row r="1038" spans="3:5" ht="12">
      <c r="C1038" s="53"/>
      <c r="D1038" s="53"/>
      <c r="E1038" s="53"/>
    </row>
    <row r="1039" spans="3:5" ht="12">
      <c r="C1039" s="53"/>
      <c r="D1039" s="53"/>
      <c r="E1039" s="53"/>
    </row>
    <row r="1040" spans="3:5" ht="12">
      <c r="C1040" s="53"/>
      <c r="D1040" s="53"/>
      <c r="E1040" s="53"/>
    </row>
    <row r="1041" spans="3:5" ht="12">
      <c r="C1041" s="53"/>
      <c r="D1041" s="53"/>
      <c r="E1041" s="53"/>
    </row>
    <row r="1042" spans="3:5" ht="12">
      <c r="C1042" s="53"/>
      <c r="D1042" s="53"/>
      <c r="E1042" s="53"/>
    </row>
    <row r="1043" spans="3:5" ht="12">
      <c r="C1043" s="53"/>
      <c r="D1043" s="53"/>
      <c r="E1043" s="53"/>
    </row>
    <row r="1044" spans="3:5" ht="12">
      <c r="C1044" s="53"/>
      <c r="D1044" s="53"/>
      <c r="E1044" s="53"/>
    </row>
    <row r="1045" spans="3:5" ht="12">
      <c r="C1045" s="53"/>
      <c r="D1045" s="53"/>
      <c r="E1045" s="53"/>
    </row>
    <row r="1046" spans="3:5" ht="12">
      <c r="C1046" s="53"/>
      <c r="D1046" s="53"/>
      <c r="E1046" s="53"/>
    </row>
    <row r="1047" spans="3:5" ht="12">
      <c r="C1047" s="53"/>
      <c r="D1047" s="53"/>
      <c r="E1047" s="53"/>
    </row>
    <row r="1048" spans="3:5" ht="12">
      <c r="C1048" s="53"/>
      <c r="D1048" s="53"/>
      <c r="E1048" s="53"/>
    </row>
    <row r="1049" spans="3:5" ht="12">
      <c r="C1049" s="53"/>
      <c r="D1049" s="53"/>
      <c r="E1049" s="53"/>
    </row>
    <row r="1050" spans="3:5" ht="12">
      <c r="C1050" s="53"/>
      <c r="D1050" s="53"/>
      <c r="E1050" s="53"/>
    </row>
    <row r="1051" spans="3:5" ht="12">
      <c r="C1051" s="53"/>
      <c r="D1051" s="53"/>
      <c r="E1051" s="53"/>
    </row>
    <row r="1052" spans="3:5" ht="12">
      <c r="C1052" s="53"/>
      <c r="D1052" s="53"/>
      <c r="E1052" s="53"/>
    </row>
    <row r="1053" spans="3:5" ht="12">
      <c r="C1053" s="53"/>
      <c r="D1053" s="53"/>
      <c r="E1053" s="53"/>
    </row>
    <row r="1054" spans="3:5" ht="12">
      <c r="C1054" s="53"/>
      <c r="D1054" s="53"/>
      <c r="E1054" s="53"/>
    </row>
    <row r="1055" spans="3:5" ht="12">
      <c r="C1055" s="53"/>
      <c r="D1055" s="53"/>
      <c r="E1055" s="53"/>
    </row>
    <row r="1056" spans="3:5" ht="12">
      <c r="C1056" s="53"/>
      <c r="D1056" s="53"/>
      <c r="E1056" s="53"/>
    </row>
    <row r="1057" spans="3:5" ht="12">
      <c r="C1057" s="53"/>
      <c r="D1057" s="53"/>
      <c r="E1057" s="53"/>
    </row>
    <row r="1058" spans="3:5" ht="12">
      <c r="C1058" s="53"/>
      <c r="D1058" s="53"/>
      <c r="E1058" s="53"/>
    </row>
    <row r="1059" spans="3:5" ht="12">
      <c r="C1059" s="53"/>
      <c r="D1059" s="53"/>
      <c r="E1059" s="53"/>
    </row>
    <row r="1060" spans="3:5" ht="12">
      <c r="C1060" s="53"/>
      <c r="D1060" s="53"/>
      <c r="E1060" s="53"/>
    </row>
    <row r="1061" spans="3:5" ht="12">
      <c r="C1061" s="53"/>
      <c r="D1061" s="53"/>
      <c r="E1061" s="53"/>
    </row>
    <row r="1062" spans="3:5" ht="12">
      <c r="C1062" s="53"/>
      <c r="D1062" s="53"/>
      <c r="E1062" s="53"/>
    </row>
    <row r="1063" spans="3:5" ht="12">
      <c r="C1063" s="53"/>
      <c r="D1063" s="53"/>
      <c r="E1063" s="53"/>
    </row>
    <row r="1064" spans="3:5" ht="12">
      <c r="C1064" s="53"/>
      <c r="D1064" s="53"/>
      <c r="E1064" s="53"/>
    </row>
    <row r="1065" spans="3:5" ht="12">
      <c r="C1065" s="53"/>
      <c r="D1065" s="53"/>
      <c r="E1065" s="53"/>
    </row>
    <row r="1066" spans="3:5" ht="12">
      <c r="C1066" s="53"/>
      <c r="D1066" s="53"/>
      <c r="E1066" s="53"/>
    </row>
    <row r="1067" spans="3:5" ht="12">
      <c r="C1067" s="53"/>
      <c r="D1067" s="53"/>
      <c r="E1067" s="53"/>
    </row>
    <row r="1068" spans="3:5" ht="12">
      <c r="C1068" s="53"/>
      <c r="D1068" s="53"/>
      <c r="E1068" s="53"/>
    </row>
    <row r="1069" spans="3:5" ht="12">
      <c r="C1069" s="53"/>
      <c r="D1069" s="53"/>
      <c r="E1069" s="53"/>
    </row>
    <row r="1070" spans="3:5" ht="12">
      <c r="C1070" s="53"/>
      <c r="D1070" s="53"/>
      <c r="E1070" s="53"/>
    </row>
    <row r="1071" spans="3:5" ht="12">
      <c r="C1071" s="53"/>
      <c r="D1071" s="53"/>
      <c r="E1071" s="53"/>
    </row>
    <row r="1072" spans="3:5" ht="12">
      <c r="C1072" s="53"/>
      <c r="D1072" s="53"/>
      <c r="E1072" s="53"/>
    </row>
    <row r="1073" spans="3:5" ht="12">
      <c r="C1073" s="53"/>
      <c r="D1073" s="53"/>
      <c r="E1073" s="53"/>
    </row>
    <row r="1074" spans="3:5" ht="12">
      <c r="C1074" s="53"/>
      <c r="D1074" s="53"/>
      <c r="E1074" s="53"/>
    </row>
    <row r="1075" spans="3:5" ht="12">
      <c r="C1075" s="53"/>
      <c r="D1075" s="53"/>
      <c r="E1075" s="53"/>
    </row>
    <row r="1076" spans="3:5" ht="12">
      <c r="C1076" s="53"/>
      <c r="D1076" s="53"/>
      <c r="E1076" s="53"/>
    </row>
    <row r="1077" spans="3:5" ht="12">
      <c r="C1077" s="53"/>
      <c r="D1077" s="53"/>
      <c r="E1077" s="53"/>
    </row>
    <row r="1078" spans="3:5" ht="12">
      <c r="C1078" s="53"/>
      <c r="D1078" s="53"/>
      <c r="E1078" s="53"/>
    </row>
    <row r="1079" spans="3:5" ht="12">
      <c r="C1079" s="53"/>
      <c r="D1079" s="53"/>
      <c r="E1079" s="53"/>
    </row>
    <row r="1080" spans="3:5" ht="12">
      <c r="C1080" s="53"/>
      <c r="D1080" s="53"/>
      <c r="E1080" s="53"/>
    </row>
    <row r="1081" spans="3:5" ht="12">
      <c r="C1081" s="53"/>
      <c r="D1081" s="53"/>
      <c r="E1081" s="53"/>
    </row>
    <row r="1082" spans="3:5" ht="12">
      <c r="C1082" s="53"/>
      <c r="D1082" s="53"/>
      <c r="E1082" s="53"/>
    </row>
    <row r="1083" spans="3:5" ht="12">
      <c r="C1083" s="53"/>
      <c r="D1083" s="53"/>
      <c r="E1083" s="53"/>
    </row>
    <row r="1084" spans="3:5" ht="12">
      <c r="C1084" s="53"/>
      <c r="D1084" s="53"/>
      <c r="E1084" s="53"/>
    </row>
    <row r="1085" spans="3:5" ht="12">
      <c r="C1085" s="53"/>
      <c r="D1085" s="53"/>
      <c r="E1085" s="53"/>
    </row>
    <row r="1086" spans="3:5" ht="12">
      <c r="C1086" s="53"/>
      <c r="D1086" s="53"/>
      <c r="E1086" s="53"/>
    </row>
    <row r="1087" spans="3:5" ht="12">
      <c r="C1087" s="53"/>
      <c r="D1087" s="53"/>
      <c r="E1087" s="53"/>
    </row>
    <row r="1088" spans="3:5" ht="12">
      <c r="C1088" s="53"/>
      <c r="D1088" s="53"/>
      <c r="E1088" s="53"/>
    </row>
    <row r="1089" spans="3:5" ht="12">
      <c r="C1089" s="53"/>
      <c r="D1089" s="53"/>
      <c r="E1089" s="53"/>
    </row>
    <row r="1090" spans="3:5" ht="12">
      <c r="C1090" s="53"/>
      <c r="D1090" s="53"/>
      <c r="E1090" s="53"/>
    </row>
    <row r="1091" spans="3:5" ht="12">
      <c r="C1091" s="53"/>
      <c r="D1091" s="53"/>
      <c r="E1091" s="53"/>
    </row>
    <row r="1092" spans="3:5" ht="12">
      <c r="C1092" s="53"/>
      <c r="D1092" s="53"/>
      <c r="E1092" s="53"/>
    </row>
    <row r="1093" spans="3:5" ht="12">
      <c r="C1093" s="53"/>
      <c r="D1093" s="53"/>
      <c r="E1093" s="53"/>
    </row>
    <row r="1094" spans="3:5" ht="12">
      <c r="C1094" s="53"/>
      <c r="D1094" s="53"/>
      <c r="E1094" s="53"/>
    </row>
    <row r="1095" spans="3:5" ht="12">
      <c r="C1095" s="53"/>
      <c r="D1095" s="53"/>
      <c r="E1095" s="53"/>
    </row>
    <row r="1096" spans="3:5" ht="12">
      <c r="C1096" s="53"/>
      <c r="D1096" s="53"/>
      <c r="E1096" s="53"/>
    </row>
    <row r="1097" spans="3:5" ht="12">
      <c r="C1097" s="53"/>
      <c r="D1097" s="53"/>
      <c r="E1097" s="53"/>
    </row>
    <row r="1098" spans="3:5" ht="12">
      <c r="C1098" s="53"/>
      <c r="D1098" s="53"/>
      <c r="E1098" s="53"/>
    </row>
    <row r="1099" spans="3:5" ht="12">
      <c r="C1099" s="53"/>
      <c r="D1099" s="53"/>
      <c r="E1099" s="53"/>
    </row>
    <row r="1100" spans="3:5" ht="12">
      <c r="C1100" s="53"/>
      <c r="D1100" s="53"/>
      <c r="E1100" s="53"/>
    </row>
    <row r="1101" spans="3:5" ht="12">
      <c r="C1101" s="53"/>
      <c r="D1101" s="53"/>
      <c r="E1101" s="53"/>
    </row>
    <row r="1102" spans="3:5" ht="12">
      <c r="C1102" s="53"/>
      <c r="D1102" s="53"/>
      <c r="E1102" s="53"/>
    </row>
    <row r="1103" spans="3:5" ht="12">
      <c r="C1103" s="53"/>
      <c r="D1103" s="53"/>
      <c r="E1103" s="53"/>
    </row>
    <row r="1104" spans="3:5" ht="12">
      <c r="C1104" s="53"/>
      <c r="D1104" s="53"/>
      <c r="E1104" s="53"/>
    </row>
    <row r="1105" spans="3:5" ht="12">
      <c r="C1105" s="53"/>
      <c r="D1105" s="53"/>
      <c r="E1105" s="53"/>
    </row>
    <row r="1106" spans="3:5" ht="12">
      <c r="C1106" s="53"/>
      <c r="D1106" s="53"/>
      <c r="E1106" s="53"/>
    </row>
    <row r="1107" spans="3:5" ht="12">
      <c r="C1107" s="53"/>
      <c r="D1107" s="53"/>
      <c r="E1107" s="53"/>
    </row>
    <row r="1108" spans="3:5" ht="12">
      <c r="C1108" s="53"/>
      <c r="D1108" s="53"/>
      <c r="E1108" s="53"/>
    </row>
    <row r="1109" spans="3:5" ht="12">
      <c r="C1109" s="53"/>
      <c r="D1109" s="53"/>
      <c r="E1109" s="53"/>
    </row>
    <row r="1110" spans="3:5" ht="12">
      <c r="C1110" s="53"/>
      <c r="D1110" s="53"/>
      <c r="E1110" s="53"/>
    </row>
    <row r="1111" spans="3:5" ht="12">
      <c r="C1111" s="53"/>
      <c r="D1111" s="53"/>
      <c r="E1111" s="53"/>
    </row>
    <row r="1112" spans="3:5" ht="12">
      <c r="C1112" s="53"/>
      <c r="D1112" s="53"/>
      <c r="E1112" s="53"/>
    </row>
    <row r="1113" spans="3:5" ht="12">
      <c r="C1113" s="53"/>
      <c r="D1113" s="53"/>
      <c r="E1113" s="53"/>
    </row>
    <row r="1114" spans="3:5" ht="12">
      <c r="C1114" s="53"/>
      <c r="D1114" s="53"/>
      <c r="E1114" s="53"/>
    </row>
    <row r="1115" spans="3:5" ht="12">
      <c r="C1115" s="53"/>
      <c r="D1115" s="53"/>
      <c r="E1115" s="53"/>
    </row>
    <row r="1116" spans="3:5" ht="12">
      <c r="C1116" s="53"/>
      <c r="D1116" s="53"/>
      <c r="E1116" s="53"/>
    </row>
    <row r="1117" spans="3:5" ht="12">
      <c r="C1117" s="53"/>
      <c r="D1117" s="53"/>
      <c r="E1117" s="53"/>
    </row>
    <row r="1118" spans="3:5" ht="12">
      <c r="C1118" s="53"/>
      <c r="D1118" s="53"/>
      <c r="E1118" s="53"/>
    </row>
    <row r="1119" spans="3:5" ht="12">
      <c r="C1119" s="53"/>
      <c r="D1119" s="53"/>
      <c r="E1119" s="53"/>
    </row>
    <row r="1120" spans="3:5" ht="12">
      <c r="C1120" s="53"/>
      <c r="D1120" s="53"/>
      <c r="E1120" s="53"/>
    </row>
    <row r="1121" spans="3:5" ht="12">
      <c r="C1121" s="53"/>
      <c r="D1121" s="53"/>
      <c r="E1121" s="53"/>
    </row>
    <row r="1122" spans="3:5" ht="12">
      <c r="C1122" s="53"/>
      <c r="D1122" s="53"/>
      <c r="E1122" s="53"/>
    </row>
    <row r="1123" spans="3:5" ht="12">
      <c r="C1123" s="53"/>
      <c r="D1123" s="53"/>
      <c r="E1123" s="53"/>
    </row>
    <row r="1124" spans="3:5" ht="12">
      <c r="C1124" s="53"/>
      <c r="D1124" s="53"/>
      <c r="E1124" s="53"/>
    </row>
    <row r="1125" spans="3:5" ht="12">
      <c r="C1125" s="53"/>
      <c r="D1125" s="53"/>
      <c r="E1125" s="53"/>
    </row>
    <row r="1126" spans="3:5" ht="12">
      <c r="C1126" s="53"/>
      <c r="D1126" s="53"/>
      <c r="E1126" s="53"/>
    </row>
    <row r="1127" spans="3:5" ht="12">
      <c r="C1127" s="53"/>
      <c r="D1127" s="53"/>
      <c r="E1127" s="53"/>
    </row>
    <row r="1128" spans="3:5" ht="12">
      <c r="C1128" s="53"/>
      <c r="D1128" s="53"/>
      <c r="E1128" s="53"/>
    </row>
    <row r="1129" spans="3:5" ht="12">
      <c r="C1129" s="53"/>
      <c r="D1129" s="53"/>
      <c r="E1129" s="53"/>
    </row>
    <row r="1130" spans="3:5" ht="12">
      <c r="C1130" s="53"/>
      <c r="D1130" s="53"/>
      <c r="E1130" s="53"/>
    </row>
    <row r="1131" spans="3:5" ht="12">
      <c r="C1131" s="53"/>
      <c r="D1131" s="53"/>
      <c r="E1131" s="53"/>
    </row>
    <row r="1132" spans="3:5" ht="12">
      <c r="C1132" s="53"/>
      <c r="D1132" s="53"/>
      <c r="E1132" s="53"/>
    </row>
    <row r="1133" spans="3:5" ht="12">
      <c r="C1133" s="53"/>
      <c r="D1133" s="53"/>
      <c r="E1133" s="53"/>
    </row>
    <row r="1134" spans="3:5" ht="12">
      <c r="C1134" s="53"/>
      <c r="D1134" s="53"/>
      <c r="E1134" s="53"/>
    </row>
    <row r="1135" spans="3:5" ht="12">
      <c r="C1135" s="53"/>
      <c r="D1135" s="53"/>
      <c r="E1135" s="53"/>
    </row>
    <row r="1136" spans="3:5" ht="12">
      <c r="C1136" s="53"/>
      <c r="D1136" s="53"/>
      <c r="E1136" s="53"/>
    </row>
    <row r="1137" spans="3:5" ht="12">
      <c r="C1137" s="53"/>
      <c r="D1137" s="53"/>
      <c r="E1137" s="53"/>
    </row>
    <row r="1138" spans="3:5" ht="12">
      <c r="C1138" s="53"/>
      <c r="D1138" s="53"/>
      <c r="E1138" s="53"/>
    </row>
    <row r="1139" spans="3:5" ht="12">
      <c r="C1139" s="53"/>
      <c r="D1139" s="53"/>
      <c r="E1139" s="53"/>
    </row>
    <row r="1140" spans="3:5" ht="12">
      <c r="C1140" s="53"/>
      <c r="D1140" s="53"/>
      <c r="E1140" s="53"/>
    </row>
    <row r="1141" spans="3:5" ht="12">
      <c r="C1141" s="53"/>
      <c r="D1141" s="53"/>
      <c r="E1141" s="53"/>
    </row>
    <row r="1142" spans="3:5" ht="12">
      <c r="C1142" s="53"/>
      <c r="D1142" s="53"/>
      <c r="E1142" s="53"/>
    </row>
    <row r="1143" spans="3:5" ht="12">
      <c r="C1143" s="53"/>
      <c r="D1143" s="53"/>
      <c r="E1143" s="53"/>
    </row>
    <row r="1144" spans="3:5" ht="12">
      <c r="C1144" s="53"/>
      <c r="D1144" s="53"/>
      <c r="E1144" s="53"/>
    </row>
    <row r="1145" spans="3:5" ht="12">
      <c r="C1145" s="53"/>
      <c r="D1145" s="53"/>
      <c r="E1145" s="53"/>
    </row>
    <row r="1146" spans="3:5" ht="12">
      <c r="C1146" s="53"/>
      <c r="D1146" s="53"/>
      <c r="E1146" s="53"/>
    </row>
    <row r="1147" spans="3:5" ht="12">
      <c r="C1147" s="53"/>
      <c r="D1147" s="53"/>
      <c r="E1147" s="53"/>
    </row>
    <row r="1148" spans="3:5" ht="12">
      <c r="C1148" s="53"/>
      <c r="D1148" s="53"/>
      <c r="E1148" s="53"/>
    </row>
    <row r="1149" spans="3:5" ht="12">
      <c r="C1149" s="53"/>
      <c r="D1149" s="53"/>
      <c r="E1149" s="53"/>
    </row>
    <row r="1150" spans="3:5" ht="12">
      <c r="C1150" s="53"/>
      <c r="D1150" s="53"/>
      <c r="E1150" s="53"/>
    </row>
    <row r="1151" spans="3:5" ht="12">
      <c r="C1151" s="53"/>
      <c r="D1151" s="53"/>
      <c r="E1151" s="53"/>
    </row>
    <row r="1152" spans="3:5" ht="12">
      <c r="C1152" s="53"/>
      <c r="D1152" s="53"/>
      <c r="E1152" s="53"/>
    </row>
    <row r="1153" spans="3:5" ht="12">
      <c r="C1153" s="53"/>
      <c r="D1153" s="53"/>
      <c r="E1153" s="53"/>
    </row>
    <row r="1154" spans="3:5" ht="12">
      <c r="C1154" s="53"/>
      <c r="D1154" s="53"/>
      <c r="E1154" s="53"/>
    </row>
    <row r="1155" spans="3:5" ht="12">
      <c r="C1155" s="53"/>
      <c r="D1155" s="53"/>
      <c r="E1155" s="53"/>
    </row>
    <row r="1156" spans="3:5" ht="12">
      <c r="C1156" s="53"/>
      <c r="D1156" s="53"/>
      <c r="E1156" s="53"/>
    </row>
    <row r="1157" spans="3:5" ht="12">
      <c r="C1157" s="53"/>
      <c r="D1157" s="53"/>
      <c r="E1157" s="53"/>
    </row>
    <row r="1158" spans="3:5" ht="12">
      <c r="C1158" s="53"/>
      <c r="D1158" s="53"/>
      <c r="E1158" s="53"/>
    </row>
    <row r="1159" spans="3:5" ht="12">
      <c r="C1159" s="53"/>
      <c r="D1159" s="53"/>
      <c r="E1159" s="53"/>
    </row>
    <row r="1160" spans="3:5" ht="12">
      <c r="C1160" s="53"/>
      <c r="D1160" s="53"/>
      <c r="E1160" s="53"/>
    </row>
    <row r="1161" spans="3:5" ht="12">
      <c r="C1161" s="53"/>
      <c r="D1161" s="53"/>
      <c r="E1161" s="53"/>
    </row>
    <row r="1162" spans="3:5" ht="12">
      <c r="C1162" s="53"/>
      <c r="D1162" s="53"/>
      <c r="E1162" s="53"/>
    </row>
    <row r="1163" spans="3:5" ht="12">
      <c r="C1163" s="53"/>
      <c r="D1163" s="53"/>
      <c r="E1163" s="53"/>
    </row>
    <row r="1164" spans="3:5" ht="12">
      <c r="C1164" s="53"/>
      <c r="D1164" s="53"/>
      <c r="E1164" s="53"/>
    </row>
    <row r="1165" spans="3:5" ht="12">
      <c r="C1165" s="53"/>
      <c r="D1165" s="53"/>
      <c r="E1165" s="53"/>
    </row>
    <row r="1166" spans="3:5" ht="12">
      <c r="C1166" s="53"/>
      <c r="D1166" s="53"/>
      <c r="E1166" s="53"/>
    </row>
    <row r="1167" spans="3:5" ht="12">
      <c r="C1167" s="53"/>
      <c r="D1167" s="53"/>
      <c r="E1167" s="53"/>
    </row>
    <row r="1168" spans="3:5" ht="12">
      <c r="C1168" s="53"/>
      <c r="D1168" s="53"/>
      <c r="E1168" s="53"/>
    </row>
    <row r="1169" spans="3:5" ht="12">
      <c r="C1169" s="53"/>
      <c r="D1169" s="53"/>
      <c r="E1169" s="53"/>
    </row>
    <row r="1170" spans="3:5" ht="12">
      <c r="C1170" s="53"/>
      <c r="D1170" s="53"/>
      <c r="E1170" s="53"/>
    </row>
    <row r="1171" spans="3:5" ht="12">
      <c r="C1171" s="53"/>
      <c r="D1171" s="53"/>
      <c r="E1171" s="53"/>
    </row>
    <row r="1172" spans="3:5" ht="12">
      <c r="C1172" s="53"/>
      <c r="D1172" s="53"/>
      <c r="E1172" s="53"/>
    </row>
    <row r="1173" spans="3:5" ht="12">
      <c r="C1173" s="53"/>
      <c r="D1173" s="53"/>
      <c r="E1173" s="53"/>
    </row>
    <row r="1174" spans="3:5" ht="12">
      <c r="C1174" s="53"/>
      <c r="D1174" s="53"/>
      <c r="E1174" s="53"/>
    </row>
    <row r="1175" spans="3:5" ht="12">
      <c r="C1175" s="53"/>
      <c r="D1175" s="53"/>
      <c r="E1175" s="53"/>
    </row>
    <row r="1176" spans="3:5" ht="12">
      <c r="C1176" s="53"/>
      <c r="D1176" s="53"/>
      <c r="E1176" s="53"/>
    </row>
    <row r="1177" spans="3:5" ht="12">
      <c r="C1177" s="53"/>
      <c r="D1177" s="53"/>
      <c r="E1177" s="53"/>
    </row>
    <row r="1178" spans="3:5" ht="12">
      <c r="C1178" s="53"/>
      <c r="D1178" s="53"/>
      <c r="E1178" s="53"/>
    </row>
    <row r="1179" spans="3:5" ht="12">
      <c r="C1179" s="53"/>
      <c r="D1179" s="53"/>
      <c r="E1179" s="53"/>
    </row>
    <row r="1180" spans="3:5" ht="12">
      <c r="C1180" s="53"/>
      <c r="D1180" s="53"/>
      <c r="E1180" s="53"/>
    </row>
    <row r="1181" spans="3:5" ht="12">
      <c r="C1181" s="53"/>
      <c r="D1181" s="53"/>
      <c r="E1181" s="53"/>
    </row>
    <row r="1182" spans="3:5" ht="12">
      <c r="C1182" s="53"/>
      <c r="D1182" s="53"/>
      <c r="E1182" s="53"/>
    </row>
    <row r="1183" spans="3:5" ht="12">
      <c r="C1183" s="53"/>
      <c r="D1183" s="53"/>
      <c r="E1183" s="53"/>
    </row>
    <row r="1184" spans="3:5" ht="12">
      <c r="C1184" s="53"/>
      <c r="D1184" s="53"/>
      <c r="E1184" s="53"/>
    </row>
    <row r="1185" spans="3:5" ht="12">
      <c r="C1185" s="53"/>
      <c r="D1185" s="53"/>
      <c r="E1185" s="53"/>
    </row>
    <row r="1186" spans="3:5" ht="12">
      <c r="C1186" s="53"/>
      <c r="D1186" s="53"/>
      <c r="E1186" s="53"/>
    </row>
    <row r="1187" spans="3:5" ht="12">
      <c r="C1187" s="53"/>
      <c r="D1187" s="53"/>
      <c r="E1187" s="53"/>
    </row>
    <row r="1188" spans="3:5" ht="12">
      <c r="C1188" s="53"/>
      <c r="D1188" s="53"/>
      <c r="E1188" s="53"/>
    </row>
    <row r="1189" spans="3:5" ht="12">
      <c r="C1189" s="53"/>
      <c r="D1189" s="53"/>
      <c r="E1189" s="53"/>
    </row>
    <row r="1190" spans="3:5" ht="12">
      <c r="C1190" s="53"/>
      <c r="D1190" s="53"/>
      <c r="E1190" s="53"/>
    </row>
    <row r="1191" spans="3:5" ht="12">
      <c r="C1191" s="53"/>
      <c r="D1191" s="53"/>
      <c r="E1191" s="53"/>
    </row>
    <row r="1192" spans="3:5" ht="12">
      <c r="C1192" s="53"/>
      <c r="D1192" s="53"/>
      <c r="E1192" s="53"/>
    </row>
    <row r="1193" spans="3:5" ht="12">
      <c r="C1193" s="53"/>
      <c r="D1193" s="53"/>
      <c r="E1193" s="53"/>
    </row>
    <row r="1194" spans="3:5" ht="12">
      <c r="C1194" s="53"/>
      <c r="D1194" s="53"/>
      <c r="E1194" s="53"/>
    </row>
    <row r="1195" spans="3:5" ht="12">
      <c r="C1195" s="53"/>
      <c r="D1195" s="53"/>
      <c r="E1195" s="53"/>
    </row>
    <row r="1196" spans="3:5" ht="12">
      <c r="C1196" s="53"/>
      <c r="D1196" s="53"/>
      <c r="E1196" s="53"/>
    </row>
    <row r="1197" spans="3:5" ht="12">
      <c r="C1197" s="53"/>
      <c r="D1197" s="53"/>
      <c r="E1197" s="53"/>
    </row>
    <row r="1198" spans="3:5" ht="12">
      <c r="C1198" s="53"/>
      <c r="D1198" s="53"/>
      <c r="E1198" s="53"/>
    </row>
    <row r="1199" spans="3:5" ht="12">
      <c r="C1199" s="53"/>
      <c r="D1199" s="53"/>
      <c r="E1199" s="53"/>
    </row>
    <row r="1200" spans="3:5" ht="12">
      <c r="C1200" s="53"/>
      <c r="D1200" s="53"/>
      <c r="E1200" s="53"/>
    </row>
    <row r="1201" spans="3:5" ht="12">
      <c r="C1201" s="53"/>
      <c r="D1201" s="53"/>
      <c r="E1201" s="53"/>
    </row>
    <row r="1202" spans="3:5" ht="12">
      <c r="C1202" s="53"/>
      <c r="D1202" s="53"/>
      <c r="E1202" s="53"/>
    </row>
    <row r="1203" spans="3:5" ht="12">
      <c r="C1203" s="53"/>
      <c r="D1203" s="53"/>
      <c r="E1203" s="53"/>
    </row>
    <row r="1204" spans="3:5" ht="12">
      <c r="C1204" s="53"/>
      <c r="D1204" s="53"/>
      <c r="E1204" s="53"/>
    </row>
    <row r="1205" spans="3:5" ht="12">
      <c r="C1205" s="53"/>
      <c r="D1205" s="53"/>
      <c r="E1205" s="53"/>
    </row>
    <row r="1206" spans="3:5" ht="12">
      <c r="C1206" s="53"/>
      <c r="D1206" s="53"/>
      <c r="E1206" s="53"/>
    </row>
    <row r="1207" spans="3:5" ht="12">
      <c r="C1207" s="53"/>
      <c r="D1207" s="53"/>
      <c r="E1207" s="53"/>
    </row>
    <row r="1208" spans="3:5" ht="12">
      <c r="C1208" s="53"/>
      <c r="D1208" s="53"/>
      <c r="E1208" s="53"/>
    </row>
    <row r="1209" spans="3:5" ht="12">
      <c r="C1209" s="53"/>
      <c r="D1209" s="53"/>
      <c r="E1209" s="53"/>
    </row>
    <row r="1210" spans="3:5" ht="12">
      <c r="C1210" s="53"/>
      <c r="D1210" s="53"/>
      <c r="E1210" s="53"/>
    </row>
    <row r="1211" spans="3:5" ht="12">
      <c r="C1211" s="53"/>
      <c r="D1211" s="53"/>
      <c r="E1211" s="53"/>
    </row>
    <row r="1212" spans="3:5" ht="12">
      <c r="C1212" s="53"/>
      <c r="D1212" s="53"/>
      <c r="E1212" s="53"/>
    </row>
    <row r="1213" spans="3:5" ht="12">
      <c r="C1213" s="53"/>
      <c r="D1213" s="53"/>
      <c r="E1213" s="53"/>
    </row>
    <row r="1214" spans="3:5" ht="12">
      <c r="C1214" s="53"/>
      <c r="D1214" s="53"/>
      <c r="E1214" s="53"/>
    </row>
    <row r="1215" spans="3:5" ht="12">
      <c r="C1215" s="53"/>
      <c r="D1215" s="53"/>
      <c r="E1215" s="53"/>
    </row>
    <row r="1216" spans="3:5" ht="12">
      <c r="C1216" s="53"/>
      <c r="D1216" s="53"/>
      <c r="E1216" s="53"/>
    </row>
    <row r="1217" spans="3:5" ht="12">
      <c r="C1217" s="53"/>
      <c r="D1217" s="53"/>
      <c r="E1217" s="53"/>
    </row>
    <row r="1218" spans="3:5" ht="12">
      <c r="C1218" s="53"/>
      <c r="D1218" s="53"/>
      <c r="E1218" s="53"/>
    </row>
    <row r="1219" spans="3:5" ht="12">
      <c r="C1219" s="53"/>
      <c r="D1219" s="53"/>
      <c r="E1219" s="53"/>
    </row>
    <row r="1220" spans="3:5" ht="12">
      <c r="C1220" s="53"/>
      <c r="D1220" s="53"/>
      <c r="E1220" s="53"/>
    </row>
    <row r="1221" spans="3:5" ht="12">
      <c r="C1221" s="53"/>
      <c r="D1221" s="53"/>
      <c r="E1221" s="53"/>
    </row>
    <row r="1222" spans="3:5" ht="12">
      <c r="C1222" s="53"/>
      <c r="D1222" s="53"/>
      <c r="E1222" s="53"/>
    </row>
    <row r="1223" spans="3:5" ht="12">
      <c r="C1223" s="53"/>
      <c r="D1223" s="53"/>
      <c r="E1223" s="53"/>
    </row>
    <row r="1224" spans="3:5" ht="12">
      <c r="C1224" s="53"/>
      <c r="D1224" s="53"/>
      <c r="E1224" s="53"/>
    </row>
    <row r="1225" spans="3:5" ht="12">
      <c r="C1225" s="53"/>
      <c r="D1225" s="53"/>
      <c r="E1225" s="53"/>
    </row>
    <row r="1226" spans="3:5" ht="12">
      <c r="C1226" s="53"/>
      <c r="D1226" s="53"/>
      <c r="E1226" s="53"/>
    </row>
    <row r="1227" spans="3:5" ht="12">
      <c r="C1227" s="53"/>
      <c r="D1227" s="53"/>
      <c r="E1227" s="53"/>
    </row>
    <row r="1228" spans="3:5" ht="12">
      <c r="C1228" s="53"/>
      <c r="D1228" s="53"/>
      <c r="E1228" s="53"/>
    </row>
    <row r="1229" spans="3:5" ht="12">
      <c r="C1229" s="53"/>
      <c r="D1229" s="53"/>
      <c r="E1229" s="53"/>
    </row>
    <row r="1230" spans="3:5" ht="12">
      <c r="C1230" s="53"/>
      <c r="D1230" s="53"/>
      <c r="E1230" s="53"/>
    </row>
    <row r="1231" spans="3:5" ht="12">
      <c r="C1231" s="53"/>
      <c r="D1231" s="53"/>
      <c r="E1231" s="53"/>
    </row>
    <row r="1232" spans="3:5" ht="12">
      <c r="C1232" s="53"/>
      <c r="D1232" s="53"/>
      <c r="E1232" s="53"/>
    </row>
    <row r="1233" spans="3:5" ht="12">
      <c r="C1233" s="53"/>
      <c r="D1233" s="53"/>
      <c r="E1233" s="53"/>
    </row>
    <row r="1234" spans="3:5" ht="12">
      <c r="C1234" s="53"/>
      <c r="D1234" s="53"/>
      <c r="E1234" s="53"/>
    </row>
    <row r="1235" spans="3:5" ht="12">
      <c r="C1235" s="53"/>
      <c r="D1235" s="53"/>
      <c r="E1235" s="53"/>
    </row>
    <row r="1236" spans="3:5" ht="12">
      <c r="C1236" s="53"/>
      <c r="D1236" s="53"/>
      <c r="E1236" s="53"/>
    </row>
    <row r="1237" spans="3:5" ht="12">
      <c r="C1237" s="53"/>
      <c r="D1237" s="53"/>
      <c r="E1237" s="53"/>
    </row>
    <row r="1238" spans="3:5" ht="12">
      <c r="C1238" s="53"/>
      <c r="D1238" s="53"/>
      <c r="E1238" s="53"/>
    </row>
    <row r="1239" spans="3:5" ht="12">
      <c r="C1239" s="53"/>
      <c r="D1239" s="53"/>
      <c r="E1239" s="53"/>
    </row>
    <row r="1240" spans="3:5" ht="12">
      <c r="C1240" s="53"/>
      <c r="D1240" s="53"/>
      <c r="E1240" s="53"/>
    </row>
    <row r="1241" spans="3:5" ht="12">
      <c r="C1241" s="53"/>
      <c r="D1241" s="53"/>
      <c r="E1241" s="53"/>
    </row>
    <row r="1242" spans="3:5" ht="12">
      <c r="C1242" s="53"/>
      <c r="D1242" s="53"/>
      <c r="E1242" s="53"/>
    </row>
    <row r="1243" spans="3:5" ht="12">
      <c r="C1243" s="53"/>
      <c r="D1243" s="53"/>
      <c r="E1243" s="53"/>
    </row>
    <row r="1244" spans="3:5" ht="12">
      <c r="C1244" s="53"/>
      <c r="D1244" s="53"/>
      <c r="E1244" s="53"/>
    </row>
    <row r="1245" spans="3:5" ht="12">
      <c r="C1245" s="53"/>
      <c r="D1245" s="53"/>
      <c r="E1245" s="53"/>
    </row>
    <row r="1246" spans="3:5" ht="12">
      <c r="C1246" s="53"/>
      <c r="D1246" s="53"/>
      <c r="E1246" s="53"/>
    </row>
    <row r="1247" spans="3:5" ht="12">
      <c r="C1247" s="53"/>
      <c r="D1247" s="53"/>
      <c r="E1247" s="53"/>
    </row>
    <row r="1248" spans="3:5" ht="12">
      <c r="C1248" s="53"/>
      <c r="D1248" s="53"/>
      <c r="E1248" s="53"/>
    </row>
    <row r="1249" spans="3:5" ht="12">
      <c r="C1249" s="53"/>
      <c r="D1249" s="53"/>
      <c r="E1249" s="53"/>
    </row>
    <row r="1250" spans="3:5" ht="12">
      <c r="C1250" s="53"/>
      <c r="D1250" s="53"/>
      <c r="E1250" s="53"/>
    </row>
    <row r="1251" spans="3:5" ht="12">
      <c r="C1251" s="53"/>
      <c r="D1251" s="53"/>
      <c r="E1251" s="53"/>
    </row>
    <row r="1252" spans="3:5" ht="12">
      <c r="C1252" s="53"/>
      <c r="D1252" s="53"/>
      <c r="E1252" s="53"/>
    </row>
    <row r="1253" spans="3:5" ht="12">
      <c r="C1253" s="53"/>
      <c r="D1253" s="53"/>
      <c r="E1253" s="53"/>
    </row>
    <row r="1254" spans="3:5" ht="12">
      <c r="C1254" s="53"/>
      <c r="D1254" s="53"/>
      <c r="E1254" s="53"/>
    </row>
    <row r="1255" spans="3:5" ht="12">
      <c r="C1255" s="53"/>
      <c r="D1255" s="53"/>
      <c r="E1255" s="53"/>
    </row>
    <row r="1256" spans="3:5" ht="12">
      <c r="C1256" s="53"/>
      <c r="D1256" s="53"/>
      <c r="E1256" s="53"/>
    </row>
    <row r="1257" spans="3:5" ht="12">
      <c r="C1257" s="53"/>
      <c r="D1257" s="53"/>
      <c r="E1257" s="53"/>
    </row>
    <row r="1258" spans="3:5" ht="12">
      <c r="C1258" s="53"/>
      <c r="D1258" s="53"/>
      <c r="E1258" s="53"/>
    </row>
    <row r="1259" spans="3:5" ht="12">
      <c r="C1259" s="53"/>
      <c r="D1259" s="53"/>
      <c r="E1259" s="53"/>
    </row>
    <row r="1260" spans="3:5" ht="12">
      <c r="C1260" s="53"/>
      <c r="D1260" s="53"/>
      <c r="E1260" s="53"/>
    </row>
    <row r="1261" spans="3:5" ht="12">
      <c r="C1261" s="53"/>
      <c r="D1261" s="53"/>
      <c r="E1261" s="53"/>
    </row>
    <row r="1262" spans="3:5" ht="12">
      <c r="C1262" s="53"/>
      <c r="D1262" s="53"/>
      <c r="E1262" s="53"/>
    </row>
    <row r="1263" spans="3:5" ht="12">
      <c r="C1263" s="53"/>
      <c r="D1263" s="53"/>
      <c r="E1263" s="53"/>
    </row>
    <row r="1264" spans="3:5" ht="12">
      <c r="C1264" s="53"/>
      <c r="D1264" s="53"/>
      <c r="E1264" s="53"/>
    </row>
    <row r="1265" spans="3:5" ht="12">
      <c r="C1265" s="53"/>
      <c r="D1265" s="53"/>
      <c r="E1265" s="53"/>
    </row>
    <row r="1266" spans="3:5" ht="12">
      <c r="C1266" s="53"/>
      <c r="D1266" s="53"/>
      <c r="E1266" s="53"/>
    </row>
    <row r="1267" spans="3:5" ht="12">
      <c r="C1267" s="53"/>
      <c r="D1267" s="53"/>
      <c r="E1267" s="53"/>
    </row>
    <row r="1268" spans="3:5" ht="12">
      <c r="C1268" s="53"/>
      <c r="D1268" s="53"/>
      <c r="E1268" s="53"/>
    </row>
    <row r="1269" spans="3:5" ht="12">
      <c r="C1269" s="53"/>
      <c r="D1269" s="53"/>
      <c r="E1269" s="53"/>
    </row>
    <row r="1270" spans="3:5" ht="12">
      <c r="C1270" s="53"/>
      <c r="D1270" s="53"/>
      <c r="E1270" s="53"/>
    </row>
    <row r="1271" spans="3:5" ht="12">
      <c r="C1271" s="53"/>
      <c r="D1271" s="53"/>
      <c r="E1271" s="53"/>
    </row>
    <row r="1272" spans="3:5" ht="12">
      <c r="C1272" s="53"/>
      <c r="D1272" s="53"/>
      <c r="E1272" s="53"/>
    </row>
    <row r="1273" spans="3:5" ht="12">
      <c r="C1273" s="53"/>
      <c r="D1273" s="53"/>
      <c r="E1273" s="53"/>
    </row>
    <row r="1274" spans="3:5" ht="12">
      <c r="C1274" s="53"/>
      <c r="D1274" s="53"/>
      <c r="E1274" s="53"/>
    </row>
    <row r="1275" spans="3:5" ht="12">
      <c r="C1275" s="53"/>
      <c r="D1275" s="53"/>
      <c r="E1275" s="53"/>
    </row>
    <row r="1276" spans="3:5" ht="12">
      <c r="C1276" s="53"/>
      <c r="D1276" s="53"/>
      <c r="E1276" s="53"/>
    </row>
    <row r="1277" spans="3:5" ht="12">
      <c r="C1277" s="53"/>
      <c r="D1277" s="53"/>
      <c r="E1277" s="53"/>
    </row>
    <row r="1278" spans="3:5" ht="12">
      <c r="C1278" s="53"/>
      <c r="D1278" s="53"/>
      <c r="E1278" s="53"/>
    </row>
    <row r="1279" spans="3:5" ht="12">
      <c r="C1279" s="53"/>
      <c r="D1279" s="53"/>
      <c r="E1279" s="53"/>
    </row>
    <row r="1280" spans="3:5" ht="12">
      <c r="C1280" s="53"/>
      <c r="D1280" s="53"/>
      <c r="E1280" s="53"/>
    </row>
    <row r="1281" spans="3:5" ht="12">
      <c r="C1281" s="53"/>
      <c r="D1281" s="53"/>
      <c r="E1281" s="53"/>
    </row>
    <row r="1282" spans="3:5" ht="12">
      <c r="C1282" s="53"/>
      <c r="D1282" s="53"/>
      <c r="E1282" s="53"/>
    </row>
    <row r="1283" spans="3:5" ht="12">
      <c r="C1283" s="53"/>
      <c r="D1283" s="53"/>
      <c r="E1283" s="53"/>
    </row>
    <row r="1284" spans="3:5" ht="12">
      <c r="C1284" s="53"/>
      <c r="D1284" s="53"/>
      <c r="E1284" s="53"/>
    </row>
    <row r="1285" spans="3:5" ht="12">
      <c r="C1285" s="53"/>
      <c r="D1285" s="53"/>
      <c r="E1285" s="53"/>
    </row>
    <row r="1286" spans="3:5" ht="12">
      <c r="C1286" s="53"/>
      <c r="D1286" s="53"/>
      <c r="E1286" s="53"/>
    </row>
    <row r="1287" spans="3:5" ht="12">
      <c r="C1287" s="53"/>
      <c r="D1287" s="53"/>
      <c r="E1287" s="53"/>
    </row>
    <row r="1288" spans="3:5" ht="12">
      <c r="C1288" s="53"/>
      <c r="D1288" s="53"/>
      <c r="E1288" s="53"/>
    </row>
    <row r="1289" spans="3:5" ht="12">
      <c r="C1289" s="53"/>
      <c r="D1289" s="53"/>
      <c r="E1289" s="53"/>
    </row>
    <row r="1290" spans="3:5" ht="12">
      <c r="C1290" s="53"/>
      <c r="D1290" s="53"/>
      <c r="E1290" s="53"/>
    </row>
    <row r="1291" spans="3:5" ht="12">
      <c r="C1291" s="53"/>
      <c r="D1291" s="53"/>
      <c r="E1291" s="53"/>
    </row>
    <row r="1292" spans="3:5" ht="12">
      <c r="C1292" s="53"/>
      <c r="D1292" s="53"/>
      <c r="E1292" s="53"/>
    </row>
    <row r="1293" spans="3:5" ht="12">
      <c r="C1293" s="53"/>
      <c r="D1293" s="53"/>
      <c r="E1293" s="53"/>
    </row>
    <row r="1294" spans="3:5" ht="12">
      <c r="C1294" s="53"/>
      <c r="D1294" s="53"/>
      <c r="E1294" s="53"/>
    </row>
    <row r="1295" spans="3:5" ht="12">
      <c r="C1295" s="53"/>
      <c r="D1295" s="53"/>
      <c r="E1295" s="53"/>
    </row>
    <row r="1296" spans="3:5" ht="12">
      <c r="C1296" s="53"/>
      <c r="D1296" s="53"/>
      <c r="E1296" s="53"/>
    </row>
    <row r="1297" spans="3:5" ht="12">
      <c r="C1297" s="53"/>
      <c r="D1297" s="53"/>
      <c r="E1297" s="53"/>
    </row>
    <row r="1298" spans="3:5" ht="12">
      <c r="C1298" s="53"/>
      <c r="D1298" s="53"/>
      <c r="E1298" s="53"/>
    </row>
    <row r="1299" spans="3:5" ht="12">
      <c r="C1299" s="53"/>
      <c r="D1299" s="53"/>
      <c r="E1299" s="53"/>
    </row>
    <row r="1300" spans="3:5" ht="12">
      <c r="C1300" s="53"/>
      <c r="D1300" s="53"/>
      <c r="E1300" s="53"/>
    </row>
    <row r="1301" spans="3:5" ht="12">
      <c r="C1301" s="53"/>
      <c r="D1301" s="53"/>
      <c r="E1301" s="53"/>
    </row>
    <row r="1302" spans="3:5" ht="12">
      <c r="C1302" s="53"/>
      <c r="D1302" s="53"/>
      <c r="E1302" s="53"/>
    </row>
    <row r="1303" spans="3:5" ht="12">
      <c r="C1303" s="53"/>
      <c r="D1303" s="53"/>
      <c r="E1303" s="53"/>
    </row>
    <row r="1304" spans="3:5" ht="12">
      <c r="C1304" s="53"/>
      <c r="D1304" s="53"/>
      <c r="E1304" s="53"/>
    </row>
    <row r="1305" spans="3:5" ht="12">
      <c r="C1305" s="53"/>
      <c r="D1305" s="53"/>
      <c r="E1305" s="53"/>
    </row>
    <row r="1306" spans="3:5" ht="12">
      <c r="C1306" s="53"/>
      <c r="D1306" s="53"/>
      <c r="E1306" s="53"/>
    </row>
    <row r="1307" spans="3:5" ht="12">
      <c r="C1307" s="53"/>
      <c r="D1307" s="53"/>
      <c r="E1307" s="53"/>
    </row>
    <row r="1308" spans="3:5" ht="12">
      <c r="C1308" s="53"/>
      <c r="D1308" s="53"/>
      <c r="E1308" s="53"/>
    </row>
    <row r="1309" spans="3:5" ht="12">
      <c r="C1309" s="53"/>
      <c r="D1309" s="53"/>
      <c r="E1309" s="53"/>
    </row>
    <row r="1310" spans="3:5" ht="12">
      <c r="C1310" s="53"/>
      <c r="D1310" s="53"/>
      <c r="E1310" s="53"/>
    </row>
    <row r="1311" spans="3:5" ht="12">
      <c r="C1311" s="53"/>
      <c r="D1311" s="53"/>
      <c r="E1311" s="53"/>
    </row>
    <row r="1312" spans="3:5" ht="12">
      <c r="C1312" s="53"/>
      <c r="D1312" s="53"/>
      <c r="E1312" s="53"/>
    </row>
    <row r="1313" spans="3:5" ht="12">
      <c r="C1313" s="53"/>
      <c r="D1313" s="53"/>
      <c r="E1313" s="53"/>
    </row>
    <row r="1314" spans="3:5" ht="12">
      <c r="C1314" s="53"/>
      <c r="D1314" s="53"/>
      <c r="E1314" s="53"/>
    </row>
    <row r="1315" spans="3:5" ht="12">
      <c r="C1315" s="53"/>
      <c r="D1315" s="53"/>
      <c r="E1315" s="53"/>
    </row>
    <row r="1316" spans="3:5" ht="12">
      <c r="C1316" s="53"/>
      <c r="D1316" s="53"/>
      <c r="E1316" s="53"/>
    </row>
    <row r="1317" spans="3:5" ht="12">
      <c r="C1317" s="53"/>
      <c r="D1317" s="53"/>
      <c r="E1317" s="53"/>
    </row>
    <row r="1318" spans="3:5" ht="12">
      <c r="C1318" s="53"/>
      <c r="D1318" s="53"/>
      <c r="E1318" s="53"/>
    </row>
    <row r="1319" spans="3:5" ht="12">
      <c r="C1319" s="53"/>
      <c r="D1319" s="53"/>
      <c r="E1319" s="53"/>
    </row>
    <row r="1320" spans="3:5" ht="12">
      <c r="C1320" s="53"/>
      <c r="D1320" s="53"/>
      <c r="E1320" s="53"/>
    </row>
    <row r="1321" spans="3:5" ht="12">
      <c r="C1321" s="53"/>
      <c r="D1321" s="53"/>
      <c r="E1321" s="53"/>
    </row>
    <row r="1322" spans="3:5" ht="12">
      <c r="C1322" s="53"/>
      <c r="D1322" s="53"/>
      <c r="E1322" s="53"/>
    </row>
    <row r="1323" spans="3:5" ht="12">
      <c r="C1323" s="53"/>
      <c r="D1323" s="53"/>
      <c r="E1323" s="53"/>
    </row>
    <row r="1324" spans="3:5" ht="12">
      <c r="C1324" s="53"/>
      <c r="D1324" s="53"/>
      <c r="E1324" s="53"/>
    </row>
    <row r="1325" spans="3:5" ht="12">
      <c r="C1325" s="53"/>
      <c r="D1325" s="53"/>
      <c r="E1325" s="53"/>
    </row>
    <row r="1326" spans="3:5" ht="12">
      <c r="C1326" s="53"/>
      <c r="D1326" s="53"/>
      <c r="E1326" s="53"/>
    </row>
    <row r="1327" spans="3:5" ht="12">
      <c r="C1327" s="53"/>
      <c r="D1327" s="53"/>
      <c r="E1327" s="53"/>
    </row>
    <row r="1328" spans="3:5" ht="12">
      <c r="C1328" s="53"/>
      <c r="D1328" s="53"/>
      <c r="E1328" s="53"/>
    </row>
    <row r="1329" spans="3:5" ht="12">
      <c r="C1329" s="53"/>
      <c r="D1329" s="53"/>
      <c r="E1329" s="53"/>
    </row>
    <row r="1330" spans="3:5" ht="12">
      <c r="C1330" s="53"/>
      <c r="D1330" s="53"/>
      <c r="E1330" s="53"/>
    </row>
    <row r="1331" spans="3:5" ht="12">
      <c r="C1331" s="53"/>
      <c r="D1331" s="53"/>
      <c r="E1331" s="53"/>
    </row>
    <row r="1332" spans="3:5" ht="12">
      <c r="C1332" s="53"/>
      <c r="D1332" s="53"/>
      <c r="E1332" s="53"/>
    </row>
    <row r="1333" spans="3:5" ht="12">
      <c r="C1333" s="53"/>
      <c r="D1333" s="53"/>
      <c r="E1333" s="53"/>
    </row>
    <row r="1334" spans="3:5" ht="12">
      <c r="C1334" s="53"/>
      <c r="D1334" s="53"/>
      <c r="E1334" s="53"/>
    </row>
    <row r="1335" spans="3:5" ht="12">
      <c r="C1335" s="53"/>
      <c r="D1335" s="53"/>
      <c r="E1335" s="53"/>
    </row>
    <row r="1336" spans="3:5" ht="12">
      <c r="C1336" s="53"/>
      <c r="D1336" s="53"/>
      <c r="E1336" s="53"/>
    </row>
    <row r="1337" spans="3:5" ht="12">
      <c r="C1337" s="53"/>
      <c r="D1337" s="53"/>
      <c r="E1337" s="53"/>
    </row>
    <row r="1338" spans="3:5" ht="12">
      <c r="C1338" s="53"/>
      <c r="D1338" s="53"/>
      <c r="E1338" s="53"/>
    </row>
    <row r="1339" spans="3:5" ht="12">
      <c r="C1339" s="53"/>
      <c r="D1339" s="53"/>
      <c r="E1339" s="53"/>
    </row>
    <row r="1340" spans="3:5" ht="12">
      <c r="C1340" s="53"/>
      <c r="D1340" s="53"/>
      <c r="E1340" s="53"/>
    </row>
    <row r="1341" spans="3:5" ht="12">
      <c r="C1341" s="53"/>
      <c r="D1341" s="53"/>
      <c r="E1341" s="53"/>
    </row>
    <row r="1342" spans="3:5" ht="12">
      <c r="C1342" s="53"/>
      <c r="D1342" s="53"/>
      <c r="E1342" s="53"/>
    </row>
    <row r="1343" spans="3:5" ht="12">
      <c r="C1343" s="53"/>
      <c r="D1343" s="53"/>
      <c r="E1343" s="53"/>
    </row>
    <row r="1344" spans="3:5" ht="12">
      <c r="C1344" s="53"/>
      <c r="D1344" s="53"/>
      <c r="E1344" s="53"/>
    </row>
    <row r="1345" spans="3:5" ht="12">
      <c r="C1345" s="53"/>
      <c r="D1345" s="53"/>
      <c r="E1345" s="53"/>
    </row>
    <row r="1346" spans="3:5" ht="12">
      <c r="C1346" s="53"/>
      <c r="D1346" s="53"/>
      <c r="E1346" s="53"/>
    </row>
    <row r="1347" spans="3:5" ht="12">
      <c r="C1347" s="53"/>
      <c r="D1347" s="53"/>
      <c r="E1347" s="53"/>
    </row>
    <row r="1348" spans="3:5" ht="12">
      <c r="C1348" s="53"/>
      <c r="D1348" s="53"/>
      <c r="E1348" s="53"/>
    </row>
    <row r="1349" spans="3:5" ht="12">
      <c r="C1349" s="53"/>
      <c r="D1349" s="53"/>
      <c r="E1349" s="53"/>
    </row>
    <row r="1350" spans="3:5" ht="12">
      <c r="C1350" s="53"/>
      <c r="D1350" s="53"/>
      <c r="E1350" s="53"/>
    </row>
    <row r="1351" spans="3:5" ht="12">
      <c r="C1351" s="53"/>
      <c r="D1351" s="53"/>
      <c r="E1351" s="53"/>
    </row>
    <row r="1352" spans="3:5" ht="12">
      <c r="C1352" s="53"/>
      <c r="D1352" s="53"/>
      <c r="E1352" s="53"/>
    </row>
    <row r="1353" spans="3:5" ht="12">
      <c r="C1353" s="53"/>
      <c r="D1353" s="53"/>
      <c r="E1353" s="53"/>
    </row>
    <row r="1354" spans="3:5" ht="12">
      <c r="C1354" s="53"/>
      <c r="D1354" s="53"/>
      <c r="E1354" s="53"/>
    </row>
    <row r="1355" spans="3:5" ht="12">
      <c r="C1355" s="53"/>
      <c r="D1355" s="53"/>
      <c r="E1355" s="53"/>
    </row>
    <row r="1356" spans="3:5" ht="12">
      <c r="C1356" s="53"/>
      <c r="D1356" s="53"/>
      <c r="E1356" s="53"/>
    </row>
    <row r="1357" spans="3:5" ht="12">
      <c r="C1357" s="53"/>
      <c r="D1357" s="53"/>
      <c r="E1357" s="53"/>
    </row>
    <row r="1358" spans="3:5" ht="12">
      <c r="C1358" s="53"/>
      <c r="D1358" s="53"/>
      <c r="E1358" s="53"/>
    </row>
    <row r="1359" spans="3:5" ht="12">
      <c r="C1359" s="53"/>
      <c r="D1359" s="53"/>
      <c r="E1359" s="53"/>
    </row>
    <row r="1360" spans="3:5" ht="12">
      <c r="C1360" s="53"/>
      <c r="D1360" s="53"/>
      <c r="E1360" s="53"/>
    </row>
    <row r="1361" spans="3:5" ht="12">
      <c r="C1361" s="53"/>
      <c r="D1361" s="53"/>
      <c r="E1361" s="53"/>
    </row>
    <row r="1362" spans="3:5" ht="12">
      <c r="C1362" s="53"/>
      <c r="D1362" s="53"/>
      <c r="E1362" s="53"/>
    </row>
    <row r="1363" spans="3:5" ht="12">
      <c r="C1363" s="53"/>
      <c r="D1363" s="53"/>
      <c r="E1363" s="53"/>
    </row>
    <row r="1364" spans="3:5" ht="12">
      <c r="C1364" s="53"/>
      <c r="D1364" s="53"/>
      <c r="E1364" s="53"/>
    </row>
    <row r="1365" spans="3:5" ht="12">
      <c r="C1365" s="53"/>
      <c r="D1365" s="53"/>
      <c r="E1365" s="53"/>
    </row>
    <row r="1366" spans="3:5" ht="12">
      <c r="C1366" s="53"/>
      <c r="D1366" s="53"/>
      <c r="E1366" s="53"/>
    </row>
    <row r="1367" spans="3:5" ht="12">
      <c r="C1367" s="53"/>
      <c r="D1367" s="53"/>
      <c r="E1367" s="53"/>
    </row>
    <row r="1368" spans="3:5" ht="12">
      <c r="C1368" s="53"/>
      <c r="D1368" s="53"/>
      <c r="E1368" s="53"/>
    </row>
    <row r="1369" spans="3:5" ht="12">
      <c r="C1369" s="53"/>
      <c r="D1369" s="53"/>
      <c r="E1369" s="53"/>
    </row>
    <row r="1370" spans="3:5" ht="12">
      <c r="C1370" s="53"/>
      <c r="D1370" s="53"/>
      <c r="E1370" s="53"/>
    </row>
    <row r="1371" spans="3:5" ht="12">
      <c r="C1371" s="53"/>
      <c r="D1371" s="53"/>
      <c r="E1371" s="53"/>
    </row>
    <row r="1372" spans="3:5" ht="12">
      <c r="C1372" s="53"/>
      <c r="D1372" s="53"/>
      <c r="E1372" s="53"/>
    </row>
    <row r="1373" spans="3:5" ht="12">
      <c r="C1373" s="53"/>
      <c r="D1373" s="53"/>
      <c r="E1373" s="53"/>
    </row>
    <row r="1374" spans="3:5" ht="12">
      <c r="C1374" s="53"/>
      <c r="D1374" s="53"/>
      <c r="E1374" s="53"/>
    </row>
    <row r="1375" spans="3:5" ht="12">
      <c r="C1375" s="53"/>
      <c r="D1375" s="53"/>
      <c r="E1375" s="53"/>
    </row>
    <row r="1376" spans="3:5" ht="12">
      <c r="C1376" s="53"/>
      <c r="D1376" s="53"/>
      <c r="E1376" s="53"/>
    </row>
    <row r="1377" spans="3:5" ht="12">
      <c r="C1377" s="53"/>
      <c r="D1377" s="53"/>
      <c r="E1377" s="53"/>
    </row>
    <row r="1378" spans="3:5" ht="12">
      <c r="C1378" s="53"/>
      <c r="D1378" s="53"/>
      <c r="E1378" s="53"/>
    </row>
    <row r="1379" spans="3:5" ht="12">
      <c r="C1379" s="53"/>
      <c r="D1379" s="53"/>
      <c r="E1379" s="53"/>
    </row>
    <row r="1380" spans="3:5" ht="12">
      <c r="C1380" s="53"/>
      <c r="D1380" s="53"/>
      <c r="E1380" s="53"/>
    </row>
    <row r="1381" spans="3:5" ht="12">
      <c r="C1381" s="53"/>
      <c r="D1381" s="53"/>
      <c r="E1381" s="53"/>
    </row>
    <row r="1382" spans="3:5" ht="12">
      <c r="C1382" s="53"/>
      <c r="D1382" s="53"/>
      <c r="E1382" s="53"/>
    </row>
    <row r="1383" spans="3:5" ht="12">
      <c r="C1383" s="53"/>
      <c r="D1383" s="53"/>
      <c r="E1383" s="53"/>
    </row>
    <row r="1384" spans="3:5" ht="12">
      <c r="C1384" s="53"/>
      <c r="D1384" s="53"/>
      <c r="E1384" s="53"/>
    </row>
    <row r="1385" spans="3:5" ht="12">
      <c r="C1385" s="53"/>
      <c r="D1385" s="53"/>
      <c r="E1385" s="53"/>
    </row>
    <row r="1386" spans="3:5" ht="12">
      <c r="C1386" s="53"/>
      <c r="D1386" s="53"/>
      <c r="E1386" s="53"/>
    </row>
    <row r="1387" spans="3:5" ht="12">
      <c r="C1387" s="53"/>
      <c r="D1387" s="53"/>
      <c r="E1387" s="53"/>
    </row>
    <row r="1388" spans="3:5" ht="12">
      <c r="C1388" s="53"/>
      <c r="D1388" s="53"/>
      <c r="E1388" s="53"/>
    </row>
    <row r="1389" spans="3:5" ht="12">
      <c r="C1389" s="53"/>
      <c r="D1389" s="53"/>
      <c r="E1389" s="53"/>
    </row>
    <row r="1390" spans="3:5" ht="12">
      <c r="C1390" s="53"/>
      <c r="D1390" s="53"/>
      <c r="E1390" s="53"/>
    </row>
    <row r="1391" spans="3:5" ht="12">
      <c r="C1391" s="53"/>
      <c r="D1391" s="53"/>
      <c r="E1391" s="53"/>
    </row>
    <row r="1392" spans="3:5" ht="12">
      <c r="C1392" s="53"/>
      <c r="D1392" s="53"/>
      <c r="E1392" s="53"/>
    </row>
    <row r="1393" spans="3:5" ht="12">
      <c r="C1393" s="53"/>
      <c r="D1393" s="53"/>
      <c r="E1393" s="53"/>
    </row>
    <row r="1394" spans="3:5" ht="12">
      <c r="C1394" s="53"/>
      <c r="D1394" s="53"/>
      <c r="E1394" s="53"/>
    </row>
    <row r="1395" spans="3:5" ht="12">
      <c r="C1395" s="53"/>
      <c r="D1395" s="53"/>
      <c r="E1395" s="53"/>
    </row>
    <row r="1396" spans="3:5" ht="12">
      <c r="C1396" s="53"/>
      <c r="D1396" s="53"/>
      <c r="E1396" s="53"/>
    </row>
    <row r="1397" spans="3:5" ht="12">
      <c r="C1397" s="53"/>
      <c r="D1397" s="53"/>
      <c r="E1397" s="53"/>
    </row>
    <row r="1398" spans="3:5" ht="12">
      <c r="C1398" s="53"/>
      <c r="D1398" s="53"/>
      <c r="E1398" s="53"/>
    </row>
    <row r="1399" spans="3:5" ht="12">
      <c r="C1399" s="53"/>
      <c r="D1399" s="53"/>
      <c r="E1399" s="53"/>
    </row>
    <row r="1400" spans="3:5" ht="12">
      <c r="C1400" s="53"/>
      <c r="D1400" s="53"/>
      <c r="E1400" s="53"/>
    </row>
    <row r="1401" spans="3:5" ht="12">
      <c r="C1401" s="53"/>
      <c r="D1401" s="53"/>
      <c r="E1401" s="53"/>
    </row>
    <row r="1402" spans="3:5" ht="12">
      <c r="C1402" s="53"/>
      <c r="D1402" s="53"/>
      <c r="E1402" s="53"/>
    </row>
    <row r="1403" spans="3:5" ht="12">
      <c r="C1403" s="53"/>
      <c r="D1403" s="53"/>
      <c r="E1403" s="53"/>
    </row>
    <row r="1404" spans="3:5" ht="12">
      <c r="C1404" s="53"/>
      <c r="D1404" s="53"/>
      <c r="E1404" s="53"/>
    </row>
    <row r="1405" spans="3:5" ht="12">
      <c r="C1405" s="53"/>
      <c r="D1405" s="53"/>
      <c r="E1405" s="53"/>
    </row>
    <row r="1406" spans="3:5" ht="12">
      <c r="C1406" s="53"/>
      <c r="D1406" s="53"/>
      <c r="E1406" s="53"/>
    </row>
    <row r="1407" spans="3:5" ht="12">
      <c r="C1407" s="53"/>
      <c r="D1407" s="53"/>
      <c r="E1407" s="53"/>
    </row>
    <row r="1408" spans="3:5" ht="12">
      <c r="C1408" s="53"/>
      <c r="D1408" s="53"/>
      <c r="E1408" s="53"/>
    </row>
    <row r="1409" spans="3:5" ht="12">
      <c r="C1409" s="53"/>
      <c r="D1409" s="53"/>
      <c r="E1409" s="53"/>
    </row>
    <row r="1410" spans="3:5" ht="12">
      <c r="C1410" s="53"/>
      <c r="D1410" s="53"/>
      <c r="E1410" s="53"/>
    </row>
    <row r="1411" spans="3:5" ht="12">
      <c r="C1411" s="53"/>
      <c r="D1411" s="53"/>
      <c r="E1411" s="53"/>
    </row>
    <row r="1412" spans="3:5" ht="12">
      <c r="C1412" s="53"/>
      <c r="D1412" s="53"/>
      <c r="E1412" s="53"/>
    </row>
    <row r="1413" spans="3:5" ht="12">
      <c r="C1413" s="53"/>
      <c r="D1413" s="53"/>
      <c r="E1413" s="53"/>
    </row>
    <row r="1414" spans="3:5" ht="12">
      <c r="C1414" s="53"/>
      <c r="D1414" s="53"/>
      <c r="E1414" s="53"/>
    </row>
    <row r="1415" spans="3:5" ht="12">
      <c r="C1415" s="53"/>
      <c r="D1415" s="53"/>
      <c r="E1415" s="53"/>
    </row>
    <row r="1416" spans="3:5" ht="12">
      <c r="C1416" s="53"/>
      <c r="D1416" s="53"/>
      <c r="E1416" s="53"/>
    </row>
    <row r="1417" spans="3:5" ht="12">
      <c r="C1417" s="53"/>
      <c r="D1417" s="53"/>
      <c r="E1417" s="53"/>
    </row>
    <row r="1418" spans="3:5" ht="12">
      <c r="C1418" s="53"/>
      <c r="D1418" s="53"/>
      <c r="E1418" s="53"/>
    </row>
    <row r="1419" spans="3:5" ht="12">
      <c r="C1419" s="53"/>
      <c r="D1419" s="53"/>
      <c r="E1419" s="53"/>
    </row>
    <row r="1420" spans="3:5" ht="12">
      <c r="C1420" s="53"/>
      <c r="D1420" s="53"/>
      <c r="E1420" s="53"/>
    </row>
    <row r="1421" spans="3:5" ht="12">
      <c r="C1421" s="53"/>
      <c r="D1421" s="53"/>
      <c r="E1421" s="53"/>
    </row>
    <row r="1422" spans="3:5" ht="12">
      <c r="C1422" s="53"/>
      <c r="D1422" s="53"/>
      <c r="E1422" s="53"/>
    </row>
    <row r="1423" spans="3:5" ht="12">
      <c r="C1423" s="53"/>
      <c r="D1423" s="53"/>
      <c r="E1423" s="53"/>
    </row>
    <row r="1424" spans="3:5" ht="12">
      <c r="C1424" s="53"/>
      <c r="D1424" s="53"/>
      <c r="E1424" s="53"/>
    </row>
    <row r="1425" spans="3:5" ht="12">
      <c r="C1425" s="53"/>
      <c r="D1425" s="53"/>
      <c r="E1425" s="53"/>
    </row>
    <row r="1426" spans="3:5" ht="12">
      <c r="C1426" s="53"/>
      <c r="D1426" s="53"/>
      <c r="E1426" s="53"/>
    </row>
    <row r="1427" spans="3:5" ht="12">
      <c r="C1427" s="53"/>
      <c r="D1427" s="53"/>
      <c r="E1427" s="53"/>
    </row>
    <row r="1428" spans="3:5" ht="12">
      <c r="C1428" s="53"/>
      <c r="D1428" s="53"/>
      <c r="E1428" s="53"/>
    </row>
    <row r="1429" spans="3:5" ht="12">
      <c r="C1429" s="53"/>
      <c r="D1429" s="53"/>
      <c r="E1429" s="53"/>
    </row>
    <row r="1430" spans="3:5" ht="12">
      <c r="C1430" s="53"/>
      <c r="D1430" s="53"/>
      <c r="E1430" s="53"/>
    </row>
    <row r="1431" spans="3:5" ht="12">
      <c r="C1431" s="53"/>
      <c r="D1431" s="53"/>
      <c r="E1431" s="53"/>
    </row>
    <row r="1432" spans="3:5" ht="12">
      <c r="C1432" s="53"/>
      <c r="D1432" s="53"/>
      <c r="E1432" s="53"/>
    </row>
    <row r="1433" spans="3:5" ht="12">
      <c r="C1433" s="53"/>
      <c r="D1433" s="53"/>
      <c r="E1433" s="53"/>
    </row>
    <row r="1434" spans="3:5" ht="12">
      <c r="C1434" s="53"/>
      <c r="D1434" s="53"/>
      <c r="E1434" s="53"/>
    </row>
    <row r="1435" spans="3:5" ht="12">
      <c r="C1435" s="53"/>
      <c r="D1435" s="53"/>
      <c r="E1435" s="53"/>
    </row>
    <row r="1436" spans="3:5" ht="12">
      <c r="C1436" s="53"/>
      <c r="D1436" s="53"/>
      <c r="E1436" s="53"/>
    </row>
    <row r="1437" spans="3:5" ht="12">
      <c r="C1437" s="53"/>
      <c r="D1437" s="53"/>
      <c r="E1437" s="53"/>
    </row>
    <row r="1438" spans="3:5" ht="12">
      <c r="C1438" s="53"/>
      <c r="D1438" s="53"/>
      <c r="E1438" s="53"/>
    </row>
    <row r="1439" spans="3:5" ht="12">
      <c r="C1439" s="53"/>
      <c r="D1439" s="53"/>
      <c r="E1439" s="53"/>
    </row>
    <row r="1440" spans="3:5" ht="12">
      <c r="C1440" s="53"/>
      <c r="D1440" s="53"/>
      <c r="E1440" s="53"/>
    </row>
    <row r="1441" spans="3:5" ht="12">
      <c r="C1441" s="53"/>
      <c r="D1441" s="53"/>
      <c r="E1441" s="53"/>
    </row>
    <row r="1442" spans="3:5" ht="12">
      <c r="C1442" s="53"/>
      <c r="D1442" s="53"/>
      <c r="E1442" s="53"/>
    </row>
    <row r="1443" spans="3:5" ht="12">
      <c r="C1443" s="53"/>
      <c r="D1443" s="53"/>
      <c r="E1443" s="53"/>
    </row>
    <row r="1444" spans="3:5" ht="12">
      <c r="C1444" s="53"/>
      <c r="D1444" s="53"/>
      <c r="E1444" s="53"/>
    </row>
    <row r="1445" spans="3:5" ht="12">
      <c r="C1445" s="53"/>
      <c r="D1445" s="53"/>
      <c r="E1445" s="53"/>
    </row>
    <row r="1446" spans="3:5" ht="12">
      <c r="C1446" s="53"/>
      <c r="D1446" s="53"/>
      <c r="E1446" s="53"/>
    </row>
    <row r="1447" spans="3:5" ht="12">
      <c r="C1447" s="53"/>
      <c r="D1447" s="53"/>
      <c r="E1447" s="53"/>
    </row>
    <row r="1448" spans="3:5" ht="12">
      <c r="C1448" s="53"/>
      <c r="D1448" s="53"/>
      <c r="E1448" s="53"/>
    </row>
    <row r="1449" spans="3:5" ht="12">
      <c r="C1449" s="53"/>
      <c r="D1449" s="53"/>
      <c r="E1449" s="53"/>
    </row>
    <row r="1450" spans="3:5" ht="12">
      <c r="C1450" s="53"/>
      <c r="D1450" s="53"/>
      <c r="E1450" s="53"/>
    </row>
    <row r="1451" spans="3:5" ht="12">
      <c r="C1451" s="53"/>
      <c r="D1451" s="53"/>
      <c r="E1451" s="53"/>
    </row>
    <row r="1452" spans="3:5" ht="12">
      <c r="C1452" s="53"/>
      <c r="D1452" s="53"/>
      <c r="E1452" s="53"/>
    </row>
    <row r="1453" spans="3:5" ht="12">
      <c r="C1453" s="53"/>
      <c r="D1453" s="53"/>
      <c r="E1453" s="53"/>
    </row>
    <row r="1454" spans="3:5" ht="12">
      <c r="C1454" s="53"/>
      <c r="D1454" s="53"/>
      <c r="E1454" s="53"/>
    </row>
    <row r="1455" spans="3:5" ht="12">
      <c r="C1455" s="53"/>
      <c r="D1455" s="53"/>
      <c r="E1455" s="53"/>
    </row>
    <row r="1456" spans="3:5" ht="12">
      <c r="C1456" s="53"/>
      <c r="D1456" s="53"/>
      <c r="E1456" s="53"/>
    </row>
    <row r="1457" spans="3:5" ht="12">
      <c r="C1457" s="53"/>
      <c r="D1457" s="53"/>
      <c r="E1457" s="53"/>
    </row>
    <row r="1458" spans="3:5" ht="12">
      <c r="C1458" s="53"/>
      <c r="D1458" s="53"/>
      <c r="E1458" s="53"/>
    </row>
    <row r="1459" spans="3:5" ht="12">
      <c r="C1459" s="53"/>
      <c r="D1459" s="53"/>
      <c r="E1459" s="53"/>
    </row>
    <row r="1460" spans="3:5" ht="12">
      <c r="C1460" s="53"/>
      <c r="D1460" s="53"/>
      <c r="E1460" s="53"/>
    </row>
    <row r="1461" spans="3:5" ht="12">
      <c r="C1461" s="53"/>
      <c r="D1461" s="53"/>
      <c r="E1461" s="53"/>
    </row>
    <row r="1462" spans="3:5" ht="12">
      <c r="C1462" s="53"/>
      <c r="D1462" s="53"/>
      <c r="E1462" s="53"/>
    </row>
    <row r="1463" spans="3:5" ht="12">
      <c r="C1463" s="53"/>
      <c r="D1463" s="53"/>
      <c r="E1463" s="53"/>
    </row>
    <row r="1464" spans="3:5" ht="12">
      <c r="C1464" s="53"/>
      <c r="D1464" s="53"/>
      <c r="E1464" s="53"/>
    </row>
    <row r="1465" spans="3:5" ht="12">
      <c r="C1465" s="53"/>
      <c r="D1465" s="53"/>
      <c r="E1465" s="53"/>
    </row>
    <row r="1466" spans="3:5" ht="12">
      <c r="C1466" s="53"/>
      <c r="D1466" s="53"/>
      <c r="E1466" s="53"/>
    </row>
    <row r="1467" spans="3:5" ht="12">
      <c r="C1467" s="53"/>
      <c r="D1467" s="53"/>
      <c r="E1467" s="53"/>
    </row>
    <row r="1468" spans="3:5" ht="12">
      <c r="C1468" s="53"/>
      <c r="D1468" s="53"/>
      <c r="E1468" s="53"/>
    </row>
    <row r="1469" spans="3:5" ht="12">
      <c r="C1469" s="53"/>
      <c r="D1469" s="53"/>
      <c r="E1469" s="53"/>
    </row>
    <row r="1470" spans="3:5" ht="12">
      <c r="C1470" s="53"/>
      <c r="D1470" s="53"/>
      <c r="E1470" s="53"/>
    </row>
    <row r="1471" spans="3:5" ht="12">
      <c r="C1471" s="53"/>
      <c r="D1471" s="53"/>
      <c r="E1471" s="53"/>
    </row>
    <row r="1472" spans="3:5" ht="12">
      <c r="C1472" s="53"/>
      <c r="D1472" s="53"/>
      <c r="E1472" s="53"/>
    </row>
    <row r="1473" spans="3:5" ht="12">
      <c r="C1473" s="53"/>
      <c r="D1473" s="53"/>
      <c r="E1473" s="53"/>
    </row>
    <row r="1474" spans="3:5" ht="12">
      <c r="C1474" s="53"/>
      <c r="D1474" s="53"/>
      <c r="E1474" s="53"/>
    </row>
    <row r="1475" spans="3:5" ht="12">
      <c r="C1475" s="53"/>
      <c r="D1475" s="53"/>
      <c r="E1475" s="53"/>
    </row>
    <row r="1476" spans="3:5" ht="12">
      <c r="C1476" s="53"/>
      <c r="D1476" s="53"/>
      <c r="E1476" s="53"/>
    </row>
    <row r="1477" spans="3:5" ht="12">
      <c r="C1477" s="53"/>
      <c r="D1477" s="53"/>
      <c r="E1477" s="53"/>
    </row>
    <row r="1478" spans="3:5" ht="12">
      <c r="C1478" s="53"/>
      <c r="D1478" s="53"/>
      <c r="E1478" s="53"/>
    </row>
    <row r="1479" spans="3:5" ht="12">
      <c r="C1479" s="53"/>
      <c r="D1479" s="53"/>
      <c r="E1479" s="53"/>
    </row>
    <row r="1480" spans="3:5" ht="12">
      <c r="C1480" s="53"/>
      <c r="D1480" s="53"/>
      <c r="E1480" s="53"/>
    </row>
    <row r="1481" spans="3:5" ht="12">
      <c r="C1481" s="53"/>
      <c r="D1481" s="53"/>
      <c r="E1481" s="53"/>
    </row>
    <row r="1482" spans="3:5" ht="12">
      <c r="C1482" s="53"/>
      <c r="D1482" s="53"/>
      <c r="E1482" s="53"/>
    </row>
    <row r="1483" spans="3:5" ht="12">
      <c r="C1483" s="53"/>
      <c r="D1483" s="53"/>
      <c r="E1483" s="53"/>
    </row>
    <row r="1484" spans="3:5" ht="12">
      <c r="C1484" s="53"/>
      <c r="D1484" s="53"/>
      <c r="E1484" s="53"/>
    </row>
    <row r="1485" spans="3:5" ht="12">
      <c r="C1485" s="53"/>
      <c r="D1485" s="53"/>
      <c r="E1485" s="53"/>
    </row>
    <row r="1486" spans="3:5" ht="12">
      <c r="C1486" s="53"/>
      <c r="D1486" s="53"/>
      <c r="E1486" s="53"/>
    </row>
    <row r="1487" spans="3:5" ht="12">
      <c r="C1487" s="53"/>
      <c r="D1487" s="53"/>
      <c r="E1487" s="53"/>
    </row>
    <row r="1488" spans="3:5" ht="12">
      <c r="C1488" s="53"/>
      <c r="D1488" s="53"/>
      <c r="E1488" s="53"/>
    </row>
    <row r="1489" spans="3:5" ht="12">
      <c r="C1489" s="53"/>
      <c r="D1489" s="53"/>
      <c r="E1489" s="53"/>
    </row>
    <row r="1490" spans="3:5" ht="12">
      <c r="C1490" s="53"/>
      <c r="D1490" s="53"/>
      <c r="E1490" s="53"/>
    </row>
    <row r="1491" spans="3:5" ht="12">
      <c r="C1491" s="53"/>
      <c r="D1491" s="53"/>
      <c r="E1491" s="53"/>
    </row>
    <row r="1492" spans="3:5" ht="12">
      <c r="C1492" s="53"/>
      <c r="D1492" s="53"/>
      <c r="E1492" s="53"/>
    </row>
    <row r="1493" spans="3:5" ht="12">
      <c r="C1493" s="53"/>
      <c r="D1493" s="53"/>
      <c r="E1493" s="53"/>
    </row>
    <row r="1494" spans="3:5" ht="12">
      <c r="C1494" s="53"/>
      <c r="D1494" s="53"/>
      <c r="E1494" s="53"/>
    </row>
    <row r="1495" spans="3:5" ht="12">
      <c r="C1495" s="53"/>
      <c r="D1495" s="53"/>
      <c r="E1495" s="53"/>
    </row>
    <row r="1496" spans="3:5" ht="12">
      <c r="C1496" s="53"/>
      <c r="D1496" s="53"/>
      <c r="E1496" s="53"/>
    </row>
    <row r="1497" spans="3:5" ht="12">
      <c r="C1497" s="53"/>
      <c r="D1497" s="53"/>
      <c r="E1497" s="53"/>
    </row>
    <row r="1498" spans="3:5" ht="12">
      <c r="C1498" s="53"/>
      <c r="D1498" s="53"/>
      <c r="E1498" s="53"/>
    </row>
    <row r="1499" spans="3:5" ht="12">
      <c r="C1499" s="53"/>
      <c r="D1499" s="53"/>
      <c r="E1499" s="53"/>
    </row>
    <row r="1500" spans="3:5" ht="12">
      <c r="C1500" s="53"/>
      <c r="D1500" s="53"/>
      <c r="E1500" s="53"/>
    </row>
    <row r="1501" spans="3:5" ht="12">
      <c r="C1501" s="53"/>
      <c r="D1501" s="53"/>
      <c r="E1501" s="53"/>
    </row>
    <row r="1502" spans="3:5" ht="12">
      <c r="C1502" s="53"/>
      <c r="D1502" s="53"/>
      <c r="E1502" s="53"/>
    </row>
    <row r="1503" spans="3:5" ht="12">
      <c r="C1503" s="53"/>
      <c r="D1503" s="53"/>
      <c r="E1503" s="53"/>
    </row>
    <row r="1504" spans="3:5" ht="12">
      <c r="C1504" s="53"/>
      <c r="D1504" s="53"/>
      <c r="E1504" s="53"/>
    </row>
    <row r="1505" spans="3:5" ht="12">
      <c r="C1505" s="53"/>
      <c r="D1505" s="53"/>
      <c r="E1505" s="53"/>
    </row>
    <row r="1506" spans="3:5" ht="12">
      <c r="C1506" s="53"/>
      <c r="D1506" s="53"/>
      <c r="E1506" s="53"/>
    </row>
    <row r="1507" spans="3:5" ht="12">
      <c r="C1507" s="53"/>
      <c r="D1507" s="53"/>
      <c r="E1507" s="53"/>
    </row>
    <row r="1508" spans="3:5" ht="12">
      <c r="C1508" s="53"/>
      <c r="D1508" s="53"/>
      <c r="E1508" s="53"/>
    </row>
    <row r="1509" spans="3:5" ht="12">
      <c r="C1509" s="53"/>
      <c r="D1509" s="53"/>
      <c r="E1509" s="53"/>
    </row>
    <row r="1510" spans="3:5" ht="12">
      <c r="C1510" s="53"/>
      <c r="D1510" s="53"/>
      <c r="E1510" s="53"/>
    </row>
    <row r="1511" spans="3:5" ht="12">
      <c r="C1511" s="53"/>
      <c r="D1511" s="53"/>
      <c r="E1511" s="53"/>
    </row>
    <row r="1512" spans="3:5" ht="12">
      <c r="C1512" s="53"/>
      <c r="D1512" s="53"/>
      <c r="E1512" s="53"/>
    </row>
    <row r="1513" spans="3:5" ht="12">
      <c r="C1513" s="53"/>
      <c r="D1513" s="53"/>
      <c r="E1513" s="53"/>
    </row>
    <row r="1514" spans="3:5" ht="12">
      <c r="C1514" s="53"/>
      <c r="D1514" s="53"/>
      <c r="E1514" s="53"/>
    </row>
    <row r="1515" spans="3:5" ht="12">
      <c r="C1515" s="53"/>
      <c r="D1515" s="53"/>
      <c r="E1515" s="53"/>
    </row>
    <row r="1516" spans="3:5" ht="12">
      <c r="C1516" s="53"/>
      <c r="D1516" s="53"/>
      <c r="E1516" s="53"/>
    </row>
    <row r="1517" spans="3:5" ht="12">
      <c r="C1517" s="53"/>
      <c r="D1517" s="53"/>
      <c r="E1517" s="53"/>
    </row>
    <row r="1518" spans="3:5" ht="12">
      <c r="C1518" s="53"/>
      <c r="D1518" s="53"/>
      <c r="E1518" s="53"/>
    </row>
    <row r="1519" spans="3:5" ht="12">
      <c r="C1519" s="53"/>
      <c r="D1519" s="53"/>
      <c r="E1519" s="53"/>
    </row>
    <row r="1520" spans="3:5" ht="12">
      <c r="C1520" s="53"/>
      <c r="D1520" s="53"/>
      <c r="E1520" s="53"/>
    </row>
    <row r="1521" spans="3:5" ht="12">
      <c r="C1521" s="53"/>
      <c r="D1521" s="53"/>
      <c r="E1521" s="53"/>
    </row>
    <row r="1522" spans="3:5" ht="12">
      <c r="C1522" s="53"/>
      <c r="D1522" s="53"/>
      <c r="E1522" s="53"/>
    </row>
    <row r="1523" spans="3:5" ht="12">
      <c r="C1523" s="53"/>
      <c r="D1523" s="53"/>
      <c r="E1523" s="53"/>
    </row>
    <row r="1524" spans="3:5" ht="12">
      <c r="C1524" s="53"/>
      <c r="D1524" s="53"/>
      <c r="E1524" s="53"/>
    </row>
    <row r="1525" spans="3:5" ht="12">
      <c r="C1525" s="53"/>
      <c r="D1525" s="53"/>
      <c r="E1525" s="53"/>
    </row>
    <row r="1526" spans="3:5" ht="12">
      <c r="C1526" s="53"/>
      <c r="D1526" s="53"/>
      <c r="E1526" s="53"/>
    </row>
    <row r="1527" spans="3:5" ht="12">
      <c r="C1527" s="53"/>
      <c r="D1527" s="53"/>
      <c r="E1527" s="53"/>
    </row>
    <row r="1528" spans="3:5" ht="12">
      <c r="C1528" s="53"/>
      <c r="D1528" s="53"/>
      <c r="E1528" s="53"/>
    </row>
    <row r="1529" spans="3:5" ht="12">
      <c r="C1529" s="53"/>
      <c r="D1529" s="53"/>
      <c r="E1529" s="53"/>
    </row>
    <row r="1530" spans="3:5" ht="12">
      <c r="C1530" s="53"/>
      <c r="D1530" s="53"/>
      <c r="E1530" s="53"/>
    </row>
    <row r="1531" spans="3:5" ht="12">
      <c r="C1531" s="53"/>
      <c r="D1531" s="53"/>
      <c r="E1531" s="53"/>
    </row>
    <row r="1532" spans="3:5" ht="12">
      <c r="C1532" s="53"/>
      <c r="D1532" s="53"/>
      <c r="E1532" s="53"/>
    </row>
    <row r="1533" spans="3:5" ht="12">
      <c r="C1533" s="53"/>
      <c r="D1533" s="53"/>
      <c r="E1533" s="53"/>
    </row>
    <row r="1534" spans="3:5" ht="12">
      <c r="C1534" s="53"/>
      <c r="D1534" s="53"/>
      <c r="E1534" s="53"/>
    </row>
    <row r="1535" spans="3:5" ht="12">
      <c r="C1535" s="53"/>
      <c r="D1535" s="53"/>
      <c r="E1535" s="53"/>
    </row>
    <row r="1536" spans="3:5" ht="12">
      <c r="C1536" s="53"/>
      <c r="D1536" s="53"/>
      <c r="E1536" s="53"/>
    </row>
    <row r="1537" spans="3:5" ht="12">
      <c r="C1537" s="53"/>
      <c r="D1537" s="53"/>
      <c r="E1537" s="53"/>
    </row>
    <row r="1538" spans="3:5" ht="12">
      <c r="C1538" s="53"/>
      <c r="D1538" s="53"/>
      <c r="E1538" s="53"/>
    </row>
    <row r="1539" spans="3:5" ht="12">
      <c r="C1539" s="53"/>
      <c r="D1539" s="53"/>
      <c r="E1539" s="53"/>
    </row>
    <row r="1540" spans="3:5" ht="12">
      <c r="C1540" s="53"/>
      <c r="D1540" s="53"/>
      <c r="E1540" s="53"/>
    </row>
    <row r="1541" spans="3:5" ht="12">
      <c r="C1541" s="53"/>
      <c r="D1541" s="53"/>
      <c r="E1541" s="53"/>
    </row>
    <row r="1542" spans="3:5" ht="12">
      <c r="C1542" s="53"/>
      <c r="D1542" s="53"/>
      <c r="E1542" s="53"/>
    </row>
    <row r="1543" spans="3:5" ht="12">
      <c r="C1543" s="53"/>
      <c r="D1543" s="53"/>
      <c r="E1543" s="53"/>
    </row>
    <row r="1544" spans="3:5" ht="12">
      <c r="C1544" s="53"/>
      <c r="D1544" s="53"/>
      <c r="E1544" s="53"/>
    </row>
    <row r="1545" spans="3:5" ht="12">
      <c r="C1545" s="53"/>
      <c r="D1545" s="53"/>
      <c r="E1545" s="53"/>
    </row>
    <row r="1546" spans="3:5" ht="12">
      <c r="C1546" s="53"/>
      <c r="D1546" s="53"/>
      <c r="E1546" s="53"/>
    </row>
    <row r="1547" spans="3:5" ht="12">
      <c r="C1547" s="53"/>
      <c r="D1547" s="53"/>
      <c r="E1547" s="53"/>
    </row>
    <row r="1548" spans="3:5" ht="12">
      <c r="C1548" s="53"/>
      <c r="D1548" s="53"/>
      <c r="E1548" s="53"/>
    </row>
    <row r="1549" spans="3:5" ht="12">
      <c r="C1549" s="53"/>
      <c r="D1549" s="53"/>
      <c r="E1549" s="53"/>
    </row>
    <row r="1550" spans="3:5" ht="12">
      <c r="C1550" s="53"/>
      <c r="D1550" s="53"/>
      <c r="E1550" s="53"/>
    </row>
    <row r="1551" spans="3:5" ht="12">
      <c r="C1551" s="53"/>
      <c r="D1551" s="53"/>
      <c r="E1551" s="53"/>
    </row>
    <row r="1552" spans="3:5" ht="12">
      <c r="C1552" s="53"/>
      <c r="D1552" s="53"/>
      <c r="E1552" s="53"/>
    </row>
    <row r="1553" spans="3:5" ht="12">
      <c r="C1553" s="53"/>
      <c r="D1553" s="53"/>
      <c r="E1553" s="53"/>
    </row>
    <row r="1554" spans="3:5" ht="12">
      <c r="C1554" s="53"/>
      <c r="D1554" s="53"/>
      <c r="E1554" s="53"/>
    </row>
    <row r="1555" spans="3:5" ht="12">
      <c r="C1555" s="53"/>
      <c r="D1555" s="53"/>
      <c r="E1555" s="53"/>
    </row>
    <row r="1556" spans="3:5" ht="12">
      <c r="C1556" s="53"/>
      <c r="D1556" s="53"/>
      <c r="E1556" s="53"/>
    </row>
    <row r="1557" spans="3:5" ht="12">
      <c r="C1557" s="53"/>
      <c r="D1557" s="53"/>
      <c r="E1557" s="53"/>
    </row>
    <row r="1558" spans="3:5" ht="12">
      <c r="C1558" s="53"/>
      <c r="D1558" s="53"/>
      <c r="E1558" s="53"/>
    </row>
    <row r="1559" spans="3:5" ht="12">
      <c r="C1559" s="53"/>
      <c r="D1559" s="53"/>
      <c r="E1559" s="53"/>
    </row>
    <row r="1560" spans="3:5" ht="12">
      <c r="C1560" s="53"/>
      <c r="D1560" s="53"/>
      <c r="E1560" s="53"/>
    </row>
    <row r="1561" spans="3:5" ht="12">
      <c r="C1561" s="53"/>
      <c r="D1561" s="53"/>
      <c r="E1561" s="53"/>
    </row>
    <row r="1562" spans="3:5" ht="12">
      <c r="C1562" s="53"/>
      <c r="D1562" s="53"/>
      <c r="E1562" s="53"/>
    </row>
    <row r="1563" spans="3:5" ht="12">
      <c r="C1563" s="53"/>
      <c r="D1563" s="53"/>
      <c r="E1563" s="53"/>
    </row>
    <row r="1564" spans="3:5" ht="12">
      <c r="C1564" s="53"/>
      <c r="D1564" s="53"/>
      <c r="E1564" s="53"/>
    </row>
    <row r="1565" spans="3:5" ht="12">
      <c r="C1565" s="53"/>
      <c r="D1565" s="53"/>
      <c r="E1565" s="53"/>
    </row>
    <row r="1566" spans="3:5" ht="12">
      <c r="C1566" s="53"/>
      <c r="D1566" s="53"/>
      <c r="E1566" s="53"/>
    </row>
    <row r="1567" spans="3:5" ht="12">
      <c r="C1567" s="53"/>
      <c r="D1567" s="53"/>
      <c r="E1567" s="53"/>
    </row>
    <row r="1568" spans="3:5" ht="12">
      <c r="C1568" s="53"/>
      <c r="D1568" s="53"/>
      <c r="E1568" s="53"/>
    </row>
    <row r="1569" spans="3:5" ht="12">
      <c r="C1569" s="53"/>
      <c r="D1569" s="53"/>
      <c r="E1569" s="53"/>
    </row>
    <row r="1570" spans="3:5" ht="12">
      <c r="C1570" s="53"/>
      <c r="D1570" s="53"/>
      <c r="E1570" s="53"/>
    </row>
    <row r="1571" spans="3:5" ht="12">
      <c r="C1571" s="53"/>
      <c r="D1571" s="53"/>
      <c r="E1571" s="53"/>
    </row>
    <row r="1572" spans="3:5" ht="12">
      <c r="C1572" s="53"/>
      <c r="D1572" s="53"/>
      <c r="E1572" s="53"/>
    </row>
    <row r="1573" spans="3:5" ht="12">
      <c r="C1573" s="53"/>
      <c r="D1573" s="53"/>
      <c r="E1573" s="53"/>
    </row>
    <row r="1574" spans="3:5" ht="12">
      <c r="C1574" s="53"/>
      <c r="D1574" s="53"/>
      <c r="E1574" s="53"/>
    </row>
    <row r="1575" spans="3:5" ht="12">
      <c r="C1575" s="53"/>
      <c r="D1575" s="53"/>
      <c r="E1575" s="53"/>
    </row>
    <row r="1576" spans="3:5" ht="12">
      <c r="C1576" s="53"/>
      <c r="D1576" s="53"/>
      <c r="E1576" s="53"/>
    </row>
    <row r="1577" spans="3:5" ht="12">
      <c r="C1577" s="53"/>
      <c r="D1577" s="53"/>
      <c r="E1577" s="53"/>
    </row>
    <row r="1578" spans="3:5" ht="12">
      <c r="C1578" s="53"/>
      <c r="D1578" s="53"/>
      <c r="E1578" s="53"/>
    </row>
    <row r="1579" spans="3:5" ht="12">
      <c r="C1579" s="53"/>
      <c r="D1579" s="53"/>
      <c r="E1579" s="53"/>
    </row>
    <row r="1580" spans="3:5" ht="12">
      <c r="C1580" s="53"/>
      <c r="D1580" s="53"/>
      <c r="E1580" s="53"/>
    </row>
    <row r="1581" spans="3:5" ht="12">
      <c r="C1581" s="53"/>
      <c r="D1581" s="53"/>
      <c r="E1581" s="53"/>
    </row>
    <row r="1582" spans="3:5" ht="12">
      <c r="C1582" s="53"/>
      <c r="D1582" s="53"/>
      <c r="E1582" s="53"/>
    </row>
    <row r="1583" spans="3:5" ht="12">
      <c r="C1583" s="53"/>
      <c r="D1583" s="53"/>
      <c r="E1583" s="53"/>
    </row>
    <row r="1584" spans="3:5" ht="12">
      <c r="C1584" s="53"/>
      <c r="D1584" s="53"/>
      <c r="E1584" s="53"/>
    </row>
    <row r="1585" spans="3:5" ht="12">
      <c r="C1585" s="53"/>
      <c r="D1585" s="53"/>
      <c r="E1585" s="53"/>
    </row>
    <row r="1586" spans="3:5" ht="12">
      <c r="C1586" s="53"/>
      <c r="D1586" s="53"/>
      <c r="E1586" s="53"/>
    </row>
    <row r="1587" spans="3:5" ht="12">
      <c r="C1587" s="53"/>
      <c r="D1587" s="53"/>
      <c r="E1587" s="53"/>
    </row>
    <row r="1588" spans="3:5" ht="12">
      <c r="C1588" s="53"/>
      <c r="D1588" s="53"/>
      <c r="E1588" s="53"/>
    </row>
    <row r="1589" spans="3:5" ht="12">
      <c r="C1589" s="53"/>
      <c r="D1589" s="53"/>
      <c r="E1589" s="53"/>
    </row>
    <row r="1590" spans="3:5" ht="12">
      <c r="C1590" s="53"/>
      <c r="D1590" s="53"/>
      <c r="E1590" s="53"/>
    </row>
    <row r="1591" spans="3:5" ht="12">
      <c r="C1591" s="53"/>
      <c r="D1591" s="53"/>
      <c r="E1591" s="53"/>
    </row>
    <row r="1592" spans="3:5" ht="12">
      <c r="C1592" s="53"/>
      <c r="D1592" s="53"/>
      <c r="E1592" s="53"/>
    </row>
    <row r="1593" spans="3:5" ht="12">
      <c r="C1593" s="53"/>
      <c r="D1593" s="53"/>
      <c r="E1593" s="53"/>
    </row>
    <row r="1594" spans="3:5" ht="12">
      <c r="C1594" s="53"/>
      <c r="D1594" s="53"/>
      <c r="E1594" s="53"/>
    </row>
    <row r="1595" spans="3:5" ht="12">
      <c r="C1595" s="53"/>
      <c r="D1595" s="53"/>
      <c r="E1595" s="53"/>
    </row>
    <row r="1596" spans="3:5" ht="12">
      <c r="C1596" s="53"/>
      <c r="D1596" s="53"/>
      <c r="E1596" s="53"/>
    </row>
    <row r="1597" spans="3:5" ht="12">
      <c r="C1597" s="53"/>
      <c r="D1597" s="53"/>
      <c r="E1597" s="53"/>
    </row>
    <row r="1598" spans="3:5" ht="12">
      <c r="C1598" s="53"/>
      <c r="D1598" s="53"/>
      <c r="E1598" s="53"/>
    </row>
    <row r="1599" spans="3:5" ht="12">
      <c r="C1599" s="53"/>
      <c r="D1599" s="53"/>
      <c r="E1599" s="53"/>
    </row>
    <row r="1600" spans="3:5" ht="12">
      <c r="C1600" s="53"/>
      <c r="D1600" s="53"/>
      <c r="E1600" s="53"/>
    </row>
    <row r="1601" spans="3:5" ht="12">
      <c r="C1601" s="53"/>
      <c r="D1601" s="53"/>
      <c r="E1601" s="53"/>
    </row>
    <row r="1602" spans="3:5" ht="12">
      <c r="C1602" s="53"/>
      <c r="D1602" s="53"/>
      <c r="E1602" s="53"/>
    </row>
    <row r="1603" spans="3:5" ht="12">
      <c r="C1603" s="53"/>
      <c r="D1603" s="53"/>
      <c r="E1603" s="53"/>
    </row>
    <row r="1604" spans="3:5" ht="12">
      <c r="C1604" s="53"/>
      <c r="D1604" s="53"/>
      <c r="E1604" s="53"/>
    </row>
    <row r="1605" spans="3:5" ht="12">
      <c r="C1605" s="53"/>
      <c r="D1605" s="53"/>
      <c r="E1605" s="53"/>
    </row>
    <row r="1606" spans="3:5" ht="12">
      <c r="C1606" s="53"/>
      <c r="D1606" s="53"/>
      <c r="E1606" s="53"/>
    </row>
    <row r="1607" spans="3:5" ht="12">
      <c r="C1607" s="53"/>
      <c r="D1607" s="53"/>
      <c r="E1607" s="53"/>
    </row>
    <row r="1608" spans="3:5" ht="12">
      <c r="C1608" s="53"/>
      <c r="D1608" s="53"/>
      <c r="E1608" s="53"/>
    </row>
    <row r="1609" spans="3:5" ht="12">
      <c r="C1609" s="53"/>
      <c r="D1609" s="53"/>
      <c r="E1609" s="53"/>
    </row>
    <row r="1610" spans="3:5" ht="12">
      <c r="C1610" s="53"/>
      <c r="D1610" s="53"/>
      <c r="E1610" s="53"/>
    </row>
    <row r="1611" spans="3:5" ht="12">
      <c r="C1611" s="53"/>
      <c r="D1611" s="53"/>
      <c r="E1611" s="53"/>
    </row>
    <row r="1612" spans="3:5" ht="12">
      <c r="C1612" s="53"/>
      <c r="D1612" s="53"/>
      <c r="E1612" s="53"/>
    </row>
    <row r="1613" spans="3:5" ht="12">
      <c r="C1613" s="53"/>
      <c r="D1613" s="53"/>
      <c r="E1613" s="53"/>
    </row>
    <row r="1614" spans="3:5" ht="12">
      <c r="C1614" s="53"/>
      <c r="D1614" s="53"/>
      <c r="E1614" s="53"/>
    </row>
    <row r="1615" spans="3:5" ht="12">
      <c r="C1615" s="53"/>
      <c r="D1615" s="53"/>
      <c r="E1615" s="53"/>
    </row>
    <row r="1616" spans="3:5" ht="12">
      <c r="C1616" s="53"/>
      <c r="D1616" s="53"/>
      <c r="E1616" s="53"/>
    </row>
    <row r="1617" spans="3:5" ht="12">
      <c r="C1617" s="53"/>
      <c r="D1617" s="53"/>
      <c r="E1617" s="53"/>
    </row>
    <row r="1618" spans="3:5" ht="12">
      <c r="C1618" s="53"/>
      <c r="D1618" s="53"/>
      <c r="E1618" s="53"/>
    </row>
    <row r="1619" spans="3:5" ht="12">
      <c r="C1619" s="53"/>
      <c r="D1619" s="53"/>
      <c r="E1619" s="53"/>
    </row>
    <row r="1620" spans="3:5" ht="12">
      <c r="C1620" s="53"/>
      <c r="D1620" s="53"/>
      <c r="E1620" s="53"/>
    </row>
    <row r="1621" spans="3:5" ht="12">
      <c r="C1621" s="53"/>
      <c r="D1621" s="53"/>
      <c r="E1621" s="53"/>
    </row>
    <row r="1622" spans="3:5" ht="12">
      <c r="C1622" s="53"/>
      <c r="D1622" s="53"/>
      <c r="E1622" s="53"/>
    </row>
    <row r="1623" spans="3:5" ht="12">
      <c r="C1623" s="53"/>
      <c r="D1623" s="53"/>
      <c r="E1623" s="53"/>
    </row>
    <row r="1624" spans="3:5" ht="12">
      <c r="C1624" s="53"/>
      <c r="D1624" s="53"/>
      <c r="E1624" s="53"/>
    </row>
    <row r="1625" spans="3:5" ht="12">
      <c r="C1625" s="53"/>
      <c r="D1625" s="53"/>
      <c r="E1625" s="53"/>
    </row>
    <row r="1626" spans="3:5" ht="12">
      <c r="C1626" s="53"/>
      <c r="D1626" s="53"/>
      <c r="E1626" s="53"/>
    </row>
    <row r="1627" spans="3:5" ht="12">
      <c r="C1627" s="53"/>
      <c r="D1627" s="53"/>
      <c r="E1627" s="53"/>
    </row>
    <row r="1628" spans="3:5" ht="12">
      <c r="C1628" s="53"/>
      <c r="D1628" s="53"/>
      <c r="E1628" s="53"/>
    </row>
    <row r="1629" spans="3:5" ht="12">
      <c r="C1629" s="53"/>
      <c r="D1629" s="53"/>
      <c r="E1629" s="53"/>
    </row>
    <row r="1630" spans="3:5" ht="12">
      <c r="C1630" s="53"/>
      <c r="D1630" s="53"/>
      <c r="E1630" s="53"/>
    </row>
    <row r="1631" spans="3:5" ht="12">
      <c r="C1631" s="53"/>
      <c r="D1631" s="53"/>
      <c r="E1631" s="53"/>
    </row>
    <row r="1632" spans="3:5" ht="12">
      <c r="C1632" s="53"/>
      <c r="D1632" s="53"/>
      <c r="E1632" s="53"/>
    </row>
    <row r="1633" spans="3:5" ht="12">
      <c r="C1633" s="53"/>
      <c r="D1633" s="53"/>
      <c r="E1633" s="53"/>
    </row>
    <row r="1634" spans="3:5" ht="12">
      <c r="C1634" s="53"/>
      <c r="D1634" s="53"/>
      <c r="E1634" s="53"/>
    </row>
    <row r="1635" spans="3:5" ht="12">
      <c r="C1635" s="53"/>
      <c r="D1635" s="53"/>
      <c r="E1635" s="53"/>
    </row>
    <row r="1636" spans="3:5" ht="12">
      <c r="C1636" s="53"/>
      <c r="D1636" s="53"/>
      <c r="E1636" s="53"/>
    </row>
    <row r="1637" spans="3:5" ht="12">
      <c r="C1637" s="53"/>
      <c r="D1637" s="53"/>
      <c r="E1637" s="53"/>
    </row>
    <row r="1638" spans="3:5" ht="12">
      <c r="C1638" s="53"/>
      <c r="D1638" s="53"/>
      <c r="E1638" s="53"/>
    </row>
    <row r="1639" spans="3:5" ht="12">
      <c r="C1639" s="53"/>
      <c r="D1639" s="53"/>
      <c r="E1639" s="53"/>
    </row>
    <row r="1640" spans="3:5" ht="12">
      <c r="C1640" s="53"/>
      <c r="D1640" s="53"/>
      <c r="E1640" s="53"/>
    </row>
    <row r="1641" spans="3:5" ht="12">
      <c r="C1641" s="53"/>
      <c r="D1641" s="53"/>
      <c r="E1641" s="53"/>
    </row>
    <row r="1642" spans="3:5" ht="12">
      <c r="C1642" s="53"/>
      <c r="D1642" s="53"/>
      <c r="E1642" s="53"/>
    </row>
    <row r="1643" spans="3:5" ht="12">
      <c r="C1643" s="53"/>
      <c r="D1643" s="53"/>
      <c r="E1643" s="53"/>
    </row>
    <row r="1644" spans="3:5" ht="12">
      <c r="C1644" s="53"/>
      <c r="D1644" s="53"/>
      <c r="E1644" s="53"/>
    </row>
    <row r="1645" spans="3:5" ht="12">
      <c r="C1645" s="53"/>
      <c r="D1645" s="53"/>
      <c r="E1645" s="53"/>
    </row>
    <row r="1646" spans="3:5" ht="12">
      <c r="C1646" s="53"/>
      <c r="D1646" s="53"/>
      <c r="E1646" s="53"/>
    </row>
    <row r="1647" spans="3:5" ht="12">
      <c r="C1647" s="53"/>
      <c r="D1647" s="53"/>
      <c r="E1647" s="53"/>
    </row>
    <row r="1648" spans="3:5" ht="12">
      <c r="C1648" s="53"/>
      <c r="D1648" s="53"/>
      <c r="E1648" s="53"/>
    </row>
    <row r="1649" spans="3:5" ht="12">
      <c r="C1649" s="53"/>
      <c r="D1649" s="53"/>
      <c r="E1649" s="53"/>
    </row>
    <row r="1650" spans="3:5" ht="12">
      <c r="C1650" s="53"/>
      <c r="D1650" s="53"/>
      <c r="E1650" s="53"/>
    </row>
    <row r="1651" spans="3:5" ht="12">
      <c r="C1651" s="53"/>
      <c r="D1651" s="53"/>
      <c r="E1651" s="53"/>
    </row>
    <row r="1652" spans="3:5" ht="12">
      <c r="C1652" s="53"/>
      <c r="D1652" s="53"/>
      <c r="E1652" s="53"/>
    </row>
    <row r="1653" spans="3:5" ht="12">
      <c r="C1653" s="53"/>
      <c r="D1653" s="53"/>
      <c r="E1653" s="53"/>
    </row>
    <row r="1654" spans="3:5" ht="12">
      <c r="C1654" s="53"/>
      <c r="D1654" s="53"/>
      <c r="E1654" s="53"/>
    </row>
    <row r="1655" spans="3:5" ht="12">
      <c r="C1655" s="53"/>
      <c r="D1655" s="53"/>
      <c r="E1655" s="53"/>
    </row>
    <row r="1656" spans="3:5" ht="12">
      <c r="C1656" s="53"/>
      <c r="D1656" s="53"/>
      <c r="E1656" s="53"/>
    </row>
    <row r="1657" spans="3:5" ht="12">
      <c r="C1657" s="53"/>
      <c r="D1657" s="53"/>
      <c r="E1657" s="53"/>
    </row>
    <row r="1658" spans="3:5" ht="12">
      <c r="C1658" s="53"/>
      <c r="D1658" s="53"/>
      <c r="E1658" s="53"/>
    </row>
    <row r="1659" spans="3:5" ht="12">
      <c r="C1659" s="53"/>
      <c r="D1659" s="53"/>
      <c r="E1659" s="53"/>
    </row>
    <row r="1660" spans="3:5" ht="12">
      <c r="C1660" s="53"/>
      <c r="D1660" s="53"/>
      <c r="E1660" s="53"/>
    </row>
    <row r="1661" spans="3:5" ht="12">
      <c r="C1661" s="53"/>
      <c r="D1661" s="53"/>
      <c r="E1661" s="53"/>
    </row>
    <row r="1662" spans="3:5" ht="12">
      <c r="C1662" s="53"/>
      <c r="D1662" s="53"/>
      <c r="E1662" s="53"/>
    </row>
    <row r="1663" spans="3:5" ht="12">
      <c r="C1663" s="53"/>
      <c r="D1663" s="53"/>
      <c r="E1663" s="53"/>
    </row>
    <row r="1664" spans="3:5" ht="12">
      <c r="C1664" s="53"/>
      <c r="D1664" s="53"/>
      <c r="E1664" s="53"/>
    </row>
    <row r="1665" spans="3:5" ht="12">
      <c r="C1665" s="53"/>
      <c r="D1665" s="53"/>
      <c r="E1665" s="53"/>
    </row>
    <row r="1666" spans="3:5" ht="12">
      <c r="C1666" s="53"/>
      <c r="D1666" s="53"/>
      <c r="E1666" s="53"/>
    </row>
    <row r="1667" spans="3:5" ht="12">
      <c r="C1667" s="53"/>
      <c r="D1667" s="53"/>
      <c r="E1667" s="53"/>
    </row>
    <row r="1668" spans="3:5" ht="12">
      <c r="C1668" s="53"/>
      <c r="D1668" s="53"/>
      <c r="E1668" s="53"/>
    </row>
    <row r="1669" spans="3:5" ht="12">
      <c r="C1669" s="53"/>
      <c r="D1669" s="53"/>
      <c r="E1669" s="53"/>
    </row>
    <row r="1670" spans="3:5" ht="12">
      <c r="C1670" s="53"/>
      <c r="D1670" s="53"/>
      <c r="E1670" s="53"/>
    </row>
    <row r="1671" spans="3:5" ht="12">
      <c r="C1671" s="53"/>
      <c r="D1671" s="53"/>
      <c r="E1671" s="53"/>
    </row>
    <row r="1672" spans="3:5" ht="12">
      <c r="C1672" s="53"/>
      <c r="D1672" s="53"/>
      <c r="E1672" s="53"/>
    </row>
    <row r="1673" spans="3:5" ht="12">
      <c r="C1673" s="53"/>
      <c r="D1673" s="53"/>
      <c r="E1673" s="53"/>
    </row>
    <row r="1674" spans="3:5" ht="12">
      <c r="C1674" s="53"/>
      <c r="D1674" s="53"/>
      <c r="E1674" s="53"/>
    </row>
    <row r="1675" spans="3:5" ht="12">
      <c r="C1675" s="53"/>
      <c r="D1675" s="53"/>
      <c r="E1675" s="53"/>
    </row>
    <row r="1676" spans="3:5" ht="12">
      <c r="C1676" s="53"/>
      <c r="D1676" s="53"/>
      <c r="E1676" s="53"/>
    </row>
    <row r="1677" spans="3:5" ht="12">
      <c r="C1677" s="53"/>
      <c r="D1677" s="53"/>
      <c r="E1677" s="53"/>
    </row>
    <row r="1678" spans="3:5" ht="12">
      <c r="C1678" s="53"/>
      <c r="D1678" s="53"/>
      <c r="E1678" s="53"/>
    </row>
    <row r="1679" spans="3:5" ht="12">
      <c r="C1679" s="53"/>
      <c r="D1679" s="53"/>
      <c r="E1679" s="53"/>
    </row>
    <row r="1680" spans="3:5" ht="12">
      <c r="C1680" s="53"/>
      <c r="D1680" s="53"/>
      <c r="E1680" s="53"/>
    </row>
    <row r="1681" spans="3:5" ht="12">
      <c r="C1681" s="53"/>
      <c r="D1681" s="53"/>
      <c r="E1681" s="53"/>
    </row>
    <row r="1682" spans="3:5" ht="12">
      <c r="C1682" s="53"/>
      <c r="D1682" s="53"/>
      <c r="E1682" s="53"/>
    </row>
    <row r="1683" spans="3:5" ht="12">
      <c r="C1683" s="53"/>
      <c r="D1683" s="53"/>
      <c r="E1683" s="53"/>
    </row>
    <row r="1684" spans="3:5" ht="12">
      <c r="C1684" s="53"/>
      <c r="D1684" s="53"/>
      <c r="E1684" s="53"/>
    </row>
    <row r="1685" spans="3:5" ht="12">
      <c r="C1685" s="53"/>
      <c r="D1685" s="53"/>
      <c r="E1685" s="53"/>
    </row>
    <row r="1686" spans="3:5" ht="12">
      <c r="C1686" s="53"/>
      <c r="D1686" s="53"/>
      <c r="E1686" s="53"/>
    </row>
    <row r="1687" spans="3:5" ht="12">
      <c r="C1687" s="53"/>
      <c r="D1687" s="53"/>
      <c r="E1687" s="53"/>
    </row>
    <row r="1688" spans="3:5" ht="12">
      <c r="C1688" s="53"/>
      <c r="D1688" s="53"/>
      <c r="E1688" s="53"/>
    </row>
    <row r="1689" spans="3:5" ht="12">
      <c r="C1689" s="53"/>
      <c r="D1689" s="53"/>
      <c r="E1689" s="53"/>
    </row>
    <row r="1690" spans="3:5" ht="12">
      <c r="C1690" s="53"/>
      <c r="D1690" s="53"/>
      <c r="E1690" s="53"/>
    </row>
    <row r="1691" spans="3:5" ht="12">
      <c r="C1691" s="53"/>
      <c r="D1691" s="53"/>
      <c r="E1691" s="53"/>
    </row>
    <row r="1692" spans="3:5" ht="12">
      <c r="C1692" s="53"/>
      <c r="D1692" s="53"/>
      <c r="E1692" s="53"/>
    </row>
    <row r="1693" spans="3:5" ht="12">
      <c r="C1693" s="53"/>
      <c r="D1693" s="53"/>
      <c r="E1693" s="53"/>
    </row>
    <row r="1694" spans="3:5" ht="12">
      <c r="C1694" s="53"/>
      <c r="D1694" s="53"/>
      <c r="E1694" s="53"/>
    </row>
    <row r="1695" spans="3:5" ht="12">
      <c r="C1695" s="53"/>
      <c r="D1695" s="53"/>
      <c r="E1695" s="53"/>
    </row>
    <row r="1696" spans="3:5" ht="12">
      <c r="C1696" s="53"/>
      <c r="D1696" s="53"/>
      <c r="E1696" s="53"/>
    </row>
    <row r="1697" spans="3:5" ht="12">
      <c r="C1697" s="53"/>
      <c r="D1697" s="53"/>
      <c r="E1697" s="53"/>
    </row>
    <row r="1698" spans="3:5" ht="12">
      <c r="C1698" s="53"/>
      <c r="D1698" s="53"/>
      <c r="E1698" s="53"/>
    </row>
    <row r="1699" spans="3:5" ht="12">
      <c r="C1699" s="53"/>
      <c r="D1699" s="53"/>
      <c r="E1699" s="53"/>
    </row>
    <row r="1700" spans="3:5" ht="12">
      <c r="C1700" s="53"/>
      <c r="D1700" s="53"/>
      <c r="E1700" s="53"/>
    </row>
    <row r="1701" spans="3:5" ht="12">
      <c r="C1701" s="53"/>
      <c r="D1701" s="53"/>
      <c r="E1701" s="53"/>
    </row>
    <row r="1702" spans="3:5" ht="12">
      <c r="C1702" s="53"/>
      <c r="D1702" s="53"/>
      <c r="E1702" s="53"/>
    </row>
    <row r="1703" spans="3:5" ht="12">
      <c r="C1703" s="53"/>
      <c r="D1703" s="53"/>
      <c r="E1703" s="53"/>
    </row>
    <row r="1704" spans="3:5" ht="12">
      <c r="C1704" s="53"/>
      <c r="D1704" s="53"/>
      <c r="E1704" s="53"/>
    </row>
    <row r="1705" spans="3:5" ht="12">
      <c r="C1705" s="53"/>
      <c r="D1705" s="53"/>
      <c r="E1705" s="53"/>
    </row>
    <row r="1706" spans="3:5" ht="12">
      <c r="C1706" s="53"/>
      <c r="D1706" s="53"/>
      <c r="E1706" s="53"/>
    </row>
    <row r="1707" spans="3:5" ht="12">
      <c r="C1707" s="53"/>
      <c r="D1707" s="53"/>
      <c r="E1707" s="53"/>
    </row>
    <row r="1708" spans="3:5" ht="12">
      <c r="C1708" s="53"/>
      <c r="D1708" s="53"/>
      <c r="E1708" s="53"/>
    </row>
    <row r="1709" spans="3:5" ht="12">
      <c r="C1709" s="53"/>
      <c r="D1709" s="53"/>
      <c r="E1709" s="53"/>
    </row>
    <row r="1710" spans="3:5" ht="12">
      <c r="C1710" s="53"/>
      <c r="D1710" s="53"/>
      <c r="E1710" s="53"/>
    </row>
    <row r="1711" spans="3:5" ht="12">
      <c r="C1711" s="53"/>
      <c r="D1711" s="53"/>
      <c r="E1711" s="53"/>
    </row>
    <row r="1712" spans="3:5" ht="12">
      <c r="C1712" s="53"/>
      <c r="D1712" s="53"/>
      <c r="E1712" s="53"/>
    </row>
    <row r="1713" spans="3:5" ht="12">
      <c r="C1713" s="53"/>
      <c r="D1713" s="53"/>
      <c r="E1713" s="53"/>
    </row>
    <row r="1714" spans="3:5" ht="12">
      <c r="C1714" s="53"/>
      <c r="D1714" s="53"/>
      <c r="E1714" s="53"/>
    </row>
    <row r="1715" spans="3:5" ht="12">
      <c r="C1715" s="53"/>
      <c r="D1715" s="53"/>
      <c r="E1715" s="53"/>
    </row>
    <row r="1716" spans="3:5" ht="12">
      <c r="C1716" s="53"/>
      <c r="D1716" s="53"/>
      <c r="E1716" s="53"/>
    </row>
    <row r="1717" spans="3:5" ht="12">
      <c r="C1717" s="53"/>
      <c r="D1717" s="53"/>
      <c r="E1717" s="53"/>
    </row>
    <row r="1718" spans="3:5" ht="12">
      <c r="C1718" s="53"/>
      <c r="D1718" s="53"/>
      <c r="E1718" s="53"/>
    </row>
    <row r="1719" spans="3:5" ht="12">
      <c r="C1719" s="53"/>
      <c r="D1719" s="53"/>
      <c r="E1719" s="53"/>
    </row>
    <row r="1720" spans="3:5" ht="12">
      <c r="C1720" s="53"/>
      <c r="D1720" s="53"/>
      <c r="E1720" s="53"/>
    </row>
    <row r="1721" spans="3:5" ht="12">
      <c r="C1721" s="53"/>
      <c r="D1721" s="53"/>
      <c r="E1721" s="53"/>
    </row>
    <row r="1722" spans="3:5" ht="12">
      <c r="C1722" s="53"/>
      <c r="D1722" s="53"/>
      <c r="E1722" s="53"/>
    </row>
    <row r="1723" spans="3:5" ht="12">
      <c r="C1723" s="53"/>
      <c r="D1723" s="53"/>
      <c r="E1723" s="53"/>
    </row>
    <row r="1724" spans="3:5" ht="12">
      <c r="C1724" s="53"/>
      <c r="D1724" s="53"/>
      <c r="E1724" s="53"/>
    </row>
    <row r="1725" spans="3:5" ht="12">
      <c r="C1725" s="53"/>
      <c r="D1725" s="53"/>
      <c r="E1725" s="53"/>
    </row>
    <row r="1726" spans="3:5" ht="12">
      <c r="C1726" s="53"/>
      <c r="D1726" s="53"/>
      <c r="E1726" s="53"/>
    </row>
    <row r="1727" spans="3:5" ht="12">
      <c r="C1727" s="53"/>
      <c r="D1727" s="53"/>
      <c r="E1727" s="53"/>
    </row>
    <row r="1728" spans="3:5" ht="12">
      <c r="C1728" s="53"/>
      <c r="D1728" s="53"/>
      <c r="E1728" s="53"/>
    </row>
    <row r="1729" spans="3:5" ht="12">
      <c r="C1729" s="53"/>
      <c r="D1729" s="53"/>
      <c r="E1729" s="53"/>
    </row>
    <row r="1730" spans="3:5" ht="12">
      <c r="C1730" s="53"/>
      <c r="D1730" s="53"/>
      <c r="E1730" s="53"/>
    </row>
    <row r="1731" spans="3:5" ht="12">
      <c r="C1731" s="53"/>
      <c r="D1731" s="53"/>
      <c r="E1731" s="53"/>
    </row>
    <row r="1732" spans="3:5" ht="12">
      <c r="C1732" s="53"/>
      <c r="D1732" s="53"/>
      <c r="E1732" s="53"/>
    </row>
    <row r="1733" spans="3:5" ht="12">
      <c r="C1733" s="53"/>
      <c r="D1733" s="53"/>
      <c r="E1733" s="53"/>
    </row>
    <row r="1734" spans="3:5" ht="12">
      <c r="C1734" s="53"/>
      <c r="D1734" s="53"/>
      <c r="E1734" s="53"/>
    </row>
    <row r="1735" spans="3:5" ht="12">
      <c r="C1735" s="53"/>
      <c r="D1735" s="53"/>
      <c r="E1735" s="53"/>
    </row>
    <row r="1736" spans="3:5" ht="12">
      <c r="C1736" s="53"/>
      <c r="D1736" s="53"/>
      <c r="E1736" s="53"/>
    </row>
    <row r="1737" spans="3:5" ht="12">
      <c r="C1737" s="53"/>
      <c r="D1737" s="53"/>
      <c r="E1737" s="53"/>
    </row>
    <row r="1738" spans="3:5" ht="12">
      <c r="C1738" s="53"/>
      <c r="D1738" s="53"/>
      <c r="E1738" s="53"/>
    </row>
    <row r="1739" spans="3:5" ht="12">
      <c r="C1739" s="53"/>
      <c r="D1739" s="53"/>
      <c r="E1739" s="53"/>
    </row>
    <row r="1740" spans="3:5" ht="12">
      <c r="C1740" s="53"/>
      <c r="D1740" s="53"/>
      <c r="E1740" s="53"/>
    </row>
    <row r="1741" spans="3:5" ht="12">
      <c r="C1741" s="53"/>
      <c r="D1741" s="53"/>
      <c r="E1741" s="53"/>
    </row>
    <row r="1742" spans="3:5" ht="12">
      <c r="C1742" s="53"/>
      <c r="D1742" s="53"/>
      <c r="E1742" s="53"/>
    </row>
    <row r="1743" spans="3:5" ht="12">
      <c r="C1743" s="53"/>
      <c r="D1743" s="53"/>
      <c r="E1743" s="53"/>
    </row>
    <row r="1744" spans="3:5" ht="12">
      <c r="C1744" s="53"/>
      <c r="D1744" s="53"/>
      <c r="E1744" s="53"/>
    </row>
    <row r="1745" spans="3:5" ht="12">
      <c r="C1745" s="53"/>
      <c r="D1745" s="53"/>
      <c r="E1745" s="53"/>
    </row>
    <row r="1746" spans="3:5" ht="12">
      <c r="C1746" s="53"/>
      <c r="D1746" s="53"/>
      <c r="E1746" s="53"/>
    </row>
    <row r="1747" spans="3:5" ht="12">
      <c r="C1747" s="53"/>
      <c r="D1747" s="53"/>
      <c r="E1747" s="53"/>
    </row>
    <row r="1748" spans="3:5" ht="12">
      <c r="C1748" s="53"/>
      <c r="D1748" s="53"/>
      <c r="E1748" s="53"/>
    </row>
    <row r="1749" spans="3:5" ht="12">
      <c r="C1749" s="53"/>
      <c r="D1749" s="53"/>
      <c r="E1749" s="53"/>
    </row>
    <row r="1750" spans="3:5" ht="12">
      <c r="C1750" s="53"/>
      <c r="D1750" s="53"/>
      <c r="E1750" s="53"/>
    </row>
    <row r="1751" spans="3:5" ht="12">
      <c r="C1751" s="53"/>
      <c r="D1751" s="53"/>
      <c r="E1751" s="53"/>
    </row>
    <row r="1752" spans="3:5" ht="12">
      <c r="C1752" s="53"/>
      <c r="D1752" s="53"/>
      <c r="E1752" s="53"/>
    </row>
    <row r="1753" spans="3:5" ht="12">
      <c r="C1753" s="53"/>
      <c r="D1753" s="53"/>
      <c r="E1753" s="53"/>
    </row>
    <row r="1754" spans="3:5" ht="12">
      <c r="C1754" s="53"/>
      <c r="D1754" s="53"/>
      <c r="E1754" s="53"/>
    </row>
    <row r="1755" spans="3:5" ht="12">
      <c r="C1755" s="53"/>
      <c r="D1755" s="53"/>
      <c r="E1755" s="53"/>
    </row>
    <row r="1756" spans="3:5" ht="12">
      <c r="C1756" s="53"/>
      <c r="D1756" s="53"/>
      <c r="E1756" s="53"/>
    </row>
    <row r="1757" spans="3:5" ht="12">
      <c r="C1757" s="53"/>
      <c r="D1757" s="53"/>
      <c r="E1757" s="53"/>
    </row>
    <row r="1758" spans="3:5" ht="12">
      <c r="C1758" s="53"/>
      <c r="D1758" s="53"/>
      <c r="E1758" s="53"/>
    </row>
    <row r="1759" spans="3:5" ht="12">
      <c r="C1759" s="53"/>
      <c r="D1759" s="53"/>
      <c r="E1759" s="53"/>
    </row>
    <row r="1760" spans="3:5" ht="12">
      <c r="C1760" s="53"/>
      <c r="D1760" s="53"/>
      <c r="E1760" s="53"/>
    </row>
    <row r="1761" spans="3:5" ht="12">
      <c r="C1761" s="53"/>
      <c r="D1761" s="53"/>
      <c r="E1761" s="53"/>
    </row>
    <row r="1762" spans="3:5" ht="12">
      <c r="C1762" s="53"/>
      <c r="D1762" s="53"/>
      <c r="E1762" s="53"/>
    </row>
    <row r="1763" spans="3:5" ht="12">
      <c r="C1763" s="53"/>
      <c r="D1763" s="53"/>
      <c r="E1763" s="53"/>
    </row>
    <row r="1764" spans="3:5" ht="12">
      <c r="C1764" s="53"/>
      <c r="D1764" s="53"/>
      <c r="E1764" s="53"/>
    </row>
    <row r="1765" spans="3:5" ht="12">
      <c r="C1765" s="53"/>
      <c r="D1765" s="53"/>
      <c r="E1765" s="53"/>
    </row>
    <row r="1766" spans="3:5" ht="12">
      <c r="C1766" s="53"/>
      <c r="D1766" s="53"/>
      <c r="E1766" s="53"/>
    </row>
    <row r="1767" spans="3:5" ht="12">
      <c r="C1767" s="53"/>
      <c r="D1767" s="53"/>
      <c r="E1767" s="53"/>
    </row>
    <row r="1768" spans="3:5" ht="12">
      <c r="C1768" s="53"/>
      <c r="D1768" s="53"/>
      <c r="E1768" s="53"/>
    </row>
    <row r="1769" spans="3:5" ht="12">
      <c r="C1769" s="53"/>
      <c r="D1769" s="53"/>
      <c r="E1769" s="53"/>
    </row>
    <row r="1770" spans="3:5" ht="12">
      <c r="C1770" s="53"/>
      <c r="D1770" s="53"/>
      <c r="E1770" s="53"/>
    </row>
    <row r="1771" spans="3:5" ht="12">
      <c r="C1771" s="53"/>
      <c r="D1771" s="53"/>
      <c r="E1771" s="53"/>
    </row>
    <row r="1772" spans="3:5" ht="12">
      <c r="C1772" s="53"/>
      <c r="D1772" s="53"/>
      <c r="E1772" s="53"/>
    </row>
    <row r="1773" spans="3:5" ht="12">
      <c r="C1773" s="53"/>
      <c r="D1773" s="53"/>
      <c r="E1773" s="53"/>
    </row>
    <row r="1774" spans="3:5" ht="12">
      <c r="C1774" s="53"/>
      <c r="D1774" s="53"/>
      <c r="E1774" s="53"/>
    </row>
    <row r="1775" spans="3:5" ht="12">
      <c r="C1775" s="53"/>
      <c r="D1775" s="53"/>
      <c r="E1775" s="53"/>
    </row>
    <row r="1776" spans="3:5" ht="12">
      <c r="C1776" s="53"/>
      <c r="D1776" s="53"/>
      <c r="E1776" s="53"/>
    </row>
    <row r="1777" spans="3:5" ht="12">
      <c r="C1777" s="53"/>
      <c r="D1777" s="53"/>
      <c r="E1777" s="53"/>
    </row>
    <row r="1778" spans="3:5" ht="12">
      <c r="C1778" s="53"/>
      <c r="D1778" s="53"/>
      <c r="E1778" s="53"/>
    </row>
    <row r="1779" spans="3:5" ht="12">
      <c r="C1779" s="53"/>
      <c r="D1779" s="53"/>
      <c r="E1779" s="53"/>
    </row>
    <row r="1780" spans="3:5" ht="12">
      <c r="C1780" s="53"/>
      <c r="D1780" s="53"/>
      <c r="E1780" s="53"/>
    </row>
    <row r="1781" spans="3:5" ht="12">
      <c r="C1781" s="53"/>
      <c r="D1781" s="53"/>
      <c r="E1781" s="53"/>
    </row>
    <row r="1782" spans="3:5" ht="12">
      <c r="C1782" s="53"/>
      <c r="D1782" s="53"/>
      <c r="E1782" s="53"/>
    </row>
    <row r="1783" spans="3:5" ht="12">
      <c r="C1783" s="53"/>
      <c r="D1783" s="53"/>
      <c r="E1783" s="53"/>
    </row>
    <row r="1784" spans="3:5" ht="12">
      <c r="C1784" s="53"/>
      <c r="D1784" s="53"/>
      <c r="E1784" s="53"/>
    </row>
    <row r="1785" spans="3:5" ht="12">
      <c r="C1785" s="53"/>
      <c r="D1785" s="53"/>
      <c r="E1785" s="53"/>
    </row>
    <row r="1786" spans="3:5" ht="12">
      <c r="C1786" s="53"/>
      <c r="D1786" s="53"/>
      <c r="E1786" s="53"/>
    </row>
    <row r="1787" spans="3:5" ht="12">
      <c r="C1787" s="53"/>
      <c r="D1787" s="53"/>
      <c r="E1787" s="53"/>
    </row>
    <row r="1788" spans="3:5" ht="12">
      <c r="C1788" s="53"/>
      <c r="D1788" s="53"/>
      <c r="E1788" s="53"/>
    </row>
    <row r="1789" spans="3:5" ht="12">
      <c r="C1789" s="53"/>
      <c r="D1789" s="53"/>
      <c r="E1789" s="53"/>
    </row>
    <row r="1790" spans="3:5" ht="12">
      <c r="C1790" s="53"/>
      <c r="D1790" s="53"/>
      <c r="E1790" s="53"/>
    </row>
    <row r="1791" spans="3:5" ht="12">
      <c r="C1791" s="53"/>
      <c r="D1791" s="53"/>
      <c r="E1791" s="53"/>
    </row>
    <row r="1792" spans="3:5" ht="12">
      <c r="C1792" s="53"/>
      <c r="D1792" s="53"/>
      <c r="E1792" s="53"/>
    </row>
    <row r="1793" spans="3:5" ht="12">
      <c r="C1793" s="53"/>
      <c r="D1793" s="53"/>
      <c r="E1793" s="53"/>
    </row>
    <row r="1794" spans="3:5" ht="12">
      <c r="C1794" s="53"/>
      <c r="D1794" s="53"/>
      <c r="E1794" s="53"/>
    </row>
    <row r="1795" spans="3:5" ht="12">
      <c r="C1795" s="53"/>
      <c r="D1795" s="53"/>
      <c r="E1795" s="53"/>
    </row>
    <row r="1796" spans="3:5" ht="12">
      <c r="C1796" s="53"/>
      <c r="D1796" s="53"/>
      <c r="E1796" s="53"/>
    </row>
    <row r="1797" spans="3:5" ht="12">
      <c r="C1797" s="53"/>
      <c r="D1797" s="53"/>
      <c r="E1797" s="53"/>
    </row>
    <row r="1798" spans="3:5" ht="12">
      <c r="C1798" s="53"/>
      <c r="D1798" s="53"/>
      <c r="E1798" s="53"/>
    </row>
    <row r="1799" spans="3:5" ht="12">
      <c r="C1799" s="53"/>
      <c r="D1799" s="53"/>
      <c r="E1799" s="53"/>
    </row>
    <row r="1800" spans="3:5" ht="12">
      <c r="C1800" s="53"/>
      <c r="D1800" s="53"/>
      <c r="E1800" s="53"/>
    </row>
    <row r="1801" spans="3:5" ht="12">
      <c r="C1801" s="53"/>
      <c r="D1801" s="53"/>
      <c r="E1801" s="53"/>
    </row>
    <row r="1802" spans="3:5" ht="12">
      <c r="C1802" s="53"/>
      <c r="D1802" s="53"/>
      <c r="E1802" s="53"/>
    </row>
    <row r="1803" spans="3:5" ht="12">
      <c r="C1803" s="53"/>
      <c r="D1803" s="53"/>
      <c r="E1803" s="53"/>
    </row>
    <row r="1804" spans="3:5" ht="12">
      <c r="C1804" s="53"/>
      <c r="D1804" s="53"/>
      <c r="E1804" s="53"/>
    </row>
    <row r="1805" spans="3:5" ht="12">
      <c r="C1805" s="53"/>
      <c r="D1805" s="53"/>
      <c r="E1805" s="53"/>
    </row>
    <row r="1806" spans="3:5" ht="12">
      <c r="C1806" s="53"/>
      <c r="D1806" s="53"/>
      <c r="E1806" s="53"/>
    </row>
    <row r="1807" spans="3:5" ht="12">
      <c r="C1807" s="53"/>
      <c r="D1807" s="53"/>
      <c r="E1807" s="53"/>
    </row>
    <row r="1808" spans="3:5" ht="12">
      <c r="C1808" s="53"/>
      <c r="D1808" s="53"/>
      <c r="E1808" s="53"/>
    </row>
    <row r="1809" spans="3:5" ht="12">
      <c r="C1809" s="53"/>
      <c r="D1809" s="53"/>
      <c r="E1809" s="53"/>
    </row>
    <row r="1810" spans="3:5" ht="12">
      <c r="C1810" s="53"/>
      <c r="D1810" s="53"/>
      <c r="E1810" s="53"/>
    </row>
    <row r="1811" spans="3:5" ht="12">
      <c r="C1811" s="53"/>
      <c r="D1811" s="53"/>
      <c r="E1811" s="53"/>
    </row>
    <row r="1812" spans="3:5" ht="12">
      <c r="C1812" s="53"/>
      <c r="D1812" s="53"/>
      <c r="E1812" s="53"/>
    </row>
    <row r="1813" spans="3:5" ht="12">
      <c r="C1813" s="53"/>
      <c r="D1813" s="53"/>
      <c r="E1813" s="53"/>
    </row>
    <row r="1814" spans="3:5" ht="12">
      <c r="C1814" s="53"/>
      <c r="D1814" s="53"/>
      <c r="E1814" s="53"/>
    </row>
    <row r="1815" spans="3:5" ht="12">
      <c r="C1815" s="53"/>
      <c r="D1815" s="53"/>
      <c r="E1815" s="53"/>
    </row>
    <row r="1816" spans="3:5" ht="12">
      <c r="C1816" s="53"/>
      <c r="D1816" s="53"/>
      <c r="E1816" s="53"/>
    </row>
    <row r="1817" spans="3:5" ht="12">
      <c r="C1817" s="53"/>
      <c r="D1817" s="53"/>
      <c r="E1817" s="53"/>
    </row>
    <row r="1818" spans="3:5" ht="12">
      <c r="C1818" s="53"/>
      <c r="D1818" s="53"/>
      <c r="E1818" s="53"/>
    </row>
    <row r="1819" spans="3:5" ht="12">
      <c r="C1819" s="53"/>
      <c r="D1819" s="53"/>
      <c r="E1819" s="53"/>
    </row>
    <row r="1820" spans="3:5" ht="12">
      <c r="C1820" s="53"/>
      <c r="D1820" s="53"/>
      <c r="E1820" s="53"/>
    </row>
    <row r="1821" spans="3:5" ht="12">
      <c r="C1821" s="53"/>
      <c r="D1821" s="53"/>
      <c r="E1821" s="53"/>
    </row>
    <row r="1822" spans="3:5" ht="12">
      <c r="C1822" s="53"/>
      <c r="D1822" s="53"/>
      <c r="E1822" s="53"/>
    </row>
    <row r="1823" spans="3:5" ht="12">
      <c r="C1823" s="53"/>
      <c r="D1823" s="53"/>
      <c r="E1823" s="53"/>
    </row>
    <row r="1824" spans="3:5" ht="12">
      <c r="C1824" s="53"/>
      <c r="D1824" s="53"/>
      <c r="E1824" s="53"/>
    </row>
    <row r="1825" spans="3:5" ht="12">
      <c r="C1825" s="53"/>
      <c r="D1825" s="53"/>
      <c r="E1825" s="53"/>
    </row>
    <row r="1826" spans="3:5" ht="12">
      <c r="C1826" s="53"/>
      <c r="D1826" s="53"/>
      <c r="E1826" s="53"/>
    </row>
    <row r="1827" spans="3:5" ht="12">
      <c r="C1827" s="53"/>
      <c r="D1827" s="53"/>
      <c r="E1827" s="53"/>
    </row>
    <row r="1828" spans="3:5" ht="12">
      <c r="C1828" s="53"/>
      <c r="D1828" s="53"/>
      <c r="E1828" s="53"/>
    </row>
    <row r="1829" spans="3:5" ht="12">
      <c r="C1829" s="53"/>
      <c r="D1829" s="53"/>
      <c r="E1829" s="53"/>
    </row>
    <row r="1830" spans="3:5" ht="12">
      <c r="C1830" s="53"/>
      <c r="D1830" s="53"/>
      <c r="E1830" s="53"/>
    </row>
    <row r="1831" spans="3:5" ht="12">
      <c r="C1831" s="53"/>
      <c r="D1831" s="53"/>
      <c r="E1831" s="53"/>
    </row>
    <row r="1832" spans="3:5" ht="12">
      <c r="C1832" s="53"/>
      <c r="D1832" s="53"/>
      <c r="E1832" s="53"/>
    </row>
    <row r="1833" spans="3:5" ht="12">
      <c r="C1833" s="53"/>
      <c r="D1833" s="53"/>
      <c r="E1833" s="53"/>
    </row>
    <row r="1834" spans="3:5" ht="12">
      <c r="C1834" s="53"/>
      <c r="D1834" s="53"/>
      <c r="E1834" s="53"/>
    </row>
    <row r="1835" spans="3:5" ht="12">
      <c r="C1835" s="53"/>
      <c r="D1835" s="53"/>
      <c r="E1835" s="53"/>
    </row>
    <row r="1836" spans="3:5" ht="12">
      <c r="C1836" s="53"/>
      <c r="D1836" s="53"/>
      <c r="E1836" s="53"/>
    </row>
    <row r="1837" spans="3:5" ht="12">
      <c r="C1837" s="53"/>
      <c r="D1837" s="53"/>
      <c r="E1837" s="53"/>
    </row>
    <row r="1838" spans="3:5" ht="12">
      <c r="C1838" s="53"/>
      <c r="D1838" s="53"/>
      <c r="E1838" s="53"/>
    </row>
    <row r="1839" spans="3:5" ht="12">
      <c r="C1839" s="53"/>
      <c r="D1839" s="53"/>
      <c r="E1839" s="53"/>
    </row>
    <row r="1840" spans="3:5" ht="12">
      <c r="C1840" s="53"/>
      <c r="D1840" s="53"/>
      <c r="E1840" s="53"/>
    </row>
    <row r="1841" spans="3:5" ht="12">
      <c r="C1841" s="53"/>
      <c r="D1841" s="53"/>
      <c r="E1841" s="53"/>
    </row>
    <row r="1842" spans="3:5" ht="12">
      <c r="C1842" s="53"/>
      <c r="D1842" s="53"/>
      <c r="E1842" s="53"/>
    </row>
    <row r="1843" spans="3:5" ht="12">
      <c r="C1843" s="53"/>
      <c r="D1843" s="53"/>
      <c r="E1843" s="53"/>
    </row>
    <row r="1844" spans="3:5" ht="12">
      <c r="C1844" s="53"/>
      <c r="D1844" s="53"/>
      <c r="E1844" s="53"/>
    </row>
    <row r="1845" spans="3:5" ht="12">
      <c r="C1845" s="53"/>
      <c r="D1845" s="53"/>
      <c r="E1845" s="53"/>
    </row>
    <row r="1846" spans="3:5" ht="12">
      <c r="C1846" s="53"/>
      <c r="D1846" s="53"/>
      <c r="E1846" s="53"/>
    </row>
    <row r="1847" spans="3:5" ht="12">
      <c r="C1847" s="53"/>
      <c r="D1847" s="53"/>
      <c r="E1847" s="53"/>
    </row>
    <row r="1848" spans="3:5" ht="12">
      <c r="C1848" s="53"/>
      <c r="D1848" s="53"/>
      <c r="E1848" s="53"/>
    </row>
    <row r="1849" spans="3:5" ht="12">
      <c r="C1849" s="53"/>
      <c r="D1849" s="53"/>
      <c r="E1849" s="53"/>
    </row>
    <row r="1850" spans="3:5" ht="12">
      <c r="C1850" s="53"/>
      <c r="D1850" s="53"/>
      <c r="E1850" s="53"/>
    </row>
    <row r="1851" spans="3:5" ht="12">
      <c r="C1851" s="53"/>
      <c r="D1851" s="53"/>
      <c r="E1851" s="53"/>
    </row>
    <row r="1852" spans="3:5" ht="12">
      <c r="C1852" s="53"/>
      <c r="D1852" s="53"/>
      <c r="E1852" s="53"/>
    </row>
    <row r="1853" spans="3:5" ht="12">
      <c r="C1853" s="53"/>
      <c r="D1853" s="53"/>
      <c r="E1853" s="53"/>
    </row>
    <row r="1854" spans="3:5" ht="12">
      <c r="C1854" s="53"/>
      <c r="D1854" s="53"/>
      <c r="E1854" s="53"/>
    </row>
    <row r="1855" spans="3:5" ht="12">
      <c r="C1855" s="53"/>
      <c r="D1855" s="53"/>
      <c r="E1855" s="53"/>
    </row>
    <row r="1856" spans="3:5" ht="12">
      <c r="C1856" s="53"/>
      <c r="D1856" s="53"/>
      <c r="E1856" s="53"/>
    </row>
    <row r="1857" spans="3:5" ht="12">
      <c r="C1857" s="53"/>
      <c r="D1857" s="53"/>
      <c r="E1857" s="53"/>
    </row>
    <row r="1858" spans="3:5" ht="12">
      <c r="C1858" s="53"/>
      <c r="D1858" s="53"/>
      <c r="E1858" s="53"/>
    </row>
    <row r="1859" spans="3:5" ht="12">
      <c r="C1859" s="53"/>
      <c r="D1859" s="53"/>
      <c r="E1859" s="53"/>
    </row>
    <row r="1860" spans="3:5" ht="12">
      <c r="C1860" s="53"/>
      <c r="D1860" s="53"/>
      <c r="E1860" s="53"/>
    </row>
    <row r="1861" spans="3:5" ht="12">
      <c r="C1861" s="53"/>
      <c r="D1861" s="53"/>
      <c r="E1861" s="53"/>
    </row>
    <row r="1862" spans="3:5" ht="12">
      <c r="C1862" s="53"/>
      <c r="D1862" s="53"/>
      <c r="E1862" s="53"/>
    </row>
    <row r="1863" spans="3:5" ht="12">
      <c r="C1863" s="53"/>
      <c r="D1863" s="53"/>
      <c r="E1863" s="53"/>
    </row>
    <row r="1864" spans="3:5" ht="12">
      <c r="C1864" s="53"/>
      <c r="D1864" s="53"/>
      <c r="E1864" s="53"/>
    </row>
    <row r="1865" spans="3:5" ht="12">
      <c r="C1865" s="53"/>
      <c r="D1865" s="53"/>
      <c r="E1865" s="53"/>
    </row>
    <row r="1866" spans="3:5" ht="12">
      <c r="C1866" s="53"/>
      <c r="D1866" s="53"/>
      <c r="E1866" s="53"/>
    </row>
    <row r="1867" spans="3:5" ht="12">
      <c r="C1867" s="53"/>
      <c r="D1867" s="53"/>
      <c r="E1867" s="53"/>
    </row>
    <row r="1868" spans="3:5" ht="12">
      <c r="C1868" s="53"/>
      <c r="D1868" s="53"/>
      <c r="E1868" s="53"/>
    </row>
    <row r="1869" spans="3:5" ht="12">
      <c r="C1869" s="53"/>
      <c r="D1869" s="53"/>
      <c r="E1869" s="53"/>
    </row>
    <row r="1870" spans="3:5" ht="12">
      <c r="C1870" s="53"/>
      <c r="D1870" s="53"/>
      <c r="E1870" s="53"/>
    </row>
    <row r="1871" spans="3:5" ht="12">
      <c r="C1871" s="53"/>
      <c r="D1871" s="53"/>
      <c r="E1871" s="53"/>
    </row>
    <row r="1872" spans="3:5" ht="12">
      <c r="C1872" s="53"/>
      <c r="D1872" s="53"/>
      <c r="E1872" s="53"/>
    </row>
    <row r="1873" spans="3:5" ht="12">
      <c r="C1873" s="53"/>
      <c r="D1873" s="53"/>
      <c r="E1873" s="53"/>
    </row>
    <row r="1874" spans="3:5" ht="12">
      <c r="C1874" s="53"/>
      <c r="D1874" s="53"/>
      <c r="E1874" s="53"/>
    </row>
    <row r="1875" spans="3:5" ht="12">
      <c r="C1875" s="53"/>
      <c r="D1875" s="53"/>
      <c r="E1875" s="53"/>
    </row>
    <row r="1876" spans="3:5" ht="12">
      <c r="C1876" s="53"/>
      <c r="D1876" s="53"/>
      <c r="E1876" s="53"/>
    </row>
    <row r="1877" spans="3:5" ht="12">
      <c r="C1877" s="53"/>
      <c r="D1877" s="53"/>
      <c r="E1877" s="53"/>
    </row>
    <row r="1878" spans="3:5" ht="12">
      <c r="C1878" s="53"/>
      <c r="D1878" s="53"/>
      <c r="E1878" s="53"/>
    </row>
    <row r="1879" spans="3:5" ht="12">
      <c r="C1879" s="53"/>
      <c r="D1879" s="53"/>
      <c r="E1879" s="53"/>
    </row>
    <row r="1880" spans="3:5" ht="12">
      <c r="C1880" s="53"/>
      <c r="D1880" s="53"/>
      <c r="E1880" s="53"/>
    </row>
    <row r="1881" spans="3:5" ht="12">
      <c r="C1881" s="53"/>
      <c r="D1881" s="53"/>
      <c r="E1881" s="53"/>
    </row>
    <row r="1882" spans="3:5" ht="12">
      <c r="C1882" s="53"/>
      <c r="D1882" s="53"/>
      <c r="E1882" s="53"/>
    </row>
    <row r="1883" spans="3:5" ht="12">
      <c r="C1883" s="53"/>
      <c r="D1883" s="53"/>
      <c r="E1883" s="53"/>
    </row>
    <row r="1884" spans="3:5" ht="12">
      <c r="C1884" s="53"/>
      <c r="D1884" s="53"/>
      <c r="E1884" s="53"/>
    </row>
    <row r="1885" spans="3:5" ht="12">
      <c r="C1885" s="53"/>
      <c r="D1885" s="53"/>
      <c r="E1885" s="53"/>
    </row>
    <row r="1886" spans="3:5" ht="12">
      <c r="C1886" s="53"/>
      <c r="D1886" s="53"/>
      <c r="E1886" s="53"/>
    </row>
    <row r="1887" spans="3:5" ht="12">
      <c r="C1887" s="53"/>
      <c r="D1887" s="53"/>
      <c r="E1887" s="53"/>
    </row>
    <row r="1888" spans="3:5" ht="12">
      <c r="C1888" s="53"/>
      <c r="D1888" s="53"/>
      <c r="E1888" s="53"/>
    </row>
    <row r="1889" spans="3:5" ht="12">
      <c r="C1889" s="53"/>
      <c r="D1889" s="53"/>
      <c r="E1889" s="53"/>
    </row>
    <row r="1890" spans="3:5" ht="12">
      <c r="C1890" s="53"/>
      <c r="D1890" s="53"/>
      <c r="E1890" s="53"/>
    </row>
    <row r="1891" spans="3:5" ht="12">
      <c r="C1891" s="53"/>
      <c r="D1891" s="53"/>
      <c r="E1891" s="53"/>
    </row>
    <row r="1892" spans="3:5" ht="12">
      <c r="C1892" s="53"/>
      <c r="D1892" s="53"/>
      <c r="E1892" s="53"/>
    </row>
    <row r="1893" spans="3:5" ht="12">
      <c r="C1893" s="53"/>
      <c r="D1893" s="53"/>
      <c r="E1893" s="53"/>
    </row>
    <row r="1894" spans="3:5" ht="12">
      <c r="C1894" s="53"/>
      <c r="D1894" s="53"/>
      <c r="E1894" s="53"/>
    </row>
    <row r="1895" spans="3:5" ht="12">
      <c r="C1895" s="53"/>
      <c r="D1895" s="53"/>
      <c r="E1895" s="53"/>
    </row>
    <row r="1896" spans="3:5" ht="12">
      <c r="C1896" s="53"/>
      <c r="D1896" s="53"/>
      <c r="E1896" s="53"/>
    </row>
    <row r="1897" spans="3:5" ht="12">
      <c r="C1897" s="53"/>
      <c r="D1897" s="53"/>
      <c r="E1897" s="53"/>
    </row>
    <row r="1898" spans="3:5" ht="12">
      <c r="C1898" s="53"/>
      <c r="D1898" s="53"/>
      <c r="E1898" s="53"/>
    </row>
    <row r="1899" spans="3:5" ht="12">
      <c r="C1899" s="53"/>
      <c r="D1899" s="53"/>
      <c r="E1899" s="53"/>
    </row>
    <row r="1900" spans="3:5" ht="12">
      <c r="C1900" s="53"/>
      <c r="D1900" s="53"/>
      <c r="E1900" s="53"/>
    </row>
    <row r="1901" spans="3:5" ht="12">
      <c r="C1901" s="53"/>
      <c r="D1901" s="53"/>
      <c r="E1901" s="53"/>
    </row>
    <row r="1902" spans="3:5" ht="12">
      <c r="C1902" s="53"/>
      <c r="D1902" s="53"/>
      <c r="E1902" s="53"/>
    </row>
    <row r="1903" spans="3:5" ht="12">
      <c r="C1903" s="53"/>
      <c r="D1903" s="53"/>
      <c r="E1903" s="53"/>
    </row>
    <row r="1904" spans="3:5" ht="12">
      <c r="C1904" s="53"/>
      <c r="D1904" s="53"/>
      <c r="E1904" s="53"/>
    </row>
    <row r="1905" spans="3:5" ht="12">
      <c r="C1905" s="53"/>
      <c r="D1905" s="53"/>
      <c r="E1905" s="53"/>
    </row>
    <row r="1906" spans="3:5" ht="12">
      <c r="C1906" s="53"/>
      <c r="D1906" s="53"/>
      <c r="E1906" s="53"/>
    </row>
    <row r="1907" spans="3:5" ht="12">
      <c r="C1907" s="53"/>
      <c r="D1907" s="53"/>
      <c r="E1907" s="53"/>
    </row>
    <row r="1908" spans="3:5" ht="12">
      <c r="C1908" s="53"/>
      <c r="D1908" s="53"/>
      <c r="E1908" s="53"/>
    </row>
    <row r="1909" spans="3:5" ht="12">
      <c r="C1909" s="53"/>
      <c r="D1909" s="53"/>
      <c r="E1909" s="53"/>
    </row>
    <row r="1910" spans="3:5" ht="12">
      <c r="C1910" s="53"/>
      <c r="D1910" s="53"/>
      <c r="E1910" s="53"/>
    </row>
    <row r="1911" spans="3:5" ht="12">
      <c r="C1911" s="53"/>
      <c r="D1911" s="53"/>
      <c r="E1911" s="53"/>
    </row>
    <row r="1912" spans="3:5" ht="12">
      <c r="C1912" s="53"/>
      <c r="D1912" s="53"/>
      <c r="E1912" s="53"/>
    </row>
    <row r="1913" spans="3:5" ht="12">
      <c r="C1913" s="53"/>
      <c r="D1913" s="53"/>
      <c r="E1913" s="53"/>
    </row>
    <row r="1914" spans="3:5" ht="12">
      <c r="C1914" s="53"/>
      <c r="D1914" s="53"/>
      <c r="E1914" s="53"/>
    </row>
    <row r="1915" spans="3:5" ht="12">
      <c r="C1915" s="53"/>
      <c r="D1915" s="53"/>
      <c r="E1915" s="53"/>
    </row>
    <row r="1916" spans="3:5" ht="12">
      <c r="C1916" s="53"/>
      <c r="D1916" s="53"/>
      <c r="E1916" s="53"/>
    </row>
    <row r="1917" spans="3:5" ht="12">
      <c r="C1917" s="53"/>
      <c r="D1917" s="53"/>
      <c r="E1917" s="53"/>
    </row>
    <row r="1918" spans="3:5" ht="12">
      <c r="C1918" s="53"/>
      <c r="D1918" s="53"/>
      <c r="E1918" s="53"/>
    </row>
    <row r="1919" spans="3:5" ht="12">
      <c r="C1919" s="53"/>
      <c r="D1919" s="53"/>
      <c r="E1919" s="53"/>
    </row>
    <row r="1920" spans="3:5" ht="12">
      <c r="C1920" s="53"/>
      <c r="D1920" s="53"/>
      <c r="E1920" s="53"/>
    </row>
    <row r="1921" spans="3:5" ht="12">
      <c r="C1921" s="53"/>
      <c r="D1921" s="53"/>
      <c r="E1921" s="53"/>
    </row>
    <row r="1922" spans="3:5" ht="12">
      <c r="C1922" s="53"/>
      <c r="D1922" s="53"/>
      <c r="E1922" s="53"/>
    </row>
    <row r="1923" spans="3:5" ht="12">
      <c r="C1923" s="53"/>
      <c r="D1923" s="53"/>
      <c r="E1923" s="53"/>
    </row>
    <row r="1924" spans="3:5" ht="12">
      <c r="C1924" s="53"/>
      <c r="D1924" s="53"/>
      <c r="E1924" s="53"/>
    </row>
    <row r="1925" spans="3:5" ht="12">
      <c r="C1925" s="53"/>
      <c r="D1925" s="53"/>
      <c r="E1925" s="53"/>
    </row>
    <row r="1926" spans="3:5" ht="12">
      <c r="C1926" s="53"/>
      <c r="D1926" s="53"/>
      <c r="E1926" s="53"/>
    </row>
    <row r="1927" spans="3:5" ht="12">
      <c r="C1927" s="53"/>
      <c r="D1927" s="53"/>
      <c r="E1927" s="53"/>
    </row>
    <row r="1928" spans="3:5" ht="12">
      <c r="C1928" s="53"/>
      <c r="D1928" s="53"/>
      <c r="E1928" s="53"/>
    </row>
    <row r="1929" spans="3:5" ht="12">
      <c r="C1929" s="53"/>
      <c r="D1929" s="53"/>
      <c r="E1929" s="53"/>
    </row>
    <row r="1930" spans="3:5" ht="12">
      <c r="C1930" s="53"/>
      <c r="D1930" s="53"/>
      <c r="E1930" s="53"/>
    </row>
    <row r="1931" spans="3:5" ht="12">
      <c r="C1931" s="53"/>
      <c r="D1931" s="53"/>
      <c r="E1931" s="53"/>
    </row>
    <row r="1932" spans="3:5" ht="12">
      <c r="C1932" s="53"/>
      <c r="D1932" s="53"/>
      <c r="E1932" s="53"/>
    </row>
    <row r="1933" spans="3:5" ht="12">
      <c r="C1933" s="53"/>
      <c r="D1933" s="53"/>
      <c r="E1933" s="53"/>
    </row>
    <row r="1934" spans="3:5" ht="12">
      <c r="C1934" s="53"/>
      <c r="D1934" s="53"/>
      <c r="E1934" s="53"/>
    </row>
    <row r="1935" spans="3:5" ht="12">
      <c r="C1935" s="53"/>
      <c r="D1935" s="53"/>
      <c r="E1935" s="53"/>
    </row>
    <row r="1936" spans="3:5" ht="12">
      <c r="C1936" s="53"/>
      <c r="D1936" s="53"/>
      <c r="E1936" s="53"/>
    </row>
    <row r="1937" spans="3:5" ht="12">
      <c r="C1937" s="53"/>
      <c r="D1937" s="53"/>
      <c r="E1937" s="53"/>
    </row>
    <row r="1938" spans="3:5" ht="12">
      <c r="C1938" s="53"/>
      <c r="D1938" s="53"/>
      <c r="E1938" s="53"/>
    </row>
    <row r="1939" spans="3:5" ht="12">
      <c r="C1939" s="53"/>
      <c r="D1939" s="53"/>
      <c r="E1939" s="53"/>
    </row>
    <row r="1940" spans="3:5" ht="12">
      <c r="C1940" s="53"/>
      <c r="D1940" s="53"/>
      <c r="E1940" s="53"/>
    </row>
    <row r="1941" spans="3:5" ht="12">
      <c r="C1941" s="53"/>
      <c r="D1941" s="53"/>
      <c r="E1941" s="53"/>
    </row>
    <row r="1942" spans="3:5" ht="12">
      <c r="C1942" s="53"/>
      <c r="D1942" s="53"/>
      <c r="E1942" s="53"/>
    </row>
    <row r="1943" spans="3:5" ht="12">
      <c r="C1943" s="53"/>
      <c r="D1943" s="53"/>
      <c r="E1943" s="53"/>
    </row>
    <row r="1944" spans="3:5" ht="12">
      <c r="C1944" s="53"/>
      <c r="D1944" s="53"/>
      <c r="E1944" s="53"/>
    </row>
    <row r="1945" spans="3:5" ht="12">
      <c r="C1945" s="53"/>
      <c r="D1945" s="53"/>
      <c r="E1945" s="53"/>
    </row>
    <row r="1946" spans="3:5" ht="12">
      <c r="C1946" s="53"/>
      <c r="D1946" s="53"/>
      <c r="E1946" s="53"/>
    </row>
    <row r="1947" spans="3:5" ht="12">
      <c r="C1947" s="53"/>
      <c r="D1947" s="53"/>
      <c r="E1947" s="53"/>
    </row>
    <row r="1948" spans="3:5" ht="12">
      <c r="C1948" s="53"/>
      <c r="D1948" s="53"/>
      <c r="E1948" s="53"/>
    </row>
    <row r="1949" spans="3:5" ht="12">
      <c r="C1949" s="53"/>
      <c r="D1949" s="53"/>
      <c r="E1949" s="53"/>
    </row>
    <row r="1950" spans="3:5" ht="12">
      <c r="C1950" s="53"/>
      <c r="D1950" s="53"/>
      <c r="E1950" s="53"/>
    </row>
    <row r="1951" spans="3:5" ht="12">
      <c r="C1951" s="53"/>
      <c r="D1951" s="53"/>
      <c r="E1951" s="53"/>
    </row>
    <row r="1952" spans="3:5" ht="12">
      <c r="C1952" s="53"/>
      <c r="D1952" s="53"/>
      <c r="E1952" s="53"/>
    </row>
    <row r="1953" spans="3:5" ht="12">
      <c r="C1953" s="53"/>
      <c r="D1953" s="53"/>
      <c r="E1953" s="53"/>
    </row>
    <row r="1954" spans="3:5" ht="12">
      <c r="C1954" s="53"/>
      <c r="D1954" s="53"/>
      <c r="E1954" s="53"/>
    </row>
    <row r="1955" spans="3:5" ht="12">
      <c r="C1955" s="53"/>
      <c r="D1955" s="53"/>
      <c r="E1955" s="53"/>
    </row>
    <row r="1956" spans="3:5" ht="12">
      <c r="C1956" s="53"/>
      <c r="D1956" s="53"/>
      <c r="E1956" s="53"/>
    </row>
    <row r="1957" spans="3:5" ht="12">
      <c r="C1957" s="53"/>
      <c r="D1957" s="53"/>
      <c r="E1957" s="53"/>
    </row>
    <row r="1958" spans="3:5" ht="12">
      <c r="C1958" s="53"/>
      <c r="D1958" s="53"/>
      <c r="E1958" s="53"/>
    </row>
    <row r="1959" spans="3:5" ht="12">
      <c r="C1959" s="53"/>
      <c r="D1959" s="53"/>
      <c r="E1959" s="53"/>
    </row>
    <row r="1960" spans="3:5" ht="12">
      <c r="C1960" s="53"/>
      <c r="D1960" s="53"/>
      <c r="E1960" s="53"/>
    </row>
    <row r="1961" spans="3:5" ht="12">
      <c r="C1961" s="53"/>
      <c r="D1961" s="53"/>
      <c r="E1961" s="53"/>
    </row>
    <row r="1962" spans="3:5" ht="12">
      <c r="C1962" s="53"/>
      <c r="D1962" s="53"/>
      <c r="E1962" s="53"/>
    </row>
    <row r="1963" spans="3:5" ht="12">
      <c r="C1963" s="53"/>
      <c r="D1963" s="53"/>
      <c r="E1963" s="53"/>
    </row>
    <row r="1964" spans="3:5" ht="12">
      <c r="C1964" s="53"/>
      <c r="D1964" s="53"/>
      <c r="E1964" s="53"/>
    </row>
    <row r="1965" spans="3:5" ht="12">
      <c r="C1965" s="53"/>
      <c r="D1965" s="53"/>
      <c r="E1965" s="53"/>
    </row>
    <row r="1966" spans="3:5" ht="12">
      <c r="C1966" s="53"/>
      <c r="D1966" s="53"/>
      <c r="E1966" s="53"/>
    </row>
    <row r="1967" spans="3:5" ht="12">
      <c r="C1967" s="53"/>
      <c r="D1967" s="53"/>
      <c r="E1967" s="53"/>
    </row>
    <row r="1968" spans="3:5" ht="12">
      <c r="C1968" s="53"/>
      <c r="D1968" s="53"/>
      <c r="E1968" s="53"/>
    </row>
    <row r="1969" spans="3:5" ht="12">
      <c r="C1969" s="53"/>
      <c r="D1969" s="53"/>
      <c r="E1969" s="53"/>
    </row>
    <row r="1970" spans="3:5" ht="12">
      <c r="C1970" s="53"/>
      <c r="D1970" s="53"/>
      <c r="E1970" s="53"/>
    </row>
    <row r="1971" spans="3:5" ht="12">
      <c r="C1971" s="53"/>
      <c r="D1971" s="53"/>
      <c r="E1971" s="53"/>
    </row>
    <row r="1972" spans="3:5" ht="12">
      <c r="C1972" s="53"/>
      <c r="D1972" s="53"/>
      <c r="E1972" s="53"/>
    </row>
    <row r="1973" spans="3:5" ht="12">
      <c r="C1973" s="53"/>
      <c r="D1973" s="53"/>
      <c r="E1973" s="53"/>
    </row>
    <row r="1974" spans="3:5" ht="12">
      <c r="C1974" s="53"/>
      <c r="D1974" s="53"/>
      <c r="E1974" s="53"/>
    </row>
    <row r="1975" spans="3:5" ht="12">
      <c r="C1975" s="53"/>
      <c r="D1975" s="53"/>
      <c r="E1975" s="53"/>
    </row>
    <row r="1976" spans="3:5" ht="12">
      <c r="C1976" s="53"/>
      <c r="D1976" s="53"/>
      <c r="E1976" s="53"/>
    </row>
    <row r="1977" spans="3:5" ht="12">
      <c r="C1977" s="53"/>
      <c r="D1977" s="53"/>
      <c r="E1977" s="53"/>
    </row>
    <row r="1978" spans="3:5" ht="12">
      <c r="C1978" s="53"/>
      <c r="D1978" s="53"/>
      <c r="E1978" s="53"/>
    </row>
    <row r="1979" spans="3:5" ht="12">
      <c r="C1979" s="53"/>
      <c r="D1979" s="53"/>
      <c r="E1979" s="53"/>
    </row>
    <row r="1980" spans="3:5" ht="12">
      <c r="C1980" s="53"/>
      <c r="D1980" s="53"/>
      <c r="E1980" s="53"/>
    </row>
    <row r="1981" spans="3:5" ht="12">
      <c r="C1981" s="53"/>
      <c r="D1981" s="53"/>
      <c r="E1981" s="53"/>
    </row>
    <row r="1982" spans="3:5" ht="12">
      <c r="C1982" s="53"/>
      <c r="D1982" s="53"/>
      <c r="E1982" s="53"/>
    </row>
    <row r="1983" spans="3:5" ht="12">
      <c r="C1983" s="53"/>
      <c r="D1983" s="53"/>
      <c r="E1983" s="53"/>
    </row>
    <row r="1984" spans="3:5" ht="12">
      <c r="C1984" s="53"/>
      <c r="D1984" s="53"/>
      <c r="E1984" s="53"/>
    </row>
    <row r="1985" spans="3:5" ht="12">
      <c r="C1985" s="53"/>
      <c r="D1985" s="53"/>
      <c r="E1985" s="53"/>
    </row>
    <row r="1986" spans="3:5" ht="12">
      <c r="C1986" s="53"/>
      <c r="D1986" s="53"/>
      <c r="E1986" s="53"/>
    </row>
    <row r="1987" spans="3:5" ht="12">
      <c r="C1987" s="53"/>
      <c r="D1987" s="53"/>
      <c r="E1987" s="53"/>
    </row>
    <row r="1988" spans="3:5" ht="12">
      <c r="C1988" s="53"/>
      <c r="D1988" s="53"/>
      <c r="E1988" s="53"/>
    </row>
    <row r="1989" spans="3:5" ht="12">
      <c r="C1989" s="53"/>
      <c r="D1989" s="53"/>
      <c r="E1989" s="53"/>
    </row>
    <row r="1990" spans="3:5" ht="12">
      <c r="C1990" s="53"/>
      <c r="D1990" s="53"/>
      <c r="E1990" s="53"/>
    </row>
    <row r="1991" spans="3:5" ht="12">
      <c r="C1991" s="53"/>
      <c r="D1991" s="53"/>
      <c r="E1991" s="53"/>
    </row>
    <row r="1992" spans="3:5" ht="12">
      <c r="C1992" s="53"/>
      <c r="D1992" s="53"/>
      <c r="E1992" s="53"/>
    </row>
    <row r="1993" spans="3:5" ht="12">
      <c r="C1993" s="53"/>
      <c r="D1993" s="53"/>
      <c r="E1993" s="53"/>
    </row>
    <row r="1994" spans="3:5" ht="12">
      <c r="C1994" s="53"/>
      <c r="D1994" s="53"/>
      <c r="E1994" s="53"/>
    </row>
    <row r="1995" spans="3:5" ht="12">
      <c r="C1995" s="53"/>
      <c r="D1995" s="53"/>
      <c r="E1995" s="53"/>
    </row>
    <row r="1996" spans="3:5" ht="12">
      <c r="C1996" s="53"/>
      <c r="D1996" s="53"/>
      <c r="E1996" s="53"/>
    </row>
    <row r="1997" spans="3:5" ht="12">
      <c r="C1997" s="53"/>
      <c r="D1997" s="53"/>
      <c r="E1997" s="53"/>
    </row>
    <row r="1998" spans="3:5" ht="12">
      <c r="C1998" s="53"/>
      <c r="D1998" s="53"/>
      <c r="E1998" s="53"/>
    </row>
    <row r="1999" spans="3:5" ht="12">
      <c r="C1999" s="53"/>
      <c r="D1999" s="53"/>
      <c r="E1999" s="53"/>
    </row>
    <row r="2000" spans="3:5" ht="12">
      <c r="C2000" s="53"/>
      <c r="D2000" s="53"/>
      <c r="E2000" s="53"/>
    </row>
    <row r="2001" spans="3:5" ht="12">
      <c r="C2001" s="53"/>
      <c r="D2001" s="53"/>
      <c r="E2001" s="53"/>
    </row>
    <row r="2002" spans="3:5" ht="12">
      <c r="C2002" s="53"/>
      <c r="D2002" s="53"/>
      <c r="E2002" s="53"/>
    </row>
    <row r="2003" spans="3:5" ht="12">
      <c r="C2003" s="53"/>
      <c r="D2003" s="53"/>
      <c r="E2003" s="53"/>
    </row>
    <row r="2004" spans="3:5" ht="12">
      <c r="C2004" s="53"/>
      <c r="D2004" s="53"/>
      <c r="E2004" s="53"/>
    </row>
    <row r="2005" spans="3:5" ht="12">
      <c r="C2005" s="53"/>
      <c r="D2005" s="53"/>
      <c r="E2005" s="53"/>
    </row>
    <row r="2006" spans="3:5" ht="12">
      <c r="C2006" s="53"/>
      <c r="D2006" s="53"/>
      <c r="E2006" s="53"/>
    </row>
    <row r="2007" spans="3:5" ht="12">
      <c r="C2007" s="53"/>
      <c r="D2007" s="53"/>
      <c r="E2007" s="53"/>
    </row>
    <row r="2008" spans="3:5" ht="12">
      <c r="C2008" s="53"/>
      <c r="D2008" s="53"/>
      <c r="E2008" s="53"/>
    </row>
    <row r="2009" spans="3:5" ht="12">
      <c r="C2009" s="53"/>
      <c r="D2009" s="53"/>
      <c r="E2009" s="53"/>
    </row>
    <row r="2010" spans="3:5" ht="12">
      <c r="C2010" s="53"/>
      <c r="D2010" s="53"/>
      <c r="E2010" s="53"/>
    </row>
    <row r="2011" spans="3:5" ht="12">
      <c r="C2011" s="53"/>
      <c r="D2011" s="53"/>
      <c r="E2011" s="53"/>
    </row>
    <row r="2012" spans="3:5" ht="12">
      <c r="C2012" s="53"/>
      <c r="D2012" s="53"/>
      <c r="E2012" s="53"/>
    </row>
    <row r="2013" spans="3:5" ht="12">
      <c r="C2013" s="53"/>
      <c r="D2013" s="53"/>
      <c r="E2013" s="53"/>
    </row>
    <row r="2014" spans="3:5" ht="12">
      <c r="C2014" s="53"/>
      <c r="D2014" s="53"/>
      <c r="E2014" s="53"/>
    </row>
    <row r="2015" spans="3:5" ht="12">
      <c r="C2015" s="53"/>
      <c r="D2015" s="53"/>
      <c r="E2015" s="53"/>
    </row>
    <row r="2016" spans="3:5" ht="12">
      <c r="C2016" s="53"/>
      <c r="D2016" s="53"/>
      <c r="E2016" s="53"/>
    </row>
    <row r="2017" spans="3:5" ht="12">
      <c r="C2017" s="53"/>
      <c r="D2017" s="53"/>
      <c r="E2017" s="53"/>
    </row>
    <row r="2018" spans="3:5" ht="12">
      <c r="C2018" s="53"/>
      <c r="D2018" s="53"/>
      <c r="E2018" s="53"/>
    </row>
    <row r="2019" spans="3:5" ht="12">
      <c r="C2019" s="53"/>
      <c r="D2019" s="53"/>
      <c r="E2019" s="53"/>
    </row>
    <row r="2020" spans="3:5" ht="12">
      <c r="C2020" s="53"/>
      <c r="D2020" s="53"/>
      <c r="E2020" s="53"/>
    </row>
    <row r="2021" spans="3:5" ht="12">
      <c r="C2021" s="53"/>
      <c r="D2021" s="53"/>
      <c r="E2021" s="53"/>
    </row>
    <row r="2022" spans="3:5" ht="12">
      <c r="C2022" s="53"/>
      <c r="D2022" s="53"/>
      <c r="E2022" s="53"/>
    </row>
    <row r="2023" spans="3:5" ht="12">
      <c r="C2023" s="53"/>
      <c r="D2023" s="53"/>
      <c r="E2023" s="53"/>
    </row>
    <row r="2024" spans="3:5" ht="12">
      <c r="C2024" s="53"/>
      <c r="D2024" s="53"/>
      <c r="E2024" s="53"/>
    </row>
    <row r="2025" spans="3:5" ht="12">
      <c r="C2025" s="53"/>
      <c r="D2025" s="53"/>
      <c r="E2025" s="53"/>
    </row>
    <row r="2026" spans="3:5" ht="12">
      <c r="C2026" s="53"/>
      <c r="D2026" s="53"/>
      <c r="E2026" s="53"/>
    </row>
    <row r="2027" spans="3:5" ht="12">
      <c r="C2027" s="53"/>
      <c r="D2027" s="53"/>
      <c r="E2027" s="53"/>
    </row>
    <row r="2028" spans="3:5" ht="12">
      <c r="C2028" s="53"/>
      <c r="D2028" s="53"/>
      <c r="E2028" s="53"/>
    </row>
    <row r="2029" spans="3:5" ht="12">
      <c r="C2029" s="53"/>
      <c r="D2029" s="53"/>
      <c r="E2029" s="53"/>
    </row>
    <row r="2030" spans="3:5" ht="12">
      <c r="C2030" s="53"/>
      <c r="D2030" s="53"/>
      <c r="E2030" s="53"/>
    </row>
    <row r="2031" spans="3:5" ht="12">
      <c r="C2031" s="53"/>
      <c r="D2031" s="53"/>
      <c r="E2031" s="53"/>
    </row>
    <row r="2032" spans="3:5" ht="12">
      <c r="C2032" s="53"/>
      <c r="D2032" s="53"/>
      <c r="E2032" s="53"/>
    </row>
    <row r="2033" spans="3:5" ht="12">
      <c r="C2033" s="53"/>
      <c r="D2033" s="53"/>
      <c r="E2033" s="53"/>
    </row>
    <row r="2034" spans="3:5" ht="12">
      <c r="C2034" s="53"/>
      <c r="D2034" s="53"/>
      <c r="E2034" s="53"/>
    </row>
    <row r="2035" spans="3:5" ht="12">
      <c r="C2035" s="53"/>
      <c r="D2035" s="53"/>
      <c r="E2035" s="53"/>
    </row>
    <row r="2036" spans="3:5" ht="12">
      <c r="C2036" s="53"/>
      <c r="D2036" s="53"/>
      <c r="E2036" s="53"/>
    </row>
    <row r="2037" spans="3:5" ht="12">
      <c r="C2037" s="53"/>
      <c r="D2037" s="53"/>
      <c r="E2037" s="53"/>
    </row>
    <row r="2038" spans="3:5" ht="12">
      <c r="C2038" s="53"/>
      <c r="D2038" s="53"/>
      <c r="E2038" s="53"/>
    </row>
    <row r="2039" spans="3:5" ht="12">
      <c r="C2039" s="53"/>
      <c r="D2039" s="53"/>
      <c r="E2039" s="53"/>
    </row>
    <row r="2040" spans="3:5" ht="12">
      <c r="C2040" s="53"/>
      <c r="D2040" s="53"/>
      <c r="E2040" s="53"/>
    </row>
    <row r="2041" spans="3:5" ht="12">
      <c r="C2041" s="53"/>
      <c r="D2041" s="53"/>
      <c r="E2041" s="53"/>
    </row>
    <row r="2042" spans="3:5" ht="12">
      <c r="C2042" s="53"/>
      <c r="D2042" s="53"/>
      <c r="E2042" s="53"/>
    </row>
    <row r="2043" spans="3:5" ht="12">
      <c r="C2043" s="53"/>
      <c r="D2043" s="53"/>
      <c r="E2043" s="53"/>
    </row>
    <row r="2044" spans="3:5" ht="12">
      <c r="C2044" s="53"/>
      <c r="D2044" s="53"/>
      <c r="E2044" s="53"/>
    </row>
    <row r="2045" spans="3:5" ht="12">
      <c r="C2045" s="53"/>
      <c r="D2045" s="53"/>
      <c r="E2045" s="53"/>
    </row>
    <row r="2046" spans="3:5" ht="12">
      <c r="C2046" s="53"/>
      <c r="D2046" s="53"/>
      <c r="E2046" s="53"/>
    </row>
    <row r="2047" spans="3:5" ht="12">
      <c r="C2047" s="53"/>
      <c r="D2047" s="53"/>
      <c r="E2047" s="53"/>
    </row>
    <row r="2048" spans="3:5" ht="12">
      <c r="C2048" s="53"/>
      <c r="D2048" s="53"/>
      <c r="E2048" s="53"/>
    </row>
    <row r="2049" spans="3:5" ht="12">
      <c r="C2049" s="53"/>
      <c r="D2049" s="53"/>
      <c r="E2049" s="53"/>
    </row>
    <row r="2050" spans="3:5" ht="12">
      <c r="C2050" s="53"/>
      <c r="D2050" s="53"/>
      <c r="E2050" s="53"/>
    </row>
    <row r="2051" spans="3:5" ht="12">
      <c r="C2051" s="53"/>
      <c r="D2051" s="53"/>
      <c r="E2051" s="53"/>
    </row>
    <row r="2052" spans="3:5" ht="12">
      <c r="C2052" s="53"/>
      <c r="D2052" s="53"/>
      <c r="E2052" s="53"/>
    </row>
    <row r="2053" spans="3:5" ht="12">
      <c r="C2053" s="53"/>
      <c r="D2053" s="53"/>
      <c r="E2053" s="53"/>
    </row>
    <row r="2054" spans="3:5" ht="12">
      <c r="C2054" s="53"/>
      <c r="D2054" s="53"/>
      <c r="E2054" s="53"/>
    </row>
    <row r="2055" spans="3:5" ht="12">
      <c r="C2055" s="53"/>
      <c r="D2055" s="53"/>
      <c r="E2055" s="53"/>
    </row>
    <row r="2056" spans="3:5" ht="12">
      <c r="C2056" s="53"/>
      <c r="D2056" s="53"/>
      <c r="E2056" s="53"/>
    </row>
    <row r="2057" spans="3:5" ht="12">
      <c r="C2057" s="53"/>
      <c r="D2057" s="53"/>
      <c r="E2057" s="53"/>
    </row>
    <row r="2058" spans="3:5" ht="12">
      <c r="C2058" s="53"/>
      <c r="D2058" s="53"/>
      <c r="E2058" s="53"/>
    </row>
    <row r="2059" spans="3:5" ht="12">
      <c r="C2059" s="53"/>
      <c r="D2059" s="53"/>
      <c r="E2059" s="53"/>
    </row>
    <row r="2060" spans="3:5" ht="12">
      <c r="C2060" s="53"/>
      <c r="D2060" s="53"/>
      <c r="E2060" s="53"/>
    </row>
    <row r="2061" spans="3:5" ht="12">
      <c r="C2061" s="53"/>
      <c r="D2061" s="53"/>
      <c r="E2061" s="53"/>
    </row>
    <row r="2062" spans="3:5" ht="12">
      <c r="C2062" s="53"/>
      <c r="D2062" s="53"/>
      <c r="E2062" s="53"/>
    </row>
    <row r="2063" spans="3:5" ht="12">
      <c r="C2063" s="53"/>
      <c r="D2063" s="53"/>
      <c r="E2063" s="53"/>
    </row>
    <row r="2064" spans="3:5" ht="12">
      <c r="C2064" s="53"/>
      <c r="D2064" s="53"/>
      <c r="E2064" s="53"/>
    </row>
    <row r="2065" spans="3:5" ht="12">
      <c r="C2065" s="53"/>
      <c r="D2065" s="53"/>
      <c r="E2065" s="53"/>
    </row>
    <row r="2066" spans="3:5" ht="12">
      <c r="C2066" s="53"/>
      <c r="D2066" s="53"/>
      <c r="E2066" s="53"/>
    </row>
    <row r="2067" spans="3:5" ht="12">
      <c r="C2067" s="53"/>
      <c r="D2067" s="53"/>
      <c r="E2067" s="53"/>
    </row>
    <row r="2068" spans="3:5" ht="12">
      <c r="C2068" s="53"/>
      <c r="D2068" s="53"/>
      <c r="E2068" s="53"/>
    </row>
    <row r="2069" spans="3:5" ht="12">
      <c r="C2069" s="53"/>
      <c r="D2069" s="53"/>
      <c r="E2069" s="53"/>
    </row>
    <row r="2070" spans="3:5" ht="12">
      <c r="C2070" s="53"/>
      <c r="D2070" s="53"/>
      <c r="E2070" s="53"/>
    </row>
    <row r="2071" spans="3:5" ht="12">
      <c r="C2071" s="53"/>
      <c r="D2071" s="53"/>
      <c r="E2071" s="53"/>
    </row>
    <row r="2072" spans="3:5" ht="12">
      <c r="C2072" s="53"/>
      <c r="D2072" s="53"/>
      <c r="E2072" s="53"/>
    </row>
    <row r="2073" spans="3:5" ht="12">
      <c r="C2073" s="53"/>
      <c r="D2073" s="53"/>
      <c r="E2073" s="53"/>
    </row>
    <row r="2074" spans="3:5" ht="12">
      <c r="C2074" s="53"/>
      <c r="D2074" s="53"/>
      <c r="E2074" s="53"/>
    </row>
    <row r="2075" spans="3:5" ht="12">
      <c r="C2075" s="53"/>
      <c r="D2075" s="53"/>
      <c r="E2075" s="53"/>
    </row>
    <row r="2076" spans="3:5" ht="12">
      <c r="C2076" s="53"/>
      <c r="D2076" s="53"/>
      <c r="E2076" s="53"/>
    </row>
    <row r="2077" spans="3:5" ht="12">
      <c r="C2077" s="53"/>
      <c r="D2077" s="53"/>
      <c r="E2077" s="53"/>
    </row>
    <row r="2078" spans="3:5" ht="12">
      <c r="C2078" s="53"/>
      <c r="D2078" s="53"/>
      <c r="E2078" s="53"/>
    </row>
    <row r="2079" spans="3:5" ht="12">
      <c r="C2079" s="53"/>
      <c r="D2079" s="53"/>
      <c r="E2079" s="53"/>
    </row>
    <row r="2080" spans="3:5" ht="12">
      <c r="C2080" s="53"/>
      <c r="D2080" s="53"/>
      <c r="E2080" s="53"/>
    </row>
    <row r="2081" spans="3:5" ht="12">
      <c r="C2081" s="53"/>
      <c r="D2081" s="53"/>
      <c r="E2081" s="53"/>
    </row>
    <row r="2082" spans="3:5" ht="12">
      <c r="C2082" s="53"/>
      <c r="D2082" s="53"/>
      <c r="E2082" s="53"/>
    </row>
    <row r="2083" spans="3:5" ht="12">
      <c r="C2083" s="53"/>
      <c r="D2083" s="53"/>
      <c r="E2083" s="53"/>
    </row>
    <row r="2084" spans="3:5" ht="12">
      <c r="C2084" s="53"/>
      <c r="D2084" s="53"/>
      <c r="E2084" s="53"/>
    </row>
    <row r="2085" spans="3:5" ht="12">
      <c r="C2085" s="53"/>
      <c r="D2085" s="53"/>
      <c r="E2085" s="53"/>
    </row>
    <row r="2086" spans="3:5" ht="12">
      <c r="C2086" s="53"/>
      <c r="D2086" s="53"/>
      <c r="E2086" s="53"/>
    </row>
    <row r="2087" spans="3:5" ht="12">
      <c r="C2087" s="53"/>
      <c r="D2087" s="53"/>
      <c r="E2087" s="53"/>
    </row>
    <row r="2088" spans="3:5" ht="12">
      <c r="C2088" s="53"/>
      <c r="D2088" s="53"/>
      <c r="E2088" s="53"/>
    </row>
    <row r="2089" spans="3:5" ht="12">
      <c r="C2089" s="53"/>
      <c r="D2089" s="53"/>
      <c r="E2089" s="53"/>
    </row>
    <row r="2090" spans="3:5" ht="12">
      <c r="C2090" s="53"/>
      <c r="D2090" s="53"/>
      <c r="E2090" s="53"/>
    </row>
    <row r="2091" spans="3:5" ht="12">
      <c r="C2091" s="53"/>
      <c r="D2091" s="53"/>
      <c r="E2091" s="53"/>
    </row>
    <row r="2092" spans="3:5" ht="12">
      <c r="C2092" s="53"/>
      <c r="D2092" s="53"/>
      <c r="E2092" s="53"/>
    </row>
    <row r="2093" spans="3:5" ht="12">
      <c r="C2093" s="53"/>
      <c r="D2093" s="53"/>
      <c r="E2093" s="53"/>
    </row>
    <row r="2094" spans="3:5" ht="12">
      <c r="C2094" s="53"/>
      <c r="D2094" s="53"/>
      <c r="E2094" s="53"/>
    </row>
    <row r="2095" spans="3:5" ht="12">
      <c r="C2095" s="53"/>
      <c r="D2095" s="53"/>
      <c r="E2095" s="53"/>
    </row>
    <row r="2096" spans="3:5" ht="12">
      <c r="C2096" s="53"/>
      <c r="D2096" s="53"/>
      <c r="E2096" s="53"/>
    </row>
    <row r="2097" spans="3:5" ht="12">
      <c r="C2097" s="53"/>
      <c r="D2097" s="53"/>
      <c r="E2097" s="53"/>
    </row>
    <row r="2098" spans="3:5" ht="12">
      <c r="C2098" s="53"/>
      <c r="D2098" s="53"/>
      <c r="E2098" s="53"/>
    </row>
    <row r="2099" spans="3:5" ht="12">
      <c r="C2099" s="53"/>
      <c r="D2099" s="53"/>
      <c r="E2099" s="53"/>
    </row>
    <row r="2100" spans="3:5" ht="12">
      <c r="C2100" s="53"/>
      <c r="D2100" s="53"/>
      <c r="E2100" s="53"/>
    </row>
    <row r="2101" spans="3:5" ht="12">
      <c r="C2101" s="53"/>
      <c r="D2101" s="53"/>
      <c r="E2101" s="53"/>
    </row>
    <row r="2102" spans="3:5" ht="12">
      <c r="C2102" s="53"/>
      <c r="D2102" s="53"/>
      <c r="E2102" s="53"/>
    </row>
    <row r="2103" spans="3:5" ht="12">
      <c r="C2103" s="53"/>
      <c r="D2103" s="53"/>
      <c r="E2103" s="53"/>
    </row>
    <row r="2104" spans="3:5" ht="12">
      <c r="C2104" s="53"/>
      <c r="D2104" s="53"/>
      <c r="E2104" s="53"/>
    </row>
    <row r="2105" spans="3:5" ht="12">
      <c r="C2105" s="53"/>
      <c r="D2105" s="53"/>
      <c r="E2105" s="53"/>
    </row>
    <row r="2106" spans="3:5" ht="12">
      <c r="C2106" s="53"/>
      <c r="D2106" s="53"/>
      <c r="E2106" s="53"/>
    </row>
    <row r="2107" spans="3:5" ht="12">
      <c r="C2107" s="53"/>
      <c r="D2107" s="53"/>
      <c r="E2107" s="53"/>
    </row>
    <row r="2108" spans="3:5" ht="12">
      <c r="C2108" s="53"/>
      <c r="D2108" s="53"/>
      <c r="E2108" s="53"/>
    </row>
    <row r="2109" spans="3:5" ht="12">
      <c r="C2109" s="53"/>
      <c r="D2109" s="53"/>
      <c r="E2109" s="53"/>
    </row>
    <row r="2110" spans="3:5" ht="12">
      <c r="C2110" s="53"/>
      <c r="D2110" s="53"/>
      <c r="E2110" s="53"/>
    </row>
    <row r="2111" spans="3:5" ht="12">
      <c r="C2111" s="53"/>
      <c r="D2111" s="53"/>
      <c r="E2111" s="53"/>
    </row>
    <row r="2112" spans="3:5" ht="12">
      <c r="C2112" s="53"/>
      <c r="D2112" s="53"/>
      <c r="E2112" s="53"/>
    </row>
    <row r="2113" spans="3:5" ht="12">
      <c r="C2113" s="53"/>
      <c r="D2113" s="53"/>
      <c r="E2113" s="53"/>
    </row>
    <row r="2114" spans="3:5" ht="12">
      <c r="C2114" s="53"/>
      <c r="D2114" s="53"/>
      <c r="E2114" s="53"/>
    </row>
    <row r="2115" spans="3:5" ht="12">
      <c r="C2115" s="53"/>
      <c r="D2115" s="53"/>
      <c r="E2115" s="53"/>
    </row>
    <row r="2116" spans="3:5" ht="12">
      <c r="C2116" s="53"/>
      <c r="D2116" s="53"/>
      <c r="E2116" s="53"/>
    </row>
    <row r="2117" spans="3:5" ht="12">
      <c r="C2117" s="53"/>
      <c r="D2117" s="53"/>
      <c r="E2117" s="53"/>
    </row>
    <row r="2118" spans="3:5" ht="12">
      <c r="C2118" s="53"/>
      <c r="D2118" s="53"/>
      <c r="E2118" s="53"/>
    </row>
    <row r="2119" spans="3:5" ht="12">
      <c r="C2119" s="53"/>
      <c r="D2119" s="53"/>
      <c r="E2119" s="53"/>
    </row>
    <row r="2120" spans="3:5" ht="12">
      <c r="C2120" s="53"/>
      <c r="D2120" s="53"/>
      <c r="E2120" s="53"/>
    </row>
    <row r="2121" spans="3:5" ht="12">
      <c r="C2121" s="53"/>
      <c r="D2121" s="53"/>
      <c r="E2121" s="53"/>
    </row>
    <row r="2122" spans="3:5" ht="12">
      <c r="C2122" s="53"/>
      <c r="D2122" s="53"/>
      <c r="E2122" s="53"/>
    </row>
    <row r="2123" spans="3:5" ht="12">
      <c r="C2123" s="53"/>
      <c r="D2123" s="53"/>
      <c r="E2123" s="53"/>
    </row>
    <row r="2124" spans="3:5" ht="12">
      <c r="C2124" s="53"/>
      <c r="D2124" s="53"/>
      <c r="E2124" s="53"/>
    </row>
    <row r="2125" spans="3:5" ht="12">
      <c r="C2125" s="53"/>
      <c r="D2125" s="53"/>
      <c r="E2125" s="53"/>
    </row>
    <row r="2126" spans="3:5" ht="12">
      <c r="C2126" s="53"/>
      <c r="D2126" s="53"/>
      <c r="E2126" s="53"/>
    </row>
    <row r="2127" spans="3:5" ht="12">
      <c r="C2127" s="53"/>
      <c r="D2127" s="53"/>
      <c r="E2127" s="53"/>
    </row>
    <row r="2128" spans="3:5" ht="12">
      <c r="C2128" s="53"/>
      <c r="D2128" s="53"/>
      <c r="E2128" s="53"/>
    </row>
    <row r="2129" spans="3:5" ht="12">
      <c r="C2129" s="53"/>
      <c r="D2129" s="53"/>
      <c r="E2129" s="53"/>
    </row>
    <row r="2130" spans="3:5" ht="12">
      <c r="C2130" s="53"/>
      <c r="D2130" s="53"/>
      <c r="E2130" s="53"/>
    </row>
    <row r="2131" spans="3:5" ht="12">
      <c r="C2131" s="53"/>
      <c r="D2131" s="53"/>
      <c r="E2131" s="53"/>
    </row>
    <row r="2132" spans="3:5" ht="12">
      <c r="C2132" s="53"/>
      <c r="D2132" s="53"/>
      <c r="E2132" s="53"/>
    </row>
    <row r="2133" spans="3:5" ht="12">
      <c r="C2133" s="53"/>
      <c r="D2133" s="53"/>
      <c r="E2133" s="53"/>
    </row>
    <row r="2134" spans="3:5" ht="12">
      <c r="C2134" s="53"/>
      <c r="D2134" s="53"/>
      <c r="E2134" s="53"/>
    </row>
    <row r="2135" spans="3:5" ht="12">
      <c r="C2135" s="53"/>
      <c r="D2135" s="53"/>
      <c r="E2135" s="53"/>
    </row>
    <row r="2136" spans="3:5" ht="12">
      <c r="C2136" s="53"/>
      <c r="D2136" s="53"/>
      <c r="E2136" s="53"/>
    </row>
    <row r="2137" spans="3:5" ht="12">
      <c r="C2137" s="53"/>
      <c r="D2137" s="53"/>
      <c r="E2137" s="53"/>
    </row>
    <row r="2138" spans="3:5" ht="12">
      <c r="C2138" s="53"/>
      <c r="D2138" s="53"/>
      <c r="E2138" s="53"/>
    </row>
    <row r="2139" spans="3:5" ht="12">
      <c r="C2139" s="53"/>
      <c r="D2139" s="53"/>
      <c r="E2139" s="53"/>
    </row>
    <row r="2140" spans="3:5" ht="12">
      <c r="C2140" s="53"/>
      <c r="D2140" s="53"/>
      <c r="E2140" s="53"/>
    </row>
    <row r="2141" spans="3:5" ht="12">
      <c r="C2141" s="53"/>
      <c r="D2141" s="53"/>
      <c r="E2141" s="53"/>
    </row>
    <row r="2142" spans="3:5" ht="12">
      <c r="C2142" s="53"/>
      <c r="D2142" s="53"/>
      <c r="E2142" s="53"/>
    </row>
    <row r="2143" spans="3:5" ht="12">
      <c r="C2143" s="53"/>
      <c r="D2143" s="53"/>
      <c r="E2143" s="53"/>
    </row>
    <row r="2144" spans="3:5" ht="12">
      <c r="C2144" s="53"/>
      <c r="D2144" s="53"/>
      <c r="E2144" s="53"/>
    </row>
    <row r="2145" spans="3:5" ht="12">
      <c r="C2145" s="53"/>
      <c r="D2145" s="53"/>
      <c r="E2145" s="53"/>
    </row>
    <row r="2146" spans="3:5" ht="12">
      <c r="C2146" s="53"/>
      <c r="D2146" s="53"/>
      <c r="E2146" s="53"/>
    </row>
    <row r="2147" spans="3:5" ht="12">
      <c r="C2147" s="53"/>
      <c r="D2147" s="53"/>
      <c r="E2147" s="53"/>
    </row>
    <row r="2148" spans="3:5" ht="12">
      <c r="C2148" s="53"/>
      <c r="D2148" s="53"/>
      <c r="E2148" s="53"/>
    </row>
    <row r="2149" spans="3:5" ht="12">
      <c r="C2149" s="53"/>
      <c r="D2149" s="53"/>
      <c r="E2149" s="53"/>
    </row>
    <row r="2150" spans="3:5" ht="12">
      <c r="C2150" s="53"/>
      <c r="D2150" s="53"/>
      <c r="E2150" s="53"/>
    </row>
    <row r="2151" spans="3:5" ht="12">
      <c r="C2151" s="53"/>
      <c r="D2151" s="53"/>
      <c r="E2151" s="53"/>
    </row>
    <row r="2152" spans="3:5" ht="12">
      <c r="C2152" s="53"/>
      <c r="D2152" s="53"/>
      <c r="E2152" s="53"/>
    </row>
    <row r="2153" spans="3:5" ht="12">
      <c r="C2153" s="53"/>
      <c r="D2153" s="53"/>
      <c r="E2153" s="53"/>
    </row>
    <row r="2154" spans="3:5" ht="12">
      <c r="C2154" s="53"/>
      <c r="D2154" s="53"/>
      <c r="E2154" s="53"/>
    </row>
    <row r="2155" spans="3:5" ht="12">
      <c r="C2155" s="53"/>
      <c r="D2155" s="53"/>
      <c r="E2155" s="53"/>
    </row>
    <row r="2156" spans="3:5" ht="12">
      <c r="C2156" s="53"/>
      <c r="D2156" s="53"/>
      <c r="E2156" s="53"/>
    </row>
    <row r="2157" spans="3:5" ht="12">
      <c r="C2157" s="53"/>
      <c r="D2157" s="53"/>
      <c r="E2157" s="53"/>
    </row>
    <row r="2158" spans="3:5" ht="12">
      <c r="C2158" s="53"/>
      <c r="D2158" s="53"/>
      <c r="E2158" s="53"/>
    </row>
    <row r="2159" spans="3:5" ht="12">
      <c r="C2159" s="53"/>
      <c r="D2159" s="53"/>
      <c r="E2159" s="53"/>
    </row>
    <row r="2160" spans="3:5" ht="12">
      <c r="C2160" s="53"/>
      <c r="D2160" s="53"/>
      <c r="E2160" s="53"/>
    </row>
    <row r="2161" spans="3:5" ht="12">
      <c r="C2161" s="53"/>
      <c r="D2161" s="53"/>
      <c r="E2161" s="53"/>
    </row>
    <row r="2162" spans="3:5" ht="12">
      <c r="C2162" s="53"/>
      <c r="D2162" s="53"/>
      <c r="E2162" s="53"/>
    </row>
    <row r="2163" spans="3:5" ht="12">
      <c r="C2163" s="53"/>
      <c r="D2163" s="53"/>
      <c r="E2163" s="53"/>
    </row>
    <row r="2164" spans="3:5" ht="12">
      <c r="C2164" s="53"/>
      <c r="D2164" s="53"/>
      <c r="E2164" s="53"/>
    </row>
    <row r="2165" spans="3:5" ht="12">
      <c r="C2165" s="53"/>
      <c r="D2165" s="53"/>
      <c r="E2165" s="53"/>
    </row>
    <row r="2166" spans="3:5" ht="12">
      <c r="C2166" s="53"/>
      <c r="D2166" s="53"/>
      <c r="E2166" s="53"/>
    </row>
    <row r="2167" spans="3:5" ht="12">
      <c r="C2167" s="53"/>
      <c r="D2167" s="53"/>
      <c r="E2167" s="53"/>
    </row>
    <row r="2168" spans="3:5" ht="12">
      <c r="C2168" s="53"/>
      <c r="D2168" s="53"/>
      <c r="E2168" s="53"/>
    </row>
    <row r="2169" spans="3:5" ht="12">
      <c r="C2169" s="53"/>
      <c r="D2169" s="53"/>
      <c r="E2169" s="53"/>
    </row>
    <row r="2170" spans="3:5" ht="12">
      <c r="C2170" s="53"/>
      <c r="D2170" s="53"/>
      <c r="E2170" s="53"/>
    </row>
    <row r="2171" spans="3:5" ht="12">
      <c r="C2171" s="53"/>
      <c r="D2171" s="53"/>
      <c r="E2171" s="53"/>
    </row>
    <row r="2172" spans="3:5" ht="12">
      <c r="C2172" s="53"/>
      <c r="D2172" s="53"/>
      <c r="E2172" s="53"/>
    </row>
    <row r="2173" spans="3:5" ht="12">
      <c r="C2173" s="53"/>
      <c r="D2173" s="53"/>
      <c r="E2173" s="53"/>
    </row>
    <row r="2174" spans="3:5" ht="12">
      <c r="C2174" s="53"/>
      <c r="D2174" s="53"/>
      <c r="E2174" s="53"/>
    </row>
    <row r="2175" spans="3:5" ht="12">
      <c r="C2175" s="53"/>
      <c r="D2175" s="53"/>
      <c r="E2175" s="53"/>
    </row>
    <row r="2176" spans="3:5" ht="12">
      <c r="C2176" s="53"/>
      <c r="D2176" s="53"/>
      <c r="E2176" s="53"/>
    </row>
    <row r="2177" spans="3:5" ht="12">
      <c r="C2177" s="53"/>
      <c r="D2177" s="53"/>
      <c r="E2177" s="53"/>
    </row>
    <row r="2178" spans="3:5" ht="12">
      <c r="C2178" s="53"/>
      <c r="D2178" s="53"/>
      <c r="E2178" s="53"/>
    </row>
    <row r="2179" spans="3:5" ht="12">
      <c r="C2179" s="53"/>
      <c r="D2179" s="53"/>
      <c r="E2179" s="53"/>
    </row>
    <row r="2180" spans="3:5" ht="12">
      <c r="C2180" s="53"/>
      <c r="D2180" s="53"/>
      <c r="E2180" s="53"/>
    </row>
    <row r="2181" spans="3:5" ht="12">
      <c r="C2181" s="53"/>
      <c r="D2181" s="53"/>
      <c r="E2181" s="53"/>
    </row>
    <row r="2182" spans="3:5" ht="12">
      <c r="C2182" s="53"/>
      <c r="D2182" s="53"/>
      <c r="E2182" s="53"/>
    </row>
    <row r="2183" spans="3:5" ht="12">
      <c r="C2183" s="53"/>
      <c r="D2183" s="53"/>
      <c r="E2183" s="53"/>
    </row>
    <row r="2184" spans="3:5" ht="12">
      <c r="C2184" s="53"/>
      <c r="D2184" s="53"/>
      <c r="E2184" s="53"/>
    </row>
    <row r="2185" spans="3:5" ht="12">
      <c r="C2185" s="53"/>
      <c r="D2185" s="53"/>
      <c r="E2185" s="53"/>
    </row>
    <row r="2186" spans="3:5" ht="12">
      <c r="C2186" s="53"/>
      <c r="D2186" s="53"/>
      <c r="E2186" s="53"/>
    </row>
    <row r="2187" spans="3:5" ht="12">
      <c r="C2187" s="53"/>
      <c r="D2187" s="53"/>
      <c r="E2187" s="53"/>
    </row>
    <row r="2188" spans="3:5" ht="12">
      <c r="C2188" s="53"/>
      <c r="D2188" s="53"/>
      <c r="E2188" s="53"/>
    </row>
    <row r="2189" spans="3:5" ht="12">
      <c r="C2189" s="53"/>
      <c r="D2189" s="53"/>
      <c r="E2189" s="53"/>
    </row>
    <row r="2190" spans="3:5" ht="12">
      <c r="C2190" s="53"/>
      <c r="D2190" s="53"/>
      <c r="E2190" s="53"/>
    </row>
    <row r="2191" spans="3:5" ht="12">
      <c r="C2191" s="53"/>
      <c r="D2191" s="53"/>
      <c r="E2191" s="53"/>
    </row>
    <row r="2192" spans="3:5" ht="12">
      <c r="C2192" s="53"/>
      <c r="D2192" s="53"/>
      <c r="E2192" s="53"/>
    </row>
    <row r="2193" spans="3:5" ht="12">
      <c r="C2193" s="53"/>
      <c r="D2193" s="53"/>
      <c r="E2193" s="53"/>
    </row>
    <row r="2194" spans="3:5" ht="12">
      <c r="C2194" s="53"/>
      <c r="D2194" s="53"/>
      <c r="E2194" s="53"/>
    </row>
    <row r="2195" spans="3:5" ht="12">
      <c r="C2195" s="53"/>
      <c r="D2195" s="53"/>
      <c r="E2195" s="53"/>
    </row>
    <row r="2196" spans="3:5" ht="12">
      <c r="C2196" s="53"/>
      <c r="D2196" s="53"/>
      <c r="E2196" s="53"/>
    </row>
    <row r="2197" spans="3:5" ht="12">
      <c r="C2197" s="53"/>
      <c r="D2197" s="53"/>
      <c r="E2197" s="53"/>
    </row>
    <row r="2198" spans="3:5" ht="12">
      <c r="C2198" s="53"/>
      <c r="D2198" s="53"/>
      <c r="E2198" s="53"/>
    </row>
    <row r="2199" spans="3:5" ht="12">
      <c r="C2199" s="53"/>
      <c r="D2199" s="53"/>
      <c r="E2199" s="53"/>
    </row>
    <row r="2200" spans="3:5" ht="12">
      <c r="C2200" s="53"/>
      <c r="D2200" s="53"/>
      <c r="E2200" s="53"/>
    </row>
    <row r="2201" spans="3:5" ht="12">
      <c r="C2201" s="53"/>
      <c r="D2201" s="53"/>
      <c r="E2201" s="53"/>
    </row>
    <row r="2202" spans="3:5" ht="12">
      <c r="C2202" s="53"/>
      <c r="D2202" s="53"/>
      <c r="E2202" s="53"/>
    </row>
    <row r="2203" spans="3:5" ht="12">
      <c r="C2203" s="53"/>
      <c r="D2203" s="53"/>
      <c r="E2203" s="53"/>
    </row>
    <row r="2204" spans="3:5" ht="12">
      <c r="C2204" s="53"/>
      <c r="D2204" s="53"/>
      <c r="E2204" s="53"/>
    </row>
    <row r="2205" spans="3:5" ht="12">
      <c r="C2205" s="53"/>
      <c r="D2205" s="53"/>
      <c r="E2205" s="53"/>
    </row>
    <row r="2206" spans="3:5" ht="12">
      <c r="C2206" s="53"/>
      <c r="D2206" s="53"/>
      <c r="E2206" s="53"/>
    </row>
    <row r="2207" spans="3:5" ht="12">
      <c r="C2207" s="53"/>
      <c r="D2207" s="53"/>
      <c r="E2207" s="53"/>
    </row>
    <row r="2208" spans="3:5" ht="12">
      <c r="C2208" s="53"/>
      <c r="D2208" s="53"/>
      <c r="E2208" s="53"/>
    </row>
    <row r="2209" spans="3:5" ht="12">
      <c r="C2209" s="53"/>
      <c r="D2209" s="53"/>
      <c r="E2209" s="53"/>
    </row>
    <row r="2210" spans="3:5" ht="12">
      <c r="C2210" s="53"/>
      <c r="D2210" s="53"/>
      <c r="E2210" s="53"/>
    </row>
    <row r="2211" spans="3:5" ht="12">
      <c r="C2211" s="53"/>
      <c r="D2211" s="53"/>
      <c r="E2211" s="53"/>
    </row>
    <row r="2212" spans="3:5" ht="12">
      <c r="C2212" s="53"/>
      <c r="D2212" s="53"/>
      <c r="E2212" s="53"/>
    </row>
    <row r="2213" spans="3:5" ht="12">
      <c r="C2213" s="53"/>
      <c r="D2213" s="53"/>
      <c r="E2213" s="53"/>
    </row>
    <row r="2214" spans="3:5" ht="12">
      <c r="C2214" s="53"/>
      <c r="D2214" s="53"/>
      <c r="E2214" s="53"/>
    </row>
    <row r="2215" spans="3:5" ht="12">
      <c r="C2215" s="53"/>
      <c r="D2215" s="53"/>
      <c r="E2215" s="53"/>
    </row>
    <row r="2216" spans="3:5" ht="12">
      <c r="C2216" s="53"/>
      <c r="D2216" s="53"/>
      <c r="E2216" s="53"/>
    </row>
    <row r="2217" spans="3:5" ht="12">
      <c r="C2217" s="53"/>
      <c r="D2217" s="53"/>
      <c r="E2217" s="53"/>
    </row>
    <row r="2218" spans="3:5" ht="12">
      <c r="C2218" s="53"/>
      <c r="D2218" s="53"/>
      <c r="E2218" s="53"/>
    </row>
    <row r="2219" spans="3:5" ht="12">
      <c r="C2219" s="53"/>
      <c r="D2219" s="53"/>
      <c r="E2219" s="53"/>
    </row>
    <row r="2220" spans="3:5" ht="12">
      <c r="C2220" s="53"/>
      <c r="D2220" s="53"/>
      <c r="E2220" s="53"/>
    </row>
    <row r="2221" spans="3:5" ht="12">
      <c r="C2221" s="53"/>
      <c r="D2221" s="53"/>
      <c r="E2221" s="53"/>
    </row>
    <row r="2222" spans="3:5" ht="12">
      <c r="C2222" s="53"/>
      <c r="D2222" s="53"/>
      <c r="E2222" s="53"/>
    </row>
    <row r="2223" spans="3:5" ht="12">
      <c r="C2223" s="53"/>
      <c r="D2223" s="53"/>
      <c r="E2223" s="53"/>
    </row>
    <row r="2224" spans="3:5" ht="12">
      <c r="C2224" s="53"/>
      <c r="D2224" s="53"/>
      <c r="E2224" s="53"/>
    </row>
    <row r="2225" spans="3:5" ht="12">
      <c r="C2225" s="53"/>
      <c r="D2225" s="53"/>
      <c r="E2225" s="53"/>
    </row>
    <row r="2226" spans="3:5" ht="12">
      <c r="C2226" s="53"/>
      <c r="D2226" s="53"/>
      <c r="E2226" s="53"/>
    </row>
    <row r="2227" spans="3:5" ht="12">
      <c r="C2227" s="53"/>
      <c r="D2227" s="53"/>
      <c r="E2227" s="53"/>
    </row>
    <row r="2228" spans="3:5" ht="12">
      <c r="C2228" s="53"/>
      <c r="D2228" s="53"/>
      <c r="E2228" s="53"/>
    </row>
    <row r="2229" spans="3:5" ht="12">
      <c r="C2229" s="53"/>
      <c r="D2229" s="53"/>
      <c r="E2229" s="53"/>
    </row>
    <row r="2230" spans="3:5" ht="12">
      <c r="C2230" s="53"/>
      <c r="D2230" s="53"/>
      <c r="E2230" s="53"/>
    </row>
    <row r="2231" spans="3:5" ht="12">
      <c r="C2231" s="53"/>
      <c r="D2231" s="53"/>
      <c r="E2231" s="53"/>
    </row>
    <row r="2232" spans="3:5" ht="12">
      <c r="C2232" s="53"/>
      <c r="D2232" s="53"/>
      <c r="E2232" s="53"/>
    </row>
    <row r="2233" spans="3:5" ht="12">
      <c r="C2233" s="53"/>
      <c r="D2233" s="53"/>
      <c r="E2233" s="53"/>
    </row>
    <row r="2234" spans="3:5" ht="12">
      <c r="C2234" s="53"/>
      <c r="D2234" s="53"/>
      <c r="E2234" s="53"/>
    </row>
    <row r="2235" spans="3:5" ht="12">
      <c r="C2235" s="53"/>
      <c r="D2235" s="53"/>
      <c r="E2235" s="53"/>
    </row>
    <row r="2236" spans="3:5" ht="12">
      <c r="C2236" s="53"/>
      <c r="D2236" s="53"/>
      <c r="E2236" s="53"/>
    </row>
    <row r="2237" spans="3:5" ht="12">
      <c r="C2237" s="53"/>
      <c r="D2237" s="53"/>
      <c r="E2237" s="53"/>
    </row>
    <row r="2238" spans="3:5" ht="12">
      <c r="C2238" s="53"/>
      <c r="D2238" s="53"/>
      <c r="E2238" s="53"/>
    </row>
    <row r="2239" spans="3:5" ht="12">
      <c r="C2239" s="53"/>
      <c r="D2239" s="53"/>
      <c r="E2239" s="53"/>
    </row>
    <row r="2240" spans="3:5" ht="12">
      <c r="C2240" s="53"/>
      <c r="D2240" s="53"/>
      <c r="E2240" s="53"/>
    </row>
    <row r="2241" spans="3:5" ht="12">
      <c r="C2241" s="53"/>
      <c r="D2241" s="53"/>
      <c r="E2241" s="53"/>
    </row>
    <row r="2242" spans="3:5" ht="12">
      <c r="C2242" s="53"/>
      <c r="D2242" s="53"/>
      <c r="E2242" s="53"/>
    </row>
    <row r="2243" spans="3:5" ht="12">
      <c r="C2243" s="53"/>
      <c r="D2243" s="53"/>
      <c r="E2243" s="53"/>
    </row>
    <row r="2244" spans="3:5" ht="12">
      <c r="C2244" s="53"/>
      <c r="D2244" s="53"/>
      <c r="E2244" s="53"/>
    </row>
    <row r="2245" spans="3:5" ht="12">
      <c r="C2245" s="53"/>
      <c r="D2245" s="53"/>
      <c r="E2245" s="53"/>
    </row>
    <row r="2246" spans="3:5" ht="12">
      <c r="C2246" s="53"/>
      <c r="D2246" s="53"/>
      <c r="E2246" s="53"/>
    </row>
    <row r="2247" spans="3:5" ht="12">
      <c r="C2247" s="53"/>
      <c r="D2247" s="53"/>
      <c r="E2247" s="53"/>
    </row>
    <row r="2248" spans="3:5" ht="12">
      <c r="C2248" s="53"/>
      <c r="D2248" s="53"/>
      <c r="E2248" s="53"/>
    </row>
    <row r="2249" spans="3:5" ht="12">
      <c r="C2249" s="53"/>
      <c r="D2249" s="53"/>
      <c r="E2249" s="53"/>
    </row>
    <row r="2250" spans="3:5" ht="12">
      <c r="C2250" s="53"/>
      <c r="D2250" s="53"/>
      <c r="E2250" s="53"/>
    </row>
    <row r="2251" spans="3:5" ht="12">
      <c r="C2251" s="53"/>
      <c r="D2251" s="53"/>
      <c r="E2251" s="53"/>
    </row>
    <row r="2252" spans="3:5" ht="12">
      <c r="C2252" s="53"/>
      <c r="D2252" s="53"/>
      <c r="E2252" s="53"/>
    </row>
    <row r="2253" spans="3:5" ht="12">
      <c r="C2253" s="53"/>
      <c r="D2253" s="53"/>
      <c r="E2253" s="53"/>
    </row>
    <row r="2254" spans="3:5" ht="12">
      <c r="C2254" s="53"/>
      <c r="D2254" s="53"/>
      <c r="E2254" s="53"/>
    </row>
    <row r="2255" spans="3:5" ht="12">
      <c r="C2255" s="53"/>
      <c r="D2255" s="53"/>
      <c r="E2255" s="53"/>
    </row>
    <row r="2256" spans="3:5" ht="12">
      <c r="C2256" s="53"/>
      <c r="D2256" s="53"/>
      <c r="E2256" s="53"/>
    </row>
    <row r="2257" spans="3:5" ht="12">
      <c r="C2257" s="53"/>
      <c r="D2257" s="53"/>
      <c r="E2257" s="53"/>
    </row>
    <row r="2258" spans="3:5" ht="12">
      <c r="C2258" s="53"/>
      <c r="D2258" s="53"/>
      <c r="E2258" s="53"/>
    </row>
    <row r="2259" spans="3:5" ht="12">
      <c r="C2259" s="53"/>
      <c r="D2259" s="53"/>
      <c r="E2259" s="53"/>
    </row>
    <row r="2260" spans="3:5" ht="12">
      <c r="C2260" s="53"/>
      <c r="D2260" s="53"/>
      <c r="E2260" s="53"/>
    </row>
    <row r="2261" spans="3:5" ht="12">
      <c r="C2261" s="53"/>
      <c r="D2261" s="53"/>
      <c r="E2261" s="53"/>
    </row>
    <row r="2262" spans="3:5" ht="12">
      <c r="C2262" s="53"/>
      <c r="D2262" s="53"/>
      <c r="E2262" s="53"/>
    </row>
    <row r="2263" spans="3:5" ht="12">
      <c r="C2263" s="53"/>
      <c r="D2263" s="53"/>
      <c r="E2263" s="53"/>
    </row>
    <row r="2264" spans="3:5" ht="12">
      <c r="C2264" s="53"/>
      <c r="D2264" s="53"/>
      <c r="E2264" s="53"/>
    </row>
    <row r="2265" spans="3:5" ht="12">
      <c r="C2265" s="53"/>
      <c r="D2265" s="53"/>
      <c r="E2265" s="53"/>
    </row>
    <row r="2266" spans="3:5" ht="12">
      <c r="C2266" s="53"/>
      <c r="D2266" s="53"/>
      <c r="E2266" s="53"/>
    </row>
    <row r="2267" spans="3:5" ht="12">
      <c r="C2267" s="53"/>
      <c r="D2267" s="53"/>
      <c r="E2267" s="53"/>
    </row>
    <row r="2268" spans="3:5" ht="12">
      <c r="C2268" s="53"/>
      <c r="D2268" s="53"/>
      <c r="E2268" s="53"/>
    </row>
    <row r="2269" spans="3:5" ht="12">
      <c r="C2269" s="53"/>
      <c r="D2269" s="53"/>
      <c r="E2269" s="53"/>
    </row>
    <row r="2270" spans="3:5" ht="12">
      <c r="C2270" s="53"/>
      <c r="D2270" s="53"/>
      <c r="E2270" s="53"/>
    </row>
    <row r="2271" spans="3:5" ht="12">
      <c r="C2271" s="53"/>
      <c r="D2271" s="53"/>
      <c r="E2271" s="53"/>
    </row>
    <row r="2272" spans="3:5" ht="12">
      <c r="C2272" s="53"/>
      <c r="D2272" s="53"/>
      <c r="E2272" s="53"/>
    </row>
    <row r="2273" spans="3:5" ht="12">
      <c r="C2273" s="53"/>
      <c r="D2273" s="53"/>
      <c r="E2273" s="53"/>
    </row>
    <row r="2274" spans="3:5" ht="12">
      <c r="C2274" s="53"/>
      <c r="D2274" s="53"/>
      <c r="E2274" s="53"/>
    </row>
    <row r="2275" spans="3:5" ht="12">
      <c r="C2275" s="53"/>
      <c r="D2275" s="53"/>
      <c r="E2275" s="53"/>
    </row>
    <row r="2276" spans="3:5" ht="12">
      <c r="C2276" s="53"/>
      <c r="D2276" s="53"/>
      <c r="E2276" s="53"/>
    </row>
    <row r="2277" spans="3:5" ht="12">
      <c r="C2277" s="53"/>
      <c r="D2277" s="53"/>
      <c r="E2277" s="53"/>
    </row>
    <row r="2278" spans="3:5" ht="12">
      <c r="C2278" s="53"/>
      <c r="D2278" s="53"/>
      <c r="E2278" s="53"/>
    </row>
    <row r="2279" spans="3:5" ht="12">
      <c r="C2279" s="53"/>
      <c r="D2279" s="53"/>
      <c r="E2279" s="53"/>
    </row>
    <row r="2280" spans="3:5" ht="12">
      <c r="C2280" s="53"/>
      <c r="D2280" s="53"/>
      <c r="E2280" s="53"/>
    </row>
    <row r="2281" spans="3:5" ht="12">
      <c r="C2281" s="53"/>
      <c r="D2281" s="53"/>
      <c r="E2281" s="53"/>
    </row>
    <row r="2282" spans="3:5" ht="12">
      <c r="C2282" s="53"/>
      <c r="D2282" s="53"/>
      <c r="E2282" s="53"/>
    </row>
    <row r="2283" spans="3:5" ht="12">
      <c r="C2283" s="53"/>
      <c r="D2283" s="53"/>
      <c r="E2283" s="53"/>
    </row>
    <row r="2284" spans="3:5" ht="12">
      <c r="C2284" s="53"/>
      <c r="D2284" s="53"/>
      <c r="E2284" s="53"/>
    </row>
    <row r="2285" spans="3:5" ht="12">
      <c r="C2285" s="53"/>
      <c r="D2285" s="53"/>
      <c r="E2285" s="53"/>
    </row>
    <row r="2286" spans="3:5" ht="12">
      <c r="C2286" s="53"/>
      <c r="D2286" s="53"/>
      <c r="E2286" s="53"/>
    </row>
    <row r="2287" spans="3:5" ht="12">
      <c r="C2287" s="53"/>
      <c r="D2287" s="53"/>
      <c r="E2287" s="53"/>
    </row>
    <row r="2288" spans="3:5" ht="12">
      <c r="C2288" s="53"/>
      <c r="D2288" s="53"/>
      <c r="E2288" s="53"/>
    </row>
    <row r="2289" spans="3:5" ht="12">
      <c r="C2289" s="53"/>
      <c r="D2289" s="53"/>
      <c r="E2289" s="53"/>
    </row>
    <row r="2290" spans="3:5" ht="12">
      <c r="C2290" s="53"/>
      <c r="D2290" s="53"/>
      <c r="E2290" s="53"/>
    </row>
    <row r="2291" spans="3:5" ht="12">
      <c r="C2291" s="53"/>
      <c r="D2291" s="53"/>
      <c r="E2291" s="53"/>
    </row>
    <row r="2292" spans="3:5" ht="12">
      <c r="C2292" s="53"/>
      <c r="D2292" s="53"/>
      <c r="E2292" s="53"/>
    </row>
    <row r="2293" spans="3:5" ht="12">
      <c r="C2293" s="53"/>
      <c r="D2293" s="53"/>
      <c r="E2293" s="53"/>
    </row>
    <row r="2294" spans="3:5" ht="12">
      <c r="C2294" s="53"/>
      <c r="D2294" s="53"/>
      <c r="E2294" s="53"/>
    </row>
    <row r="2295" spans="3:5" ht="12">
      <c r="C2295" s="53"/>
      <c r="D2295" s="53"/>
      <c r="E2295" s="53"/>
    </row>
    <row r="2296" spans="3:5" ht="12">
      <c r="C2296" s="53"/>
      <c r="D2296" s="53"/>
      <c r="E2296" s="53"/>
    </row>
    <row r="2297" spans="3:5" ht="12">
      <c r="C2297" s="53"/>
      <c r="D2297" s="53"/>
      <c r="E2297" s="53"/>
    </row>
    <row r="2298" spans="3:5" ht="12">
      <c r="C2298" s="53"/>
      <c r="D2298" s="53"/>
      <c r="E2298" s="53"/>
    </row>
    <row r="2299" spans="3:5" ht="12">
      <c r="C2299" s="53"/>
      <c r="D2299" s="53"/>
      <c r="E2299" s="53"/>
    </row>
    <row r="2300" spans="3:5" ht="12">
      <c r="C2300" s="53"/>
      <c r="D2300" s="53"/>
      <c r="E2300" s="53"/>
    </row>
    <row r="2301" spans="3:5" ht="12">
      <c r="C2301" s="53"/>
      <c r="D2301" s="53"/>
      <c r="E2301" s="53"/>
    </row>
    <row r="2302" spans="3:5" ht="12">
      <c r="C2302" s="53"/>
      <c r="D2302" s="53"/>
      <c r="E2302" s="53"/>
    </row>
    <row r="2303" spans="3:5" ht="12">
      <c r="C2303" s="53"/>
      <c r="D2303" s="53"/>
      <c r="E2303" s="53"/>
    </row>
    <row r="2304" spans="3:5" ht="12">
      <c r="C2304" s="53"/>
      <c r="D2304" s="53"/>
      <c r="E2304" s="53"/>
    </row>
    <row r="2305" spans="3:5" ht="12">
      <c r="C2305" s="53"/>
      <c r="D2305" s="53"/>
      <c r="E2305" s="53"/>
    </row>
    <row r="2306" spans="3:5" ht="12">
      <c r="C2306" s="53"/>
      <c r="D2306" s="53"/>
      <c r="E2306" s="53"/>
    </row>
    <row r="2307" spans="3:5" ht="12">
      <c r="C2307" s="53"/>
      <c r="D2307" s="53"/>
      <c r="E2307" s="53"/>
    </row>
    <row r="2308" spans="3:5" ht="12">
      <c r="C2308" s="53"/>
      <c r="D2308" s="53"/>
      <c r="E2308" s="53"/>
    </row>
    <row r="2309" spans="3:5" ht="12">
      <c r="C2309" s="53"/>
      <c r="D2309" s="53"/>
      <c r="E2309" s="53"/>
    </row>
    <row r="2310" spans="3:5" ht="12">
      <c r="C2310" s="53"/>
      <c r="D2310" s="53"/>
      <c r="E2310" s="53"/>
    </row>
    <row r="2311" spans="3:5" ht="12">
      <c r="C2311" s="53"/>
      <c r="D2311" s="53"/>
      <c r="E2311" s="53"/>
    </row>
    <row r="2312" spans="3:5" ht="12">
      <c r="C2312" s="53"/>
      <c r="D2312" s="53"/>
      <c r="E2312" s="53"/>
    </row>
    <row r="2313" spans="3:5" ht="12">
      <c r="C2313" s="53"/>
      <c r="D2313" s="53"/>
      <c r="E2313" s="53"/>
    </row>
    <row r="2314" spans="3:5" ht="12">
      <c r="C2314" s="53"/>
      <c r="D2314" s="53"/>
      <c r="E2314" s="53"/>
    </row>
    <row r="2315" spans="3:5" ht="12">
      <c r="C2315" s="53"/>
      <c r="D2315" s="53"/>
      <c r="E2315" s="53"/>
    </row>
    <row r="2316" spans="3:5" ht="12">
      <c r="C2316" s="53"/>
      <c r="D2316" s="53"/>
      <c r="E2316" s="53"/>
    </row>
    <row r="2317" spans="3:5" ht="12">
      <c r="C2317" s="53"/>
      <c r="D2317" s="53"/>
      <c r="E2317" s="53"/>
    </row>
    <row r="2318" spans="3:5" ht="12">
      <c r="C2318" s="53"/>
      <c r="D2318" s="53"/>
      <c r="E2318" s="53"/>
    </row>
    <row r="2319" spans="3:5" ht="12">
      <c r="C2319" s="53"/>
      <c r="D2319" s="53"/>
      <c r="E2319" s="53"/>
    </row>
    <row r="2320" spans="3:5" ht="12">
      <c r="C2320" s="53"/>
      <c r="D2320" s="53"/>
      <c r="E2320" s="53"/>
    </row>
    <row r="2321" spans="3:5" ht="12">
      <c r="C2321" s="53"/>
      <c r="D2321" s="53"/>
      <c r="E2321" s="53"/>
    </row>
    <row r="2322" spans="3:5" ht="12">
      <c r="C2322" s="53"/>
      <c r="D2322" s="53"/>
      <c r="E2322" s="53"/>
    </row>
    <row r="2323" spans="3:5" ht="12">
      <c r="C2323" s="53"/>
      <c r="D2323" s="53"/>
      <c r="E2323" s="53"/>
    </row>
    <row r="2324" spans="3:5" ht="12">
      <c r="C2324" s="53"/>
      <c r="D2324" s="53"/>
      <c r="E2324" s="53"/>
    </row>
    <row r="2325" spans="3:5" ht="12">
      <c r="C2325" s="53"/>
      <c r="D2325" s="53"/>
      <c r="E2325" s="53"/>
    </row>
    <row r="2326" spans="3:5" ht="12">
      <c r="C2326" s="53"/>
      <c r="D2326" s="53"/>
      <c r="E2326" s="53"/>
    </row>
    <row r="2327" spans="3:5" ht="12">
      <c r="C2327" s="53"/>
      <c r="D2327" s="53"/>
      <c r="E2327" s="53"/>
    </row>
    <row r="2328" spans="3:5" ht="12">
      <c r="C2328" s="53"/>
      <c r="D2328" s="53"/>
      <c r="E2328" s="53"/>
    </row>
    <row r="2329" spans="3:5" ht="12">
      <c r="C2329" s="53"/>
      <c r="D2329" s="53"/>
      <c r="E2329" s="53"/>
    </row>
    <row r="2330" spans="3:5" ht="12">
      <c r="C2330" s="53"/>
      <c r="D2330" s="53"/>
      <c r="E2330" s="53"/>
    </row>
    <row r="2331" spans="3:5" ht="12">
      <c r="C2331" s="53"/>
      <c r="D2331" s="53"/>
      <c r="E2331" s="53"/>
    </row>
    <row r="2332" spans="3:5" ht="12">
      <c r="C2332" s="53"/>
      <c r="D2332" s="53"/>
      <c r="E2332" s="53"/>
    </row>
    <row r="2333" spans="3:5" ht="12">
      <c r="C2333" s="53"/>
      <c r="D2333" s="53"/>
      <c r="E2333" s="53"/>
    </row>
    <row r="2334" spans="3:5" ht="12">
      <c r="C2334" s="53"/>
      <c r="D2334" s="53"/>
      <c r="E2334" s="53"/>
    </row>
    <row r="2335" spans="3:5" ht="12">
      <c r="C2335" s="53"/>
      <c r="D2335" s="53"/>
      <c r="E2335" s="53"/>
    </row>
    <row r="2336" spans="3:5" ht="12">
      <c r="C2336" s="53"/>
      <c r="D2336" s="53"/>
      <c r="E2336" s="53"/>
    </row>
    <row r="2337" spans="3:5" ht="12">
      <c r="C2337" s="53"/>
      <c r="D2337" s="53"/>
      <c r="E2337" s="53"/>
    </row>
    <row r="2338" spans="3:5" ht="12">
      <c r="C2338" s="53"/>
      <c r="D2338" s="53"/>
      <c r="E2338" s="53"/>
    </row>
    <row r="2339" spans="3:5" ht="12">
      <c r="C2339" s="53"/>
      <c r="D2339" s="53"/>
      <c r="E2339" s="53"/>
    </row>
    <row r="2340" spans="3:5" ht="12">
      <c r="C2340" s="53"/>
      <c r="D2340" s="53"/>
      <c r="E2340" s="53"/>
    </row>
    <row r="2341" spans="3:5" ht="12">
      <c r="C2341" s="53"/>
      <c r="D2341" s="53"/>
      <c r="E2341" s="53"/>
    </row>
    <row r="2342" spans="3:5" ht="12">
      <c r="C2342" s="53"/>
      <c r="D2342" s="53"/>
      <c r="E2342" s="53"/>
    </row>
    <row r="2343" spans="3:5" ht="12">
      <c r="C2343" s="53"/>
      <c r="D2343" s="53"/>
      <c r="E2343" s="53"/>
    </row>
    <row r="2344" spans="3:5" ht="12">
      <c r="C2344" s="53"/>
      <c r="D2344" s="53"/>
      <c r="E2344" s="53"/>
    </row>
    <row r="2345" spans="3:5" ht="12">
      <c r="C2345" s="53"/>
      <c r="D2345" s="53"/>
      <c r="E2345" s="53"/>
    </row>
    <row r="2346" spans="3:5" ht="12">
      <c r="C2346" s="53"/>
      <c r="D2346" s="53"/>
      <c r="E2346" s="53"/>
    </row>
    <row r="2347" spans="3:5" ht="12">
      <c r="C2347" s="53"/>
      <c r="D2347" s="53"/>
      <c r="E2347" s="53"/>
    </row>
    <row r="2348" spans="3:5" ht="12">
      <c r="C2348" s="53"/>
      <c r="D2348" s="53"/>
      <c r="E2348" s="53"/>
    </row>
    <row r="2349" spans="3:5" ht="12">
      <c r="C2349" s="53"/>
      <c r="D2349" s="53"/>
      <c r="E2349" s="53"/>
    </row>
    <row r="2350" spans="3:5" ht="12">
      <c r="C2350" s="53"/>
      <c r="D2350" s="53"/>
      <c r="E2350" s="53"/>
    </row>
    <row r="2351" spans="3:5" ht="12">
      <c r="C2351" s="53"/>
      <c r="D2351" s="53"/>
      <c r="E2351" s="53"/>
    </row>
    <row r="2352" spans="3:5" ht="12">
      <c r="C2352" s="53"/>
      <c r="D2352" s="53"/>
      <c r="E2352" s="53"/>
    </row>
    <row r="2353" spans="3:5" ht="12">
      <c r="C2353" s="53"/>
      <c r="D2353" s="53"/>
      <c r="E2353" s="53"/>
    </row>
    <row r="2354" spans="3:5" ht="12">
      <c r="C2354" s="53"/>
      <c r="D2354" s="53"/>
      <c r="E2354" s="53"/>
    </row>
    <row r="2355" spans="3:5" ht="12">
      <c r="C2355" s="53"/>
      <c r="D2355" s="53"/>
      <c r="E2355" s="53"/>
    </row>
    <row r="2356" spans="3:5" ht="12">
      <c r="C2356" s="53"/>
      <c r="D2356" s="53"/>
      <c r="E2356" s="53"/>
    </row>
    <row r="2357" spans="3:5" ht="12">
      <c r="C2357" s="53"/>
      <c r="D2357" s="53"/>
      <c r="E2357" s="53"/>
    </row>
    <row r="2358" spans="3:5" ht="12">
      <c r="C2358" s="53"/>
      <c r="D2358" s="53"/>
      <c r="E2358" s="53"/>
    </row>
    <row r="2359" spans="3:5" ht="12">
      <c r="C2359" s="53"/>
      <c r="D2359" s="53"/>
      <c r="E2359" s="53"/>
    </row>
    <row r="2360" spans="3:5" ht="12">
      <c r="C2360" s="53"/>
      <c r="D2360" s="53"/>
      <c r="E2360" s="53"/>
    </row>
    <row r="2361" spans="3:5" ht="12">
      <c r="C2361" s="53"/>
      <c r="D2361" s="53"/>
      <c r="E2361" s="53"/>
    </row>
    <row r="2362" spans="3:5" ht="12">
      <c r="C2362" s="53"/>
      <c r="D2362" s="53"/>
      <c r="E2362" s="53"/>
    </row>
    <row r="2363" spans="3:5" ht="12">
      <c r="C2363" s="53"/>
      <c r="D2363" s="53"/>
      <c r="E2363" s="53"/>
    </row>
    <row r="2364" spans="3:5" ht="12">
      <c r="C2364" s="53"/>
      <c r="D2364" s="53"/>
      <c r="E2364" s="53"/>
    </row>
    <row r="2365" spans="3:5" ht="12">
      <c r="C2365" s="53"/>
      <c r="D2365" s="53"/>
      <c r="E2365" s="53"/>
    </row>
    <row r="2366" spans="3:5" ht="12">
      <c r="C2366" s="53"/>
      <c r="D2366" s="53"/>
      <c r="E2366" s="53"/>
    </row>
    <row r="2367" spans="3:5" ht="12">
      <c r="C2367" s="53"/>
      <c r="D2367" s="53"/>
      <c r="E2367" s="53"/>
    </row>
    <row r="2368" spans="3:5" ht="12">
      <c r="C2368" s="53"/>
      <c r="D2368" s="53"/>
      <c r="E2368" s="53"/>
    </row>
    <row r="2369" spans="3:5" ht="12">
      <c r="C2369" s="53"/>
      <c r="D2369" s="53"/>
      <c r="E2369" s="53"/>
    </row>
    <row r="2370" spans="3:5" ht="12">
      <c r="C2370" s="53"/>
      <c r="D2370" s="53"/>
      <c r="E2370" s="53"/>
    </row>
    <row r="2371" spans="3:5" ht="12">
      <c r="C2371" s="53"/>
      <c r="D2371" s="53"/>
      <c r="E2371" s="53"/>
    </row>
    <row r="2372" spans="3:5" ht="12">
      <c r="C2372" s="53"/>
      <c r="D2372" s="53"/>
      <c r="E2372" s="53"/>
    </row>
    <row r="2373" spans="3:5" ht="12">
      <c r="C2373" s="53"/>
      <c r="D2373" s="53"/>
      <c r="E2373" s="53"/>
    </row>
    <row r="2374" spans="3:5" ht="12">
      <c r="C2374" s="53"/>
      <c r="D2374" s="53"/>
      <c r="E2374" s="53"/>
    </row>
    <row r="2375" spans="3:5" ht="12">
      <c r="C2375" s="53"/>
      <c r="D2375" s="53"/>
      <c r="E2375" s="53"/>
    </row>
    <row r="2376" spans="3:5" ht="12">
      <c r="C2376" s="53"/>
      <c r="D2376" s="53"/>
      <c r="E2376" s="53"/>
    </row>
    <row r="2377" spans="3:5" ht="12">
      <c r="C2377" s="53"/>
      <c r="D2377" s="53"/>
      <c r="E2377" s="53"/>
    </row>
    <row r="2378" spans="3:5" ht="12">
      <c r="C2378" s="53"/>
      <c r="D2378" s="53"/>
      <c r="E2378" s="53"/>
    </row>
    <row r="2379" spans="3:5" ht="12">
      <c r="C2379" s="53"/>
      <c r="D2379" s="53"/>
      <c r="E2379" s="53"/>
    </row>
    <row r="2380" spans="3:5" ht="12">
      <c r="C2380" s="53"/>
      <c r="D2380" s="53"/>
      <c r="E2380" s="53"/>
    </row>
    <row r="2381" spans="3:5" ht="12">
      <c r="C2381" s="53"/>
      <c r="D2381" s="53"/>
      <c r="E2381" s="53"/>
    </row>
    <row r="2382" spans="3:5" ht="12">
      <c r="C2382" s="53"/>
      <c r="D2382" s="53"/>
      <c r="E2382" s="53"/>
    </row>
    <row r="2383" spans="3:5" ht="12">
      <c r="C2383" s="53"/>
      <c r="D2383" s="53"/>
      <c r="E2383" s="53"/>
    </row>
    <row r="2384" spans="3:5" ht="12">
      <c r="C2384" s="53"/>
      <c r="D2384" s="53"/>
      <c r="E2384" s="53"/>
    </row>
    <row r="2385" spans="3:5" ht="12">
      <c r="C2385" s="53"/>
      <c r="D2385" s="53"/>
      <c r="E2385" s="53"/>
    </row>
    <row r="2386" spans="3:5" ht="12">
      <c r="C2386" s="53"/>
      <c r="D2386" s="53"/>
      <c r="E2386" s="53"/>
    </row>
    <row r="2387" spans="3:5" ht="12">
      <c r="C2387" s="53"/>
      <c r="D2387" s="53"/>
      <c r="E2387" s="53"/>
    </row>
    <row r="2388" spans="3:5" ht="12">
      <c r="C2388" s="53"/>
      <c r="D2388" s="53"/>
      <c r="E2388" s="53"/>
    </row>
    <row r="2389" spans="3:5" ht="12">
      <c r="C2389" s="53"/>
      <c r="D2389" s="53"/>
      <c r="E2389" s="53"/>
    </row>
    <row r="2390" spans="3:5" ht="12">
      <c r="C2390" s="53"/>
      <c r="D2390" s="53"/>
      <c r="E2390" s="53"/>
    </row>
    <row r="2391" spans="3:5" ht="12">
      <c r="C2391" s="53"/>
      <c r="D2391" s="53"/>
      <c r="E2391" s="53"/>
    </row>
    <row r="2392" spans="3:5" ht="12">
      <c r="C2392" s="53"/>
      <c r="D2392" s="53"/>
      <c r="E2392" s="53"/>
    </row>
    <row r="2393" spans="3:5" ht="12">
      <c r="C2393" s="53"/>
      <c r="D2393" s="53"/>
      <c r="E2393" s="53"/>
    </row>
    <row r="2394" spans="3:5" ht="12">
      <c r="C2394" s="53"/>
      <c r="D2394" s="53"/>
      <c r="E2394" s="53"/>
    </row>
    <row r="2395" spans="3:5" ht="12">
      <c r="C2395" s="53"/>
      <c r="D2395" s="53"/>
      <c r="E2395" s="53"/>
    </row>
    <row r="2396" spans="3:5" ht="12">
      <c r="C2396" s="53"/>
      <c r="D2396" s="53"/>
      <c r="E2396" s="53"/>
    </row>
    <row r="2397" spans="3:5" ht="12">
      <c r="C2397" s="53"/>
      <c r="D2397" s="53"/>
      <c r="E2397" s="53"/>
    </row>
    <row r="2398" spans="3:5" ht="12">
      <c r="C2398" s="53"/>
      <c r="D2398" s="53"/>
      <c r="E2398" s="53"/>
    </row>
    <row r="2399" spans="3:5" ht="12">
      <c r="C2399" s="53"/>
      <c r="D2399" s="53"/>
      <c r="E2399" s="53"/>
    </row>
    <row r="2400" spans="3:5" ht="12">
      <c r="C2400" s="53"/>
      <c r="D2400" s="53"/>
      <c r="E2400" s="53"/>
    </row>
    <row r="2401" spans="3:5" ht="12">
      <c r="C2401" s="53"/>
      <c r="D2401" s="53"/>
      <c r="E2401" s="53"/>
    </row>
    <row r="2402" spans="3:5" ht="12">
      <c r="C2402" s="53"/>
      <c r="D2402" s="53"/>
      <c r="E2402" s="53"/>
    </row>
    <row r="2403" spans="3:5" ht="12">
      <c r="C2403" s="53"/>
      <c r="D2403" s="53"/>
      <c r="E2403" s="53"/>
    </row>
    <row r="2404" spans="3:5" ht="12">
      <c r="C2404" s="53"/>
      <c r="D2404" s="53"/>
      <c r="E2404" s="53"/>
    </row>
    <row r="2405" spans="3:5" ht="12">
      <c r="C2405" s="53"/>
      <c r="D2405" s="53"/>
      <c r="E2405" s="53"/>
    </row>
    <row r="2406" spans="3:5" ht="12">
      <c r="C2406" s="53"/>
      <c r="D2406" s="53"/>
      <c r="E2406" s="53"/>
    </row>
    <row r="2407" spans="3:5" ht="12">
      <c r="C2407" s="53"/>
      <c r="D2407" s="53"/>
      <c r="E2407" s="53"/>
    </row>
    <row r="2408" spans="3:5" ht="12">
      <c r="C2408" s="53"/>
      <c r="D2408" s="53"/>
      <c r="E2408" s="53"/>
    </row>
    <row r="2409" spans="3:5" ht="12">
      <c r="C2409" s="53"/>
      <c r="D2409" s="53"/>
      <c r="E2409" s="53"/>
    </row>
    <row r="2410" spans="3:5" ht="12">
      <c r="C2410" s="53"/>
      <c r="D2410" s="53"/>
      <c r="E2410" s="53"/>
    </row>
    <row r="2411" spans="3:5" ht="12">
      <c r="C2411" s="53"/>
      <c r="D2411" s="53"/>
      <c r="E2411" s="53"/>
    </row>
    <row r="2412" spans="3:5" ht="12">
      <c r="C2412" s="53"/>
      <c r="D2412" s="53"/>
      <c r="E2412" s="53"/>
    </row>
    <row r="2413" spans="3:5" ht="12">
      <c r="C2413" s="53"/>
      <c r="D2413" s="53"/>
      <c r="E2413" s="53"/>
    </row>
    <row r="2414" spans="3:5" ht="12">
      <c r="C2414" s="53"/>
      <c r="D2414" s="53"/>
      <c r="E2414" s="53"/>
    </row>
    <row r="2415" spans="3:5" ht="12">
      <c r="C2415" s="53"/>
      <c r="D2415" s="53"/>
      <c r="E2415" s="53"/>
    </row>
    <row r="2416" spans="3:5" ht="12">
      <c r="C2416" s="53"/>
      <c r="D2416" s="53"/>
      <c r="E2416" s="53"/>
    </row>
    <row r="2417" spans="3:5" ht="12">
      <c r="C2417" s="53"/>
      <c r="D2417" s="53"/>
      <c r="E2417" s="53"/>
    </row>
    <row r="2418" spans="3:5" ht="12">
      <c r="C2418" s="53"/>
      <c r="D2418" s="53"/>
      <c r="E2418" s="53"/>
    </row>
    <row r="2419" spans="3:5" ht="12">
      <c r="C2419" s="53"/>
      <c r="D2419" s="53"/>
      <c r="E2419" s="53"/>
    </row>
    <row r="2420" spans="3:5" ht="12">
      <c r="C2420" s="53"/>
      <c r="D2420" s="53"/>
      <c r="E2420" s="53"/>
    </row>
    <row r="2421" spans="3:5" ht="12">
      <c r="C2421" s="53"/>
      <c r="D2421" s="53"/>
      <c r="E2421" s="53"/>
    </row>
    <row r="2422" spans="3:5" ht="12">
      <c r="C2422" s="53"/>
      <c r="D2422" s="53"/>
      <c r="E2422" s="53"/>
    </row>
    <row r="2423" spans="3:5" ht="12">
      <c r="C2423" s="53"/>
      <c r="D2423" s="53"/>
      <c r="E2423" s="53"/>
    </row>
    <row r="2424" spans="3:5" ht="12">
      <c r="C2424" s="53"/>
      <c r="D2424" s="53"/>
      <c r="E2424" s="53"/>
    </row>
    <row r="2425" spans="3:5" ht="12">
      <c r="C2425" s="53"/>
      <c r="D2425" s="53"/>
      <c r="E2425" s="53"/>
    </row>
    <row r="2426" spans="3:5" ht="12">
      <c r="C2426" s="53"/>
      <c r="D2426" s="53"/>
      <c r="E2426" s="53"/>
    </row>
    <row r="2427" spans="3:5" ht="12">
      <c r="C2427" s="53"/>
      <c r="D2427" s="53"/>
      <c r="E2427" s="53"/>
    </row>
    <row r="2428" spans="3:5" ht="12">
      <c r="C2428" s="53"/>
      <c r="D2428" s="53"/>
      <c r="E2428" s="53"/>
    </row>
    <row r="2429" spans="3:5" ht="12">
      <c r="C2429" s="53"/>
      <c r="D2429" s="53"/>
      <c r="E2429" s="53"/>
    </row>
    <row r="2430" spans="3:5" ht="12">
      <c r="C2430" s="53"/>
      <c r="D2430" s="53"/>
      <c r="E2430" s="53"/>
    </row>
    <row r="2431" spans="3:5" ht="12">
      <c r="C2431" s="53"/>
      <c r="D2431" s="53"/>
      <c r="E2431" s="53"/>
    </row>
    <row r="2432" spans="3:5" ht="12">
      <c r="C2432" s="53"/>
      <c r="D2432" s="53"/>
      <c r="E2432" s="53"/>
    </row>
    <row r="2433" spans="3:5" ht="12">
      <c r="C2433" s="53"/>
      <c r="D2433" s="53"/>
      <c r="E2433" s="53"/>
    </row>
    <row r="2434" spans="3:5" ht="12">
      <c r="C2434" s="53"/>
      <c r="D2434" s="53"/>
      <c r="E2434" s="53"/>
    </row>
    <row r="2435" spans="3:5" ht="12">
      <c r="C2435" s="53"/>
      <c r="D2435" s="53"/>
      <c r="E2435" s="53"/>
    </row>
    <row r="2436" spans="3:5" ht="12">
      <c r="C2436" s="53"/>
      <c r="D2436" s="53"/>
      <c r="E2436" s="53"/>
    </row>
    <row r="2437" spans="3:5" ht="12">
      <c r="C2437" s="53"/>
      <c r="D2437" s="53"/>
      <c r="E2437" s="53"/>
    </row>
    <row r="2438" spans="3:5" ht="12">
      <c r="C2438" s="53"/>
      <c r="D2438" s="53"/>
      <c r="E2438" s="53"/>
    </row>
    <row r="2439" spans="3:5" ht="12">
      <c r="C2439" s="53"/>
      <c r="D2439" s="53"/>
      <c r="E2439" s="53"/>
    </row>
    <row r="2440" spans="3:5" ht="12">
      <c r="C2440" s="53"/>
      <c r="D2440" s="53"/>
      <c r="E2440" s="53"/>
    </row>
    <row r="2441" spans="3:5" ht="12">
      <c r="C2441" s="53"/>
      <c r="D2441" s="53"/>
      <c r="E2441" s="53"/>
    </row>
    <row r="2442" spans="3:5" ht="12">
      <c r="C2442" s="53"/>
      <c r="D2442" s="53"/>
      <c r="E2442" s="53"/>
    </row>
    <row r="2443" spans="3:5" ht="12">
      <c r="C2443" s="53"/>
      <c r="D2443" s="53"/>
      <c r="E2443" s="53"/>
    </row>
    <row r="2444" spans="3:5" ht="12">
      <c r="C2444" s="53"/>
      <c r="D2444" s="53"/>
      <c r="E2444" s="53"/>
    </row>
    <row r="2445" spans="3:5" ht="12">
      <c r="C2445" s="53"/>
      <c r="D2445" s="53"/>
      <c r="E2445" s="53"/>
    </row>
    <row r="2446" spans="3:5" ht="12">
      <c r="C2446" s="53"/>
      <c r="D2446" s="53"/>
      <c r="E2446" s="53"/>
    </row>
    <row r="2447" spans="3:5" ht="12">
      <c r="C2447" s="53"/>
      <c r="D2447" s="53"/>
      <c r="E2447" s="53"/>
    </row>
    <row r="2448" spans="3:5" ht="12">
      <c r="C2448" s="53"/>
      <c r="D2448" s="53"/>
      <c r="E2448" s="53"/>
    </row>
    <row r="2449" spans="3:5" ht="12">
      <c r="C2449" s="53"/>
      <c r="D2449" s="53"/>
      <c r="E2449" s="53"/>
    </row>
    <row r="2450" spans="3:5" ht="12">
      <c r="C2450" s="53"/>
      <c r="D2450" s="53"/>
      <c r="E2450" s="53"/>
    </row>
    <row r="2451" spans="3:5" ht="12">
      <c r="C2451" s="53"/>
      <c r="D2451" s="53"/>
      <c r="E2451" s="53"/>
    </row>
    <row r="2452" spans="3:5" ht="12">
      <c r="C2452" s="53"/>
      <c r="D2452" s="53"/>
      <c r="E2452" s="53"/>
    </row>
    <row r="2453" spans="3:5" ht="12">
      <c r="C2453" s="53"/>
      <c r="D2453" s="53"/>
      <c r="E2453" s="53"/>
    </row>
    <row r="2454" spans="3:5" ht="12">
      <c r="C2454" s="53"/>
      <c r="D2454" s="53"/>
      <c r="E2454" s="53"/>
    </row>
    <row r="2455" spans="3:5" ht="12">
      <c r="C2455" s="53"/>
      <c r="D2455" s="53"/>
      <c r="E2455" s="53"/>
    </row>
    <row r="2456" spans="3:5" ht="12">
      <c r="C2456" s="53"/>
      <c r="D2456" s="53"/>
      <c r="E2456" s="53"/>
    </row>
    <row r="2457" spans="3:5" ht="12">
      <c r="C2457" s="53"/>
      <c r="D2457" s="53"/>
      <c r="E2457" s="53"/>
    </row>
    <row r="2458" spans="3:5" ht="12">
      <c r="C2458" s="53"/>
      <c r="D2458" s="53"/>
      <c r="E2458" s="53"/>
    </row>
    <row r="2459" spans="3:5" ht="12">
      <c r="C2459" s="53"/>
      <c r="D2459" s="53"/>
      <c r="E2459" s="53"/>
    </row>
    <row r="2460" spans="3:5" ht="12">
      <c r="C2460" s="53"/>
      <c r="D2460" s="53"/>
      <c r="E2460" s="53"/>
    </row>
    <row r="2461" spans="3:5" ht="12">
      <c r="C2461" s="53"/>
      <c r="D2461" s="53"/>
      <c r="E2461" s="53"/>
    </row>
    <row r="2462" spans="3:5" ht="12">
      <c r="C2462" s="53"/>
      <c r="D2462" s="53"/>
      <c r="E2462" s="53"/>
    </row>
    <row r="2463" spans="3:5" ht="12">
      <c r="C2463" s="53"/>
      <c r="D2463" s="53"/>
      <c r="E2463" s="53"/>
    </row>
    <row r="2464" spans="3:5" ht="12">
      <c r="C2464" s="53"/>
      <c r="D2464" s="53"/>
      <c r="E2464" s="53"/>
    </row>
    <row r="2465" spans="3:5" ht="12">
      <c r="C2465" s="53"/>
      <c r="D2465" s="53"/>
      <c r="E2465" s="53"/>
    </row>
    <row r="2466" spans="3:5" ht="12">
      <c r="C2466" s="53"/>
      <c r="D2466" s="53"/>
      <c r="E2466" s="53"/>
    </row>
    <row r="2467" spans="3:5" ht="12">
      <c r="C2467" s="53"/>
      <c r="D2467" s="53"/>
      <c r="E2467" s="53"/>
    </row>
    <row r="2468" spans="3:5" ht="12">
      <c r="C2468" s="53"/>
      <c r="D2468" s="53"/>
      <c r="E2468" s="53"/>
    </row>
    <row r="2469" spans="3:5" ht="12">
      <c r="C2469" s="53"/>
      <c r="D2469" s="53"/>
      <c r="E2469" s="53"/>
    </row>
    <row r="2470" spans="3:5" ht="12">
      <c r="C2470" s="53"/>
      <c r="D2470" s="53"/>
      <c r="E2470" s="53"/>
    </row>
    <row r="2471" spans="3:5" ht="12">
      <c r="C2471" s="53"/>
      <c r="D2471" s="53"/>
      <c r="E2471" s="53"/>
    </row>
    <row r="2472" spans="3:5" ht="12">
      <c r="C2472" s="53"/>
      <c r="D2472" s="53"/>
      <c r="E2472" s="53"/>
    </row>
    <row r="2473" spans="3:5" ht="12">
      <c r="C2473" s="53"/>
      <c r="D2473" s="53"/>
      <c r="E2473" s="53"/>
    </row>
    <row r="2474" spans="3:5" ht="12">
      <c r="C2474" s="53"/>
      <c r="D2474" s="53"/>
      <c r="E2474" s="53"/>
    </row>
    <row r="2475" spans="3:5" ht="12">
      <c r="C2475" s="53"/>
      <c r="D2475" s="53"/>
      <c r="E2475" s="53"/>
    </row>
    <row r="2476" spans="3:5" ht="12">
      <c r="C2476" s="53"/>
      <c r="D2476" s="53"/>
      <c r="E2476" s="53"/>
    </row>
    <row r="2477" spans="3:5" ht="12">
      <c r="C2477" s="53"/>
      <c r="D2477" s="53"/>
      <c r="E2477" s="53"/>
    </row>
    <row r="2478" spans="3:5" ht="12">
      <c r="C2478" s="53"/>
      <c r="D2478" s="53"/>
      <c r="E2478" s="53"/>
    </row>
    <row r="2479" spans="3:5" ht="12">
      <c r="C2479" s="53"/>
      <c r="D2479" s="53"/>
      <c r="E2479" s="53"/>
    </row>
    <row r="2480" spans="3:5" ht="12">
      <c r="C2480" s="53"/>
      <c r="D2480" s="53"/>
      <c r="E2480" s="53"/>
    </row>
    <row r="2481" spans="3:5" ht="12">
      <c r="C2481" s="53"/>
      <c r="D2481" s="53"/>
      <c r="E2481" s="53"/>
    </row>
    <row r="2482" spans="3:5" ht="12">
      <c r="C2482" s="53"/>
      <c r="D2482" s="53"/>
      <c r="E2482" s="53"/>
    </row>
    <row r="2483" spans="3:5" ht="12">
      <c r="C2483" s="53"/>
      <c r="D2483" s="53"/>
      <c r="E2483" s="53"/>
    </row>
    <row r="2484" spans="3:5" ht="12">
      <c r="C2484" s="53"/>
      <c r="D2484" s="53"/>
      <c r="E2484" s="53"/>
    </row>
    <row r="2485" spans="3:5" ht="12">
      <c r="C2485" s="53"/>
      <c r="D2485" s="53"/>
      <c r="E2485" s="53"/>
    </row>
    <row r="2486" spans="3:5" ht="12">
      <c r="C2486" s="53"/>
      <c r="D2486" s="53"/>
      <c r="E2486" s="53"/>
    </row>
    <row r="2487" spans="3:5" ht="12">
      <c r="C2487" s="53"/>
      <c r="D2487" s="53"/>
      <c r="E2487" s="53"/>
    </row>
    <row r="2488" spans="3:5" ht="12">
      <c r="C2488" s="53"/>
      <c r="D2488" s="53"/>
      <c r="E2488" s="53"/>
    </row>
    <row r="2489" spans="3:5" ht="12">
      <c r="C2489" s="53"/>
      <c r="D2489" s="53"/>
      <c r="E2489" s="53"/>
    </row>
    <row r="2490" spans="3:5" ht="12">
      <c r="C2490" s="53"/>
      <c r="D2490" s="53"/>
      <c r="E2490" s="53"/>
    </row>
    <row r="2491" spans="3:5" ht="12">
      <c r="C2491" s="53"/>
      <c r="D2491" s="53"/>
      <c r="E2491" s="53"/>
    </row>
    <row r="2492" spans="3:5" ht="12">
      <c r="C2492" s="53"/>
      <c r="D2492" s="53"/>
      <c r="E2492" s="53"/>
    </row>
    <row r="2493" spans="3:5" ht="12">
      <c r="C2493" s="53"/>
      <c r="D2493" s="53"/>
      <c r="E2493" s="53"/>
    </row>
    <row r="2494" spans="3:5" ht="12">
      <c r="C2494" s="53"/>
      <c r="D2494" s="53"/>
      <c r="E2494" s="53"/>
    </row>
    <row r="2495" spans="3:5" ht="12">
      <c r="C2495" s="53"/>
      <c r="D2495" s="53"/>
      <c r="E2495" s="53"/>
    </row>
    <row r="2496" spans="3:5" ht="12">
      <c r="C2496" s="53"/>
      <c r="D2496" s="53"/>
      <c r="E2496" s="53"/>
    </row>
    <row r="2497" spans="3:5" ht="12">
      <c r="C2497" s="53"/>
      <c r="D2497" s="53"/>
      <c r="E2497" s="53"/>
    </row>
    <row r="2498" spans="3:5" ht="12">
      <c r="C2498" s="53"/>
      <c r="D2498" s="53"/>
      <c r="E2498" s="53"/>
    </row>
    <row r="2499" spans="3:5" ht="12">
      <c r="C2499" s="53"/>
      <c r="D2499" s="53"/>
      <c r="E2499" s="53"/>
    </row>
    <row r="2500" spans="3:5" ht="12">
      <c r="C2500" s="53"/>
      <c r="D2500" s="53"/>
      <c r="E2500" s="53"/>
    </row>
    <row r="2501" spans="3:5" ht="12">
      <c r="C2501" s="53"/>
      <c r="D2501" s="53"/>
      <c r="E2501" s="53"/>
    </row>
    <row r="2502" spans="3:5" ht="12">
      <c r="C2502" s="53"/>
      <c r="D2502" s="53"/>
      <c r="E2502" s="53"/>
    </row>
    <row r="2503" spans="3:5" ht="12">
      <c r="C2503" s="53"/>
      <c r="D2503" s="53"/>
      <c r="E2503" s="53"/>
    </row>
    <row r="2504" spans="3:5" ht="12">
      <c r="C2504" s="53"/>
      <c r="D2504" s="53"/>
      <c r="E2504" s="53"/>
    </row>
    <row r="2505" spans="3:5" ht="12">
      <c r="C2505" s="53"/>
      <c r="D2505" s="53"/>
      <c r="E2505" s="53"/>
    </row>
    <row r="2506" spans="3:5" ht="12">
      <c r="C2506" s="53"/>
      <c r="D2506" s="53"/>
      <c r="E2506" s="53"/>
    </row>
    <row r="2507" spans="3:5" ht="12">
      <c r="C2507" s="53"/>
      <c r="D2507" s="53"/>
      <c r="E2507" s="53"/>
    </row>
    <row r="2508" spans="3:5" ht="12">
      <c r="C2508" s="53"/>
      <c r="D2508" s="53"/>
      <c r="E2508" s="53"/>
    </row>
    <row r="2509" spans="3:5" ht="12">
      <c r="C2509" s="53"/>
      <c r="D2509" s="53"/>
      <c r="E2509" s="53"/>
    </row>
    <row r="2510" spans="3:5" ht="12">
      <c r="C2510" s="53"/>
      <c r="D2510" s="53"/>
      <c r="E2510" s="53"/>
    </row>
    <row r="2511" spans="3:5" ht="12">
      <c r="C2511" s="53"/>
      <c r="D2511" s="53"/>
      <c r="E2511" s="53"/>
    </row>
    <row r="2512" spans="3:5" ht="12">
      <c r="C2512" s="53"/>
      <c r="D2512" s="53"/>
      <c r="E2512" s="53"/>
    </row>
    <row r="2513" spans="3:5" ht="12">
      <c r="C2513" s="53"/>
      <c r="D2513" s="53"/>
      <c r="E2513" s="53"/>
    </row>
    <row r="2514" spans="3:5" ht="12">
      <c r="C2514" s="53"/>
      <c r="D2514" s="53"/>
      <c r="E2514" s="53"/>
    </row>
    <row r="2515" spans="3:5" ht="12">
      <c r="C2515" s="53"/>
      <c r="D2515" s="53"/>
      <c r="E2515" s="53"/>
    </row>
    <row r="2516" spans="3:5" ht="12">
      <c r="C2516" s="53"/>
      <c r="D2516" s="53"/>
      <c r="E2516" s="53"/>
    </row>
    <row r="2517" spans="3:5" ht="12">
      <c r="C2517" s="53"/>
      <c r="D2517" s="53"/>
      <c r="E2517" s="53"/>
    </row>
    <row r="2518" spans="3:5" ht="12">
      <c r="C2518" s="53"/>
      <c r="D2518" s="53"/>
      <c r="E2518" s="53"/>
    </row>
    <row r="2519" spans="3:5" ht="12">
      <c r="C2519" s="53"/>
      <c r="D2519" s="53"/>
      <c r="E2519" s="53"/>
    </row>
    <row r="2520" spans="3:5" ht="12">
      <c r="C2520" s="53"/>
      <c r="D2520" s="53"/>
      <c r="E2520" s="53"/>
    </row>
    <row r="2521" spans="3:5" ht="12">
      <c r="C2521" s="53"/>
      <c r="D2521" s="53"/>
      <c r="E2521" s="53"/>
    </row>
    <row r="2522" spans="3:5" ht="12">
      <c r="C2522" s="53"/>
      <c r="D2522" s="53"/>
      <c r="E2522" s="53"/>
    </row>
    <row r="2523" spans="3:5" ht="12">
      <c r="C2523" s="53"/>
      <c r="D2523" s="53"/>
      <c r="E2523" s="53"/>
    </row>
    <row r="2524" spans="3:5" ht="12">
      <c r="C2524" s="53"/>
      <c r="D2524" s="53"/>
      <c r="E2524" s="53"/>
    </row>
    <row r="2525" spans="3:5" ht="12">
      <c r="C2525" s="53"/>
      <c r="D2525" s="53"/>
      <c r="E2525" s="53"/>
    </row>
    <row r="2526" spans="3:5" ht="12">
      <c r="C2526" s="53"/>
      <c r="D2526" s="53"/>
      <c r="E2526" s="53"/>
    </row>
    <row r="2527" spans="3:5" ht="12">
      <c r="C2527" s="53"/>
      <c r="D2527" s="53"/>
      <c r="E2527" s="53"/>
    </row>
    <row r="2528" spans="3:5" ht="12">
      <c r="C2528" s="53"/>
      <c r="D2528" s="53"/>
      <c r="E2528" s="53"/>
    </row>
    <row r="2529" spans="3:5" ht="12">
      <c r="C2529" s="53"/>
      <c r="D2529" s="53"/>
      <c r="E2529" s="53"/>
    </row>
    <row r="2530" spans="3:5" ht="12">
      <c r="C2530" s="53"/>
      <c r="D2530" s="53"/>
      <c r="E2530" s="53"/>
    </row>
    <row r="2531" spans="3:5" ht="12">
      <c r="C2531" s="53"/>
      <c r="D2531" s="53"/>
      <c r="E2531" s="53"/>
    </row>
    <row r="2532" spans="3:5" ht="12">
      <c r="C2532" s="53"/>
      <c r="D2532" s="53"/>
      <c r="E2532" s="53"/>
    </row>
    <row r="2533" spans="3:5" ht="12">
      <c r="C2533" s="53"/>
      <c r="D2533" s="53"/>
      <c r="E2533" s="53"/>
    </row>
    <row r="2534" spans="3:5" ht="12">
      <c r="C2534" s="53"/>
      <c r="D2534" s="53"/>
      <c r="E2534" s="53"/>
    </row>
    <row r="2535" spans="3:5" ht="12">
      <c r="C2535" s="53"/>
      <c r="D2535" s="53"/>
      <c r="E2535" s="53"/>
    </row>
    <row r="2536" spans="3:5" ht="12">
      <c r="C2536" s="53"/>
      <c r="D2536" s="53"/>
      <c r="E2536" s="53"/>
    </row>
    <row r="2537" spans="3:5" ht="12">
      <c r="C2537" s="53"/>
      <c r="D2537" s="53"/>
      <c r="E2537" s="53"/>
    </row>
    <row r="2538" spans="3:5" ht="12">
      <c r="C2538" s="53"/>
      <c r="D2538" s="53"/>
      <c r="E2538" s="53"/>
    </row>
    <row r="2539" spans="3:5" ht="12">
      <c r="C2539" s="53"/>
      <c r="D2539" s="53"/>
      <c r="E2539" s="53"/>
    </row>
    <row r="2540" spans="3:5" ht="12">
      <c r="C2540" s="53"/>
      <c r="D2540" s="53"/>
      <c r="E2540" s="53"/>
    </row>
    <row r="2541" spans="3:5" ht="12">
      <c r="C2541" s="53"/>
      <c r="D2541" s="53"/>
      <c r="E2541" s="53"/>
    </row>
    <row r="2542" spans="3:5" ht="12">
      <c r="C2542" s="53"/>
      <c r="D2542" s="53"/>
      <c r="E2542" s="53"/>
    </row>
    <row r="2543" spans="3:5" ht="12">
      <c r="C2543" s="53"/>
      <c r="D2543" s="53"/>
      <c r="E2543" s="53"/>
    </row>
    <row r="2544" spans="3:5" ht="12">
      <c r="C2544" s="53"/>
      <c r="D2544" s="53"/>
      <c r="E2544" s="53"/>
    </row>
    <row r="2545" spans="3:5" ht="12">
      <c r="C2545" s="53"/>
      <c r="D2545" s="53"/>
      <c r="E2545" s="53"/>
    </row>
    <row r="2546" spans="3:5" ht="12">
      <c r="C2546" s="53"/>
      <c r="D2546" s="53"/>
      <c r="E2546" s="53"/>
    </row>
    <row r="2547" spans="3:5" ht="12">
      <c r="C2547" s="53"/>
      <c r="D2547" s="53"/>
      <c r="E2547" s="53"/>
    </row>
    <row r="2548" spans="3:5" ht="12">
      <c r="C2548" s="53"/>
      <c r="D2548" s="53"/>
      <c r="E2548" s="53"/>
    </row>
    <row r="2549" spans="3:5" ht="12">
      <c r="C2549" s="53"/>
      <c r="D2549" s="53"/>
      <c r="E2549" s="53"/>
    </row>
    <row r="2550" spans="3:5" ht="12">
      <c r="C2550" s="53"/>
      <c r="D2550" s="53"/>
      <c r="E2550" s="53"/>
    </row>
    <row r="2551" spans="3:5" ht="12">
      <c r="C2551" s="53"/>
      <c r="D2551" s="53"/>
      <c r="E2551" s="53"/>
    </row>
    <row r="2552" spans="3:5" ht="12">
      <c r="C2552" s="53"/>
      <c r="D2552" s="53"/>
      <c r="E2552" s="53"/>
    </row>
    <row r="2553" spans="3:5" ht="12">
      <c r="C2553" s="53"/>
      <c r="D2553" s="53"/>
      <c r="E2553" s="53"/>
    </row>
    <row r="2554" spans="3:5" ht="12">
      <c r="C2554" s="53"/>
      <c r="D2554" s="53"/>
      <c r="E2554" s="53"/>
    </row>
    <row r="2555" spans="3:5" ht="12">
      <c r="C2555" s="53"/>
      <c r="D2555" s="53"/>
      <c r="E2555" s="53"/>
    </row>
    <row r="2556" spans="3:5" ht="12">
      <c r="C2556" s="53"/>
      <c r="D2556" s="53"/>
      <c r="E2556" s="53"/>
    </row>
    <row r="2557" spans="3:5" ht="12">
      <c r="C2557" s="53"/>
      <c r="D2557" s="53"/>
      <c r="E2557" s="53"/>
    </row>
    <row r="2558" spans="3:5" ht="12">
      <c r="C2558" s="53"/>
      <c r="D2558" s="53"/>
      <c r="E2558" s="53"/>
    </row>
    <row r="2559" spans="3:5" ht="12">
      <c r="C2559" s="53"/>
      <c r="D2559" s="53"/>
      <c r="E2559" s="53"/>
    </row>
    <row r="2560" spans="3:5" ht="12">
      <c r="C2560" s="53"/>
      <c r="D2560" s="53"/>
      <c r="E2560" s="53"/>
    </row>
    <row r="2561" spans="3:5" ht="12">
      <c r="C2561" s="53"/>
      <c r="D2561" s="53"/>
      <c r="E2561" s="53"/>
    </row>
    <row r="2562" spans="3:5" ht="12">
      <c r="C2562" s="53"/>
      <c r="D2562" s="53"/>
      <c r="E2562" s="53"/>
    </row>
    <row r="2563" spans="3:5" ht="12">
      <c r="C2563" s="53"/>
      <c r="D2563" s="53"/>
      <c r="E2563" s="53"/>
    </row>
    <row r="2564" spans="3:5" ht="12">
      <c r="C2564" s="53"/>
      <c r="D2564" s="53"/>
      <c r="E2564" s="53"/>
    </row>
    <row r="2565" spans="3:5" ht="12">
      <c r="C2565" s="53"/>
      <c r="D2565" s="53"/>
      <c r="E2565" s="53"/>
    </row>
    <row r="2566" spans="3:5" ht="12">
      <c r="C2566" s="53"/>
      <c r="D2566" s="53"/>
      <c r="E2566" s="53"/>
    </row>
    <row r="2567" spans="3:5" ht="12">
      <c r="C2567" s="53"/>
      <c r="D2567" s="53"/>
      <c r="E2567" s="53"/>
    </row>
    <row r="2568" spans="3:5" ht="12">
      <c r="C2568" s="53"/>
      <c r="D2568" s="53"/>
      <c r="E2568" s="53"/>
    </row>
    <row r="2569" spans="3:5" ht="12">
      <c r="C2569" s="53"/>
      <c r="D2569" s="53"/>
      <c r="E2569" s="53"/>
    </row>
    <row r="2570" spans="3:5" ht="12">
      <c r="C2570" s="53"/>
      <c r="D2570" s="53"/>
      <c r="E2570" s="53"/>
    </row>
    <row r="2571" spans="3:5" ht="12">
      <c r="C2571" s="53"/>
      <c r="D2571" s="53"/>
      <c r="E2571" s="53"/>
    </row>
    <row r="2572" spans="3:5" ht="12">
      <c r="C2572" s="53"/>
      <c r="D2572" s="53"/>
      <c r="E2572" s="53"/>
    </row>
    <row r="2573" spans="3:5" ht="12">
      <c r="C2573" s="53"/>
      <c r="D2573" s="53"/>
      <c r="E2573" s="53"/>
    </row>
    <row r="2574" spans="3:5" ht="12">
      <c r="C2574" s="53"/>
      <c r="D2574" s="53"/>
      <c r="E2574" s="53"/>
    </row>
    <row r="2575" spans="3:5" ht="12">
      <c r="C2575" s="53"/>
      <c r="D2575" s="53"/>
      <c r="E2575" s="53"/>
    </row>
    <row r="2576" spans="3:5" ht="12">
      <c r="C2576" s="53"/>
      <c r="D2576" s="53"/>
      <c r="E2576" s="53"/>
    </row>
    <row r="2577" spans="3:5" ht="12">
      <c r="C2577" s="53"/>
      <c r="D2577" s="53"/>
      <c r="E2577" s="53"/>
    </row>
    <row r="2578" spans="3:5" ht="12">
      <c r="C2578" s="53"/>
      <c r="D2578" s="53"/>
      <c r="E2578" s="53"/>
    </row>
    <row r="2579" spans="3:5" ht="12">
      <c r="C2579" s="53"/>
      <c r="D2579" s="53"/>
      <c r="E2579" s="53"/>
    </row>
    <row r="2580" spans="3:5" ht="12">
      <c r="C2580" s="53"/>
      <c r="D2580" s="53"/>
      <c r="E2580" s="53"/>
    </row>
    <row r="2581" spans="3:5" ht="12">
      <c r="C2581" s="53"/>
      <c r="D2581" s="53"/>
      <c r="E2581" s="53"/>
    </row>
    <row r="2582" spans="3:5" ht="12">
      <c r="C2582" s="53"/>
      <c r="D2582" s="53"/>
      <c r="E2582" s="53"/>
    </row>
    <row r="2583" spans="3:5" ht="12">
      <c r="C2583" s="53"/>
      <c r="D2583" s="53"/>
      <c r="E2583" s="53"/>
    </row>
    <row r="2584" spans="3:5" ht="12">
      <c r="C2584" s="53"/>
      <c r="D2584" s="53"/>
      <c r="E2584" s="53"/>
    </row>
    <row r="2585" spans="3:5" ht="12">
      <c r="C2585" s="53"/>
      <c r="D2585" s="53"/>
      <c r="E2585" s="53"/>
    </row>
    <row r="2586" spans="3:5" ht="12">
      <c r="C2586" s="53"/>
      <c r="D2586" s="53"/>
      <c r="E2586" s="53"/>
    </row>
    <row r="2587" spans="3:5" ht="12">
      <c r="C2587" s="53"/>
      <c r="D2587" s="53"/>
      <c r="E2587" s="53"/>
    </row>
    <row r="2588" spans="3:5" ht="12">
      <c r="C2588" s="53"/>
      <c r="D2588" s="53"/>
      <c r="E2588" s="53"/>
    </row>
    <row r="2589" spans="3:5" ht="12">
      <c r="C2589" s="53"/>
      <c r="D2589" s="53"/>
      <c r="E2589" s="53"/>
    </row>
    <row r="2590" spans="3:5" ht="12">
      <c r="C2590" s="53"/>
      <c r="D2590" s="53"/>
      <c r="E2590" s="53"/>
    </row>
    <row r="2591" spans="3:5" ht="12">
      <c r="C2591" s="53"/>
      <c r="D2591" s="53"/>
      <c r="E2591" s="53"/>
    </row>
    <row r="2592" spans="3:5" ht="12">
      <c r="C2592" s="53"/>
      <c r="D2592" s="53"/>
      <c r="E2592" s="53"/>
    </row>
    <row r="2593" spans="3:5" ht="12">
      <c r="C2593" s="53"/>
      <c r="D2593" s="53"/>
      <c r="E2593" s="53"/>
    </row>
    <row r="2594" spans="3:5" ht="12">
      <c r="C2594" s="53"/>
      <c r="D2594" s="53"/>
      <c r="E2594" s="53"/>
    </row>
    <row r="2595" spans="3:5" ht="12">
      <c r="C2595" s="53"/>
      <c r="D2595" s="53"/>
      <c r="E2595" s="53"/>
    </row>
    <row r="2596" spans="3:5" ht="12">
      <c r="C2596" s="53"/>
      <c r="D2596" s="53"/>
      <c r="E2596" s="53"/>
    </row>
    <row r="2597" spans="3:5" ht="12">
      <c r="C2597" s="53"/>
      <c r="D2597" s="53"/>
      <c r="E2597" s="53"/>
    </row>
    <row r="2598" spans="3:5" ht="12">
      <c r="C2598" s="53"/>
      <c r="D2598" s="53"/>
      <c r="E2598" s="53"/>
    </row>
    <row r="2599" spans="3:5" ht="12">
      <c r="C2599" s="53"/>
      <c r="D2599" s="53"/>
      <c r="E2599" s="53"/>
    </row>
    <row r="2600" spans="3:5" ht="12">
      <c r="C2600" s="53"/>
      <c r="D2600" s="53"/>
      <c r="E2600" s="53"/>
    </row>
    <row r="2601" spans="3:5" ht="12">
      <c r="C2601" s="53"/>
      <c r="D2601" s="53"/>
      <c r="E2601" s="53"/>
    </row>
    <row r="2602" spans="3:5" ht="12">
      <c r="C2602" s="53"/>
      <c r="D2602" s="53"/>
      <c r="E2602" s="53"/>
    </row>
    <row r="2603" spans="3:5" ht="12">
      <c r="C2603" s="53"/>
      <c r="D2603" s="53"/>
      <c r="E2603" s="53"/>
    </row>
    <row r="2604" spans="3:5" ht="12">
      <c r="C2604" s="53"/>
      <c r="D2604" s="53"/>
      <c r="E2604" s="53"/>
    </row>
    <row r="2605" spans="3:5" ht="12">
      <c r="C2605" s="53"/>
      <c r="D2605" s="53"/>
      <c r="E2605" s="53"/>
    </row>
    <row r="2606" spans="3:5" ht="12">
      <c r="C2606" s="53"/>
      <c r="D2606" s="53"/>
      <c r="E2606" s="53"/>
    </row>
    <row r="2607" spans="3:5" ht="12">
      <c r="C2607" s="53"/>
      <c r="D2607" s="53"/>
      <c r="E2607" s="53"/>
    </row>
    <row r="2608" spans="3:5" ht="12">
      <c r="C2608" s="53"/>
      <c r="D2608" s="53"/>
      <c r="E2608" s="53"/>
    </row>
    <row r="2609" spans="3:5" ht="12">
      <c r="C2609" s="53"/>
      <c r="D2609" s="53"/>
      <c r="E2609" s="53"/>
    </row>
    <row r="2610" spans="3:5" ht="12">
      <c r="C2610" s="53"/>
      <c r="D2610" s="53"/>
      <c r="E2610" s="53"/>
    </row>
    <row r="2611" spans="3:5" ht="12">
      <c r="C2611" s="53"/>
      <c r="D2611" s="53"/>
      <c r="E2611" s="53"/>
    </row>
    <row r="2612" spans="3:5" ht="12">
      <c r="C2612" s="53"/>
      <c r="D2612" s="53"/>
      <c r="E2612" s="53"/>
    </row>
    <row r="2613" spans="3:5" ht="12">
      <c r="C2613" s="53"/>
      <c r="D2613" s="53"/>
      <c r="E2613" s="53"/>
    </row>
    <row r="2614" spans="3:5" ht="12">
      <c r="C2614" s="53"/>
      <c r="D2614" s="53"/>
      <c r="E2614" s="53"/>
    </row>
    <row r="2615" spans="3:5" ht="12">
      <c r="C2615" s="53"/>
      <c r="D2615" s="53"/>
      <c r="E2615" s="53"/>
    </row>
    <row r="2616" spans="3:5" ht="12">
      <c r="C2616" s="53"/>
      <c r="D2616" s="53"/>
      <c r="E2616" s="53"/>
    </row>
    <row r="2617" spans="3:5" ht="12">
      <c r="C2617" s="53"/>
      <c r="D2617" s="53"/>
      <c r="E2617" s="53"/>
    </row>
    <row r="2618" spans="3:5" ht="12">
      <c r="C2618" s="53"/>
      <c r="D2618" s="53"/>
      <c r="E2618" s="53"/>
    </row>
    <row r="2619" spans="3:5" ht="12">
      <c r="C2619" s="53"/>
      <c r="D2619" s="53"/>
      <c r="E2619" s="53"/>
    </row>
    <row r="2620" spans="3:5" ht="12">
      <c r="C2620" s="53"/>
      <c r="D2620" s="53"/>
      <c r="E2620" s="53"/>
    </row>
    <row r="2621" spans="3:5" ht="12">
      <c r="C2621" s="53"/>
      <c r="D2621" s="53"/>
      <c r="E2621" s="53"/>
    </row>
    <row r="2622" spans="3:5" ht="12">
      <c r="C2622" s="53"/>
      <c r="D2622" s="53"/>
      <c r="E2622" s="53"/>
    </row>
    <row r="2623" spans="3:5" ht="12">
      <c r="C2623" s="53"/>
      <c r="D2623" s="53"/>
      <c r="E2623" s="53"/>
    </row>
    <row r="2624" spans="3:5" ht="12">
      <c r="C2624" s="53"/>
      <c r="D2624" s="53"/>
      <c r="E2624" s="53"/>
    </row>
    <row r="2625" spans="3:5" ht="12">
      <c r="C2625" s="53"/>
      <c r="D2625" s="53"/>
      <c r="E2625" s="53"/>
    </row>
    <row r="2626" spans="3:5" ht="12">
      <c r="C2626" s="53"/>
      <c r="D2626" s="53"/>
      <c r="E2626" s="53"/>
    </row>
    <row r="2627" spans="3:5" ht="12">
      <c r="C2627" s="53"/>
      <c r="D2627" s="53"/>
      <c r="E2627" s="53"/>
    </row>
    <row r="2628" spans="3:5" ht="12">
      <c r="C2628" s="53"/>
      <c r="D2628" s="53"/>
      <c r="E2628" s="53"/>
    </row>
    <row r="2629" spans="3:5" ht="12">
      <c r="C2629" s="53"/>
      <c r="D2629" s="53"/>
      <c r="E2629" s="53"/>
    </row>
    <row r="2630" spans="3:5" ht="12">
      <c r="C2630" s="53"/>
      <c r="D2630" s="53"/>
      <c r="E2630" s="53"/>
    </row>
    <row r="2631" spans="3:5" ht="12">
      <c r="C2631" s="53"/>
      <c r="D2631" s="53"/>
      <c r="E2631" s="53"/>
    </row>
    <row r="2632" spans="3:5" ht="12">
      <c r="C2632" s="53"/>
      <c r="D2632" s="53"/>
      <c r="E2632" s="53"/>
    </row>
    <row r="2633" spans="3:5" ht="12">
      <c r="C2633" s="53"/>
      <c r="D2633" s="53"/>
      <c r="E2633" s="53"/>
    </row>
    <row r="2634" spans="3:5" ht="12">
      <c r="C2634" s="53"/>
      <c r="D2634" s="53"/>
      <c r="E2634" s="53"/>
    </row>
    <row r="2635" spans="3:5" ht="12">
      <c r="C2635" s="53"/>
      <c r="D2635" s="53"/>
      <c r="E2635" s="53"/>
    </row>
    <row r="2636" spans="3:5" ht="12">
      <c r="C2636" s="53"/>
      <c r="D2636" s="53"/>
      <c r="E2636" s="53"/>
    </row>
    <row r="2637" spans="3:5" ht="12">
      <c r="C2637" s="53"/>
      <c r="D2637" s="53"/>
      <c r="E2637" s="53"/>
    </row>
    <row r="2638" spans="3:5" ht="12">
      <c r="C2638" s="53"/>
      <c r="D2638" s="53"/>
      <c r="E2638" s="53"/>
    </row>
    <row r="2639" spans="3:5" ht="12">
      <c r="C2639" s="53"/>
      <c r="D2639" s="53"/>
      <c r="E2639" s="53"/>
    </row>
    <row r="2640" spans="3:5" ht="12">
      <c r="C2640" s="53"/>
      <c r="D2640" s="53"/>
      <c r="E2640" s="53"/>
    </row>
    <row r="2641" spans="3:5" ht="12">
      <c r="C2641" s="53"/>
      <c r="D2641" s="53"/>
      <c r="E2641" s="53"/>
    </row>
    <row r="2642" spans="3:5" ht="12">
      <c r="C2642" s="53"/>
      <c r="D2642" s="53"/>
      <c r="E2642" s="53"/>
    </row>
    <row r="2643" spans="3:5" ht="12">
      <c r="C2643" s="53"/>
      <c r="D2643" s="53"/>
      <c r="E2643" s="53"/>
    </row>
    <row r="2644" spans="3:5" ht="12">
      <c r="C2644" s="53"/>
      <c r="D2644" s="53"/>
      <c r="E2644" s="53"/>
    </row>
    <row r="2645" spans="3:5" ht="12">
      <c r="C2645" s="53"/>
      <c r="D2645" s="53"/>
      <c r="E2645" s="53"/>
    </row>
    <row r="2646" spans="3:5" ht="12">
      <c r="C2646" s="53"/>
      <c r="D2646" s="53"/>
      <c r="E2646" s="53"/>
    </row>
    <row r="2647" spans="3:5" ht="12">
      <c r="C2647" s="53"/>
      <c r="D2647" s="53"/>
      <c r="E2647" s="53"/>
    </row>
    <row r="2648" spans="3:5" ht="12">
      <c r="C2648" s="53"/>
      <c r="D2648" s="53"/>
      <c r="E2648" s="53"/>
    </row>
    <row r="2649" spans="3:5" ht="12">
      <c r="C2649" s="53"/>
      <c r="D2649" s="53"/>
      <c r="E2649" s="53"/>
    </row>
    <row r="2650" spans="3:5" ht="12">
      <c r="C2650" s="53"/>
      <c r="D2650" s="53"/>
      <c r="E2650" s="53"/>
    </row>
    <row r="2651" spans="3:5" ht="12">
      <c r="C2651" s="53"/>
      <c r="D2651" s="53"/>
      <c r="E2651" s="53"/>
    </row>
    <row r="2652" spans="3:5" ht="12">
      <c r="C2652" s="53"/>
      <c r="D2652" s="53"/>
      <c r="E2652" s="53"/>
    </row>
    <row r="2653" spans="3:5" ht="12">
      <c r="C2653" s="53"/>
      <c r="D2653" s="53"/>
      <c r="E2653" s="53"/>
    </row>
    <row r="2654" spans="3:5" ht="12">
      <c r="C2654" s="53"/>
      <c r="D2654" s="53"/>
      <c r="E2654" s="53"/>
    </row>
    <row r="2655" spans="3:5" ht="12">
      <c r="C2655" s="53"/>
      <c r="D2655" s="53"/>
      <c r="E2655" s="53"/>
    </row>
    <row r="2656" spans="3:5" ht="12">
      <c r="C2656" s="53"/>
      <c r="D2656" s="53"/>
      <c r="E2656" s="53"/>
    </row>
    <row r="2657" spans="3:5" ht="12">
      <c r="C2657" s="53"/>
      <c r="D2657" s="53"/>
      <c r="E2657" s="53"/>
    </row>
    <row r="2658" spans="3:5" ht="12">
      <c r="C2658" s="53"/>
      <c r="D2658" s="53"/>
      <c r="E2658" s="53"/>
    </row>
    <row r="2659" spans="3:5" ht="12">
      <c r="C2659" s="53"/>
      <c r="D2659" s="53"/>
      <c r="E2659" s="53"/>
    </row>
    <row r="2660" spans="3:5" ht="12">
      <c r="C2660" s="53"/>
      <c r="D2660" s="53"/>
      <c r="E2660" s="53"/>
    </row>
    <row r="2661" spans="3:5" ht="12">
      <c r="C2661" s="53"/>
      <c r="D2661" s="53"/>
      <c r="E2661" s="53"/>
    </row>
    <row r="2662" spans="3:5" ht="12">
      <c r="C2662" s="53"/>
      <c r="D2662" s="53"/>
      <c r="E2662" s="53"/>
    </row>
    <row r="2663" spans="3:5" ht="12">
      <c r="C2663" s="53"/>
      <c r="D2663" s="53"/>
      <c r="E2663" s="53"/>
    </row>
    <row r="2664" spans="3:5" ht="12">
      <c r="C2664" s="53"/>
      <c r="D2664" s="53"/>
      <c r="E2664" s="53"/>
    </row>
    <row r="2665" spans="3:5" ht="12">
      <c r="C2665" s="53"/>
      <c r="D2665" s="53"/>
      <c r="E2665" s="53"/>
    </row>
    <row r="2666" spans="3:5" ht="12">
      <c r="C2666" s="53"/>
      <c r="D2666" s="53"/>
      <c r="E2666" s="53"/>
    </row>
    <row r="2667" spans="3:5" ht="12">
      <c r="C2667" s="53"/>
      <c r="D2667" s="53"/>
      <c r="E2667" s="53"/>
    </row>
    <row r="2668" spans="3:5" ht="12">
      <c r="C2668" s="53"/>
      <c r="D2668" s="53"/>
      <c r="E2668" s="53"/>
    </row>
    <row r="2669" spans="3:5" ht="12">
      <c r="C2669" s="53"/>
      <c r="D2669" s="53"/>
      <c r="E2669" s="53"/>
    </row>
    <row r="2670" spans="3:5" ht="12">
      <c r="C2670" s="53"/>
      <c r="D2670" s="53"/>
      <c r="E2670" s="53"/>
    </row>
    <row r="2671" spans="3:5" ht="12">
      <c r="C2671" s="53"/>
      <c r="D2671" s="53"/>
      <c r="E2671" s="53"/>
    </row>
    <row r="2672" spans="3:5" ht="12">
      <c r="C2672" s="53"/>
      <c r="D2672" s="53"/>
      <c r="E2672" s="53"/>
    </row>
    <row r="2673" spans="3:5" ht="12">
      <c r="C2673" s="53"/>
      <c r="D2673" s="53"/>
      <c r="E2673" s="53"/>
    </row>
    <row r="2674" spans="3:5" ht="12">
      <c r="C2674" s="53"/>
      <c r="D2674" s="53"/>
      <c r="E2674" s="53"/>
    </row>
    <row r="2675" spans="3:5" ht="12">
      <c r="C2675" s="53"/>
      <c r="D2675" s="53"/>
      <c r="E2675" s="53"/>
    </row>
    <row r="2676" spans="3:5" ht="12">
      <c r="C2676" s="53"/>
      <c r="D2676" s="53"/>
      <c r="E2676" s="53"/>
    </row>
    <row r="2677" spans="3:5" ht="12">
      <c r="C2677" s="53"/>
      <c r="D2677" s="53"/>
      <c r="E2677" s="53"/>
    </row>
    <row r="2678" spans="3:5" ht="12">
      <c r="C2678" s="53"/>
      <c r="D2678" s="53"/>
      <c r="E2678" s="53"/>
    </row>
    <row r="2679" spans="3:5" ht="12">
      <c r="C2679" s="53"/>
      <c r="D2679" s="53"/>
      <c r="E2679" s="53"/>
    </row>
  </sheetData>
  <sheetProtection/>
  <printOptions headings="1"/>
  <pageMargins left="0.35433070866141736" right="0.2755905511811024" top="0.4724409448818898" bottom="0.6692913385826772" header="0.2362204724409449" footer="0.31496062992125984"/>
  <pageSetup fitToHeight="2" horizontalDpi="600" verticalDpi="600" orientation="landscape" paperSize="9" scale="75" r:id="rId3"/>
  <headerFooter alignWithMargins="0">
    <oddFooter>&amp;C&amp;A</oddFooter>
  </headerFooter>
  <ignoredErrors>
    <ignoredError sqref="A56:A108 A110:A127 A128:A129 A131:A136" numberStoredAsText="1"/>
    <ignoredError sqref="I21:I23 E21:E23 F21:F23 G21:G23 H21:H23 B24:B25 H24:H25 G24 F24 E24 I24:I25 C19:C23 D19:D21 D24:D25 B19:B20 E25:F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3"/>
  <sheetViews>
    <sheetView zoomScalePageLayoutView="0" workbookViewId="0" topLeftCell="A1">
      <pane ySplit="9" topLeftCell="A130" activePane="bottomLeft" state="frozen"/>
      <selection pane="topLeft" activeCell="A1" sqref="A1"/>
      <selection pane="bottomLeft" activeCell="B133" sqref="B133"/>
    </sheetView>
  </sheetViews>
  <sheetFormatPr defaultColWidth="9.140625" defaultRowHeight="12.75"/>
  <cols>
    <col min="1" max="2" width="12.421875" style="0" customWidth="1"/>
    <col min="3" max="3" width="10.57421875" style="1" customWidth="1"/>
    <col min="4" max="4" width="12.00390625" style="3" customWidth="1"/>
    <col min="5" max="5" width="10.57421875" style="3" customWidth="1"/>
    <col min="6" max="6" width="11.421875" style="3" customWidth="1"/>
    <col min="7" max="7" width="9.57421875" style="4" bestFit="1" customWidth="1"/>
    <col min="8" max="8" width="15.421875" style="3" customWidth="1"/>
    <col min="9" max="9" width="10.57421875" style="3" customWidth="1"/>
    <col min="10" max="10" width="10.8515625" style="3" customWidth="1"/>
    <col min="11" max="11" width="9.140625" style="3" customWidth="1"/>
    <col min="12" max="12" width="15.00390625" style="3" customWidth="1"/>
    <col min="13" max="13" width="8.28125" style="3" bestFit="1" customWidth="1"/>
    <col min="14" max="14" width="11.57421875" style="3" customWidth="1"/>
    <col min="15" max="15" width="7.00390625" style="3" bestFit="1" customWidth="1"/>
    <col min="16" max="16" width="10.140625" style="3" bestFit="1" customWidth="1"/>
    <col min="17" max="17" width="16.8515625" style="3" customWidth="1"/>
    <col min="18" max="18" width="19.57421875" style="3" customWidth="1"/>
    <col min="19" max="19" width="18.421875" style="3" customWidth="1"/>
    <col min="20" max="20" width="20.140625" style="3" bestFit="1" customWidth="1"/>
    <col min="21" max="21" width="20.00390625" style="3" customWidth="1"/>
    <col min="23" max="23" width="7.57421875" style="1" customWidth="1"/>
    <col min="24" max="24" width="11.140625" style="1" bestFit="1" customWidth="1"/>
    <col min="25" max="25" width="13.57421875" style="1" bestFit="1" customWidth="1"/>
    <col min="26" max="26" width="9.57421875" style="1" customWidth="1"/>
    <col min="27" max="27" width="12.140625" style="1" customWidth="1"/>
    <col min="28" max="32" width="9.140625" style="1" customWidth="1"/>
    <col min="33" max="33" width="13.8515625" style="1" bestFit="1" customWidth="1"/>
    <col min="34" max="34" width="15.8515625" style="1" bestFit="1" customWidth="1"/>
    <col min="35" max="35" width="15.8515625" style="1" customWidth="1"/>
    <col min="36" max="36" width="19.57421875" style="1" bestFit="1" customWidth="1"/>
    <col min="37" max="37" width="19.140625" style="1" bestFit="1" customWidth="1"/>
    <col min="38" max="38" width="12.57421875" style="1" customWidth="1"/>
  </cols>
  <sheetData>
    <row r="1" spans="1:10" s="13" customFormat="1" ht="22.5">
      <c r="A1" s="24"/>
      <c r="B1" s="1"/>
      <c r="C1" s="1"/>
      <c r="D1" s="1"/>
      <c r="E1" s="2"/>
      <c r="F1"/>
      <c r="G1" s="2"/>
      <c r="H1" s="2"/>
      <c r="I1"/>
      <c r="J1"/>
    </row>
    <row r="2" spans="1:10" s="13" customFormat="1" ht="15" customHeight="1">
      <c r="A2" s="25" t="s">
        <v>430</v>
      </c>
      <c r="B2" s="1"/>
      <c r="C2" s="1"/>
      <c r="D2"/>
      <c r="E2" s="2"/>
      <c r="F2"/>
      <c r="G2" s="2"/>
      <c r="H2" s="2"/>
      <c r="I2"/>
      <c r="J2"/>
    </row>
    <row r="3" spans="1:10" s="13" customFormat="1" ht="12">
      <c r="A3" s="30"/>
      <c r="B3" s="31"/>
      <c r="C3" s="1"/>
      <c r="D3" s="27"/>
      <c r="E3" s="28"/>
      <c r="F3" s="28"/>
      <c r="G3" s="28"/>
      <c r="H3" s="2"/>
      <c r="J3"/>
    </row>
    <row r="4" spans="3:65" ht="12">
      <c r="C4" s="27"/>
      <c r="D4" s="23"/>
      <c r="E4" s="23"/>
      <c r="F4" s="23"/>
      <c r="G4" s="5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T4" s="23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5:27" s="12" customFormat="1" ht="15.75" thickBot="1">
      <c r="E5" s="15"/>
      <c r="H5" s="29"/>
      <c r="Q5" s="29"/>
      <c r="S5" s="55" t="s">
        <v>35</v>
      </c>
      <c r="AA5" s="58"/>
    </row>
    <row r="6" spans="1:20" s="29" customFormat="1" ht="15" thickTop="1">
      <c r="A6" s="40"/>
      <c r="B6" s="40"/>
      <c r="C6" s="40" t="s">
        <v>207</v>
      </c>
      <c r="D6" s="63" t="s">
        <v>57</v>
      </c>
      <c r="E6" s="63"/>
      <c r="F6" s="40"/>
      <c r="G6" s="40"/>
      <c r="H6" s="40" t="s">
        <v>65</v>
      </c>
      <c r="I6" s="40"/>
      <c r="J6" s="40"/>
      <c r="K6" s="40"/>
      <c r="L6" s="40"/>
      <c r="M6" s="40"/>
      <c r="N6" s="40" t="s">
        <v>24</v>
      </c>
      <c r="O6" s="40"/>
      <c r="P6" s="40" t="s">
        <v>33</v>
      </c>
      <c r="Q6" s="40" t="s">
        <v>66</v>
      </c>
      <c r="R6" s="40" t="s">
        <v>70</v>
      </c>
      <c r="S6" s="40" t="s">
        <v>71</v>
      </c>
      <c r="T6" s="12"/>
    </row>
    <row r="7" spans="1:20" s="29" customFormat="1" ht="16.5" customHeight="1">
      <c r="A7" s="29" t="s">
        <v>26</v>
      </c>
      <c r="B7" s="29" t="s">
        <v>206</v>
      </c>
      <c r="C7" s="29" t="s">
        <v>58</v>
      </c>
      <c r="D7" s="29" t="s">
        <v>58</v>
      </c>
      <c r="E7" s="62" t="s">
        <v>31</v>
      </c>
      <c r="F7" s="29" t="s">
        <v>21</v>
      </c>
      <c r="G7" s="29" t="s">
        <v>28</v>
      </c>
      <c r="H7" s="29" t="s">
        <v>208</v>
      </c>
      <c r="I7" s="29" t="s">
        <v>22</v>
      </c>
      <c r="J7" s="29" t="s">
        <v>29</v>
      </c>
      <c r="K7" s="29" t="s">
        <v>30</v>
      </c>
      <c r="L7" s="29" t="s">
        <v>209</v>
      </c>
      <c r="M7" s="29" t="s">
        <v>23</v>
      </c>
      <c r="N7" s="29" t="s">
        <v>69</v>
      </c>
      <c r="O7" s="29" t="s">
        <v>56</v>
      </c>
      <c r="P7" s="29" t="s">
        <v>32</v>
      </c>
      <c r="Q7" s="29" t="s">
        <v>67</v>
      </c>
      <c r="R7" s="29" t="s">
        <v>211</v>
      </c>
      <c r="S7" s="29" t="s">
        <v>210</v>
      </c>
      <c r="T7" s="12"/>
    </row>
    <row r="8" spans="2:20" s="59" customFormat="1" ht="16.5" customHeight="1">
      <c r="B8" s="60" t="s">
        <v>36</v>
      </c>
      <c r="C8" s="60" t="s">
        <v>37</v>
      </c>
      <c r="D8" s="60" t="s">
        <v>38</v>
      </c>
      <c r="E8" s="61" t="s">
        <v>39</v>
      </c>
      <c r="F8" s="60" t="s">
        <v>40</v>
      </c>
      <c r="G8" s="60" t="s">
        <v>41</v>
      </c>
      <c r="H8" s="60" t="s">
        <v>42</v>
      </c>
      <c r="I8" s="60" t="s">
        <v>43</v>
      </c>
      <c r="J8" s="60" t="s">
        <v>44</v>
      </c>
      <c r="K8" s="60" t="s">
        <v>45</v>
      </c>
      <c r="L8" s="60" t="s">
        <v>46</v>
      </c>
      <c r="M8" s="60" t="s">
        <v>47</v>
      </c>
      <c r="N8" s="60" t="s">
        <v>48</v>
      </c>
      <c r="O8" s="60" t="s">
        <v>50</v>
      </c>
      <c r="P8" s="60" t="s">
        <v>49</v>
      </c>
      <c r="Q8" s="60" t="s">
        <v>51</v>
      </c>
      <c r="R8" s="60" t="s">
        <v>52</v>
      </c>
      <c r="S8" s="60" t="s">
        <v>59</v>
      </c>
      <c r="T8" s="12"/>
    </row>
    <row r="9" spans="1:20" s="56" customFormat="1" ht="16.5" customHeight="1">
      <c r="A9" s="22"/>
      <c r="B9" s="22"/>
      <c r="C9" s="22"/>
      <c r="D9" s="22"/>
      <c r="E9" s="6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 t="s">
        <v>348</v>
      </c>
      <c r="R9" s="22"/>
      <c r="S9" s="22" t="s">
        <v>338</v>
      </c>
      <c r="T9" s="12"/>
    </row>
    <row r="10" spans="5:20" s="56" customFormat="1" ht="5.25" customHeight="1">
      <c r="E10" s="57"/>
      <c r="T10" s="12"/>
    </row>
    <row r="11" spans="1:22" s="12" customFormat="1" ht="15">
      <c r="A11" s="29" t="s">
        <v>212</v>
      </c>
      <c r="B11" s="104">
        <f>1.016*70.4</f>
        <v>71.52640000000001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>
        <f>1.016*64.3</f>
        <v>65.3288</v>
      </c>
      <c r="R11" s="104">
        <f>1.016*6.1</f>
        <v>6.1975999999999996</v>
      </c>
      <c r="S11" s="104">
        <f>Q11+R11</f>
        <v>71.5264</v>
      </c>
      <c r="U11" s="9"/>
      <c r="V11" s="9"/>
    </row>
    <row r="12" spans="1:22" s="12" customFormat="1" ht="15">
      <c r="A12" s="29" t="s">
        <v>213</v>
      </c>
      <c r="B12" s="104">
        <f>1.016*104.5</f>
        <v>106.172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>
        <f>1.016*94.3</f>
        <v>95.8088</v>
      </c>
      <c r="R12" s="104">
        <f>1.016*10.2</f>
        <v>10.363199999999999</v>
      </c>
      <c r="S12" s="104">
        <f aca="true" t="shared" si="0" ref="S12:S20">Q12+R12</f>
        <v>106.172</v>
      </c>
      <c r="U12" s="9"/>
      <c r="V12" s="9"/>
    </row>
    <row r="13" spans="1:22" s="12" customFormat="1" ht="15">
      <c r="A13" s="29" t="s">
        <v>214</v>
      </c>
      <c r="B13" s="104">
        <f>1.016*138.1</f>
        <v>140.3096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>
        <f>1.016*118.3</f>
        <v>120.1928</v>
      </c>
      <c r="R13" s="104">
        <f>1.016*(15.7+4.1)</f>
        <v>20.116799999999998</v>
      </c>
      <c r="S13" s="104">
        <f t="shared" si="0"/>
        <v>140.3096</v>
      </c>
      <c r="U13" s="9"/>
      <c r="V13" s="9"/>
    </row>
    <row r="14" spans="1:22" s="12" customFormat="1" ht="15">
      <c r="A14" s="29" t="s">
        <v>215</v>
      </c>
      <c r="B14" s="104">
        <f>1.016*169.9</f>
        <v>172.6184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>
        <f>1.016*137.3</f>
        <v>139.4968</v>
      </c>
      <c r="R14" s="104">
        <f>1.016*(25.2+7.4)</f>
        <v>33.1216</v>
      </c>
      <c r="S14" s="104">
        <f t="shared" si="0"/>
        <v>172.6184</v>
      </c>
      <c r="U14" s="9"/>
      <c r="V14" s="9"/>
    </row>
    <row r="15" spans="1:22" s="12" customFormat="1" ht="15">
      <c r="A15" s="29" t="s">
        <v>216</v>
      </c>
      <c r="B15" s="104">
        <f>1.016*203.3</f>
        <v>206.55280000000002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>
        <f>1.016*155.7</f>
        <v>158.19119999999998</v>
      </c>
      <c r="R15" s="104">
        <f>1.016*(36.5+11.1)</f>
        <v>48.3616</v>
      </c>
      <c r="S15" s="104">
        <f t="shared" si="0"/>
        <v>206.5528</v>
      </c>
      <c r="U15" s="9"/>
      <c r="V15" s="9"/>
    </row>
    <row r="16" spans="1:22" s="12" customFormat="1" ht="15">
      <c r="A16" s="29" t="s">
        <v>217</v>
      </c>
      <c r="B16" s="104">
        <f>1.016*254</f>
        <v>258.064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>
        <f>1.016*178</f>
        <v>180.848</v>
      </c>
      <c r="R16" s="104">
        <f>1.016*(57.5+18.5)</f>
        <v>77.21600000000001</v>
      </c>
      <c r="S16" s="104">
        <f t="shared" si="0"/>
        <v>258.064</v>
      </c>
      <c r="U16" s="9"/>
      <c r="V16" s="9"/>
    </row>
    <row r="17" spans="1:23" s="12" customFormat="1" ht="15">
      <c r="A17" s="29" t="s">
        <v>218</v>
      </c>
      <c r="B17" s="104">
        <f>1.016*241.3</f>
        <v>245.16080000000002</v>
      </c>
      <c r="C17" s="104">
        <f>AVERAGE(C35:C37)</f>
        <v>3.8056</v>
      </c>
      <c r="D17" s="104"/>
      <c r="E17" s="104">
        <f>1.016*17.1</f>
        <v>17.373600000000003</v>
      </c>
      <c r="F17" s="104">
        <f>1.016*6.4</f>
        <v>6.502400000000001</v>
      </c>
      <c r="G17" s="104">
        <f>1.016*17.7</f>
        <v>17.9832</v>
      </c>
      <c r="H17" s="104">
        <f>1.016*17.2</f>
        <v>17.4752</v>
      </c>
      <c r="I17" s="104">
        <f>1.016*13.6</f>
        <v>13.8176</v>
      </c>
      <c r="J17" s="104"/>
      <c r="K17" s="104"/>
      <c r="L17" s="104"/>
      <c r="M17" s="104">
        <f>1.016*5.9</f>
        <v>5.994400000000001</v>
      </c>
      <c r="N17" s="104">
        <f>1.016*1.7</f>
        <v>1.7272</v>
      </c>
      <c r="O17" s="104">
        <f>1.016*104.7</f>
        <v>106.3752</v>
      </c>
      <c r="P17" s="104" t="s">
        <v>27</v>
      </c>
      <c r="Q17" s="104">
        <f>1.016*184.3</f>
        <v>187.24880000000002</v>
      </c>
      <c r="R17" s="104">
        <f>1.016*(43+14)</f>
        <v>57.912</v>
      </c>
      <c r="S17" s="104">
        <f t="shared" si="0"/>
        <v>245.16080000000002</v>
      </c>
      <c r="U17" s="9"/>
      <c r="V17" s="9"/>
      <c r="W17" s="9"/>
    </row>
    <row r="18" spans="1:22" s="12" customFormat="1" ht="15">
      <c r="A18" s="29" t="s">
        <v>219</v>
      </c>
      <c r="B18" s="104">
        <f>1.016*235</f>
        <v>238.76</v>
      </c>
      <c r="C18" s="104">
        <f>AVERAGE(C38:C47)</f>
        <v>4.9987200000000005</v>
      </c>
      <c r="D18" s="104"/>
      <c r="E18" s="104">
        <f>1.016*13.6</f>
        <v>13.8176</v>
      </c>
      <c r="F18" s="104">
        <f>1.016*8.8</f>
        <v>8.940800000000001</v>
      </c>
      <c r="G18" s="104">
        <f>1.016*18</f>
        <v>18.288</v>
      </c>
      <c r="H18" s="104">
        <f>1.016*16</f>
        <v>16.256</v>
      </c>
      <c r="I18" s="104">
        <f>1.016*13.5</f>
        <v>13.716000000000001</v>
      </c>
      <c r="J18" s="153">
        <f>AVERAGE(J38:J47)</f>
        <v>98.20656</v>
      </c>
      <c r="K18" s="153"/>
      <c r="L18" s="153"/>
      <c r="M18" s="104">
        <f>1.016*5.3</f>
        <v>5.3848</v>
      </c>
      <c r="N18" s="104">
        <f>1.016*1.4</f>
        <v>1.4223999999999999</v>
      </c>
      <c r="O18" s="104">
        <f>1.016*89.9</f>
        <v>91.33840000000001</v>
      </c>
      <c r="P18" s="104">
        <f>1.016*2</f>
        <v>2.032</v>
      </c>
      <c r="Q18" s="104">
        <f>AVERAGE(Q38:Q47)</f>
        <v>171.40936</v>
      </c>
      <c r="R18" s="104">
        <f>1.016*(51.1+15.4)</f>
        <v>67.56400000000001</v>
      </c>
      <c r="S18" s="104">
        <f t="shared" si="0"/>
        <v>238.97336</v>
      </c>
      <c r="U18" s="9"/>
      <c r="V18" s="9"/>
    </row>
    <row r="19" spans="1:22" s="12" customFormat="1" ht="15">
      <c r="A19" s="29" t="s">
        <v>220</v>
      </c>
      <c r="B19" s="104">
        <f>1.016*221.7</f>
        <v>225.2472</v>
      </c>
      <c r="C19" s="104">
        <f>AVERAGE(C48:C57)</f>
        <v>4.8768</v>
      </c>
      <c r="D19" s="104"/>
      <c r="E19" s="104">
        <f>1.016*11.9</f>
        <v>12.0904</v>
      </c>
      <c r="F19" s="104">
        <f>1.016*15.4</f>
        <v>15.6464</v>
      </c>
      <c r="G19" s="104">
        <f>1.016*18.8</f>
        <v>19.1008</v>
      </c>
      <c r="H19" s="104">
        <f>1.016*19.4</f>
        <v>19.7104</v>
      </c>
      <c r="I19" s="104">
        <f>1.016*13.4</f>
        <v>13.6144</v>
      </c>
      <c r="J19" s="153">
        <f>AVERAGE(J48:J57)</f>
        <v>102.83952</v>
      </c>
      <c r="K19" s="153"/>
      <c r="L19" s="153"/>
      <c r="M19" s="104">
        <f>1.016*4.5</f>
        <v>4.572</v>
      </c>
      <c r="N19" s="104">
        <f>1.016*1.3</f>
        <v>1.3208</v>
      </c>
      <c r="O19" s="104">
        <f>1.016*95.5</f>
        <v>97.028</v>
      </c>
      <c r="P19" s="104">
        <f>1.016*2.3</f>
        <v>2.3367999999999998</v>
      </c>
      <c r="Q19" s="104">
        <f>AVERAGE(Q48:Q57)</f>
        <v>185.20664000000002</v>
      </c>
      <c r="R19" s="104">
        <f>1.016*(29.4+9.8)</f>
        <v>39.827200000000005</v>
      </c>
      <c r="S19" s="104">
        <f t="shared" si="0"/>
        <v>225.03384000000003</v>
      </c>
      <c r="U19" s="9"/>
      <c r="V19" s="9"/>
    </row>
    <row r="20" spans="1:22" s="12" customFormat="1" ht="15">
      <c r="A20" s="29" t="s">
        <v>221</v>
      </c>
      <c r="B20" s="104">
        <f>1.016*205</f>
        <v>208.28</v>
      </c>
      <c r="C20" s="104">
        <f>AVERAGE(C58:C67)</f>
        <v>2.9117544000000004</v>
      </c>
      <c r="D20" s="104">
        <f>AVERAGE(D58:D67)</f>
        <v>14.728647199999997</v>
      </c>
      <c r="E20" s="104">
        <f>1.016*10.9</f>
        <v>11.0744</v>
      </c>
      <c r="F20" s="104">
        <f>1.016*28.6</f>
        <v>29.0576</v>
      </c>
      <c r="G20" s="104">
        <f>1.016*23.9</f>
        <v>24.2824</v>
      </c>
      <c r="H20" s="104">
        <f>AVERAGE(H58:H67)</f>
        <v>23.371759200000003</v>
      </c>
      <c r="I20" s="104">
        <f>1.016*14.7</f>
        <v>14.9352</v>
      </c>
      <c r="J20" s="104">
        <f>AVERAGE(J58:J67)</f>
        <v>37.90696</v>
      </c>
      <c r="K20" s="104">
        <f>AVERAGE(K58:K67)</f>
        <v>38.72992</v>
      </c>
      <c r="L20" s="104">
        <f>AVERAGE(L58:L67)</f>
        <v>14.931440800000008</v>
      </c>
      <c r="M20" s="104">
        <f>1.016*4.9</f>
        <v>4.978400000000001</v>
      </c>
      <c r="N20" s="104">
        <f>1.016*1</f>
        <v>1.016</v>
      </c>
      <c r="O20" s="104">
        <f>1.016*85.3</f>
        <v>86.6648</v>
      </c>
      <c r="P20" s="104">
        <f>1.016*2.6</f>
        <v>2.6416</v>
      </c>
      <c r="Q20" s="104">
        <f>AVERAGE(Q58:Q67)</f>
        <v>196.57568</v>
      </c>
      <c r="R20" s="104">
        <f>1.016*(7.7+3.9)</f>
        <v>11.7856</v>
      </c>
      <c r="S20" s="104">
        <f t="shared" si="0"/>
        <v>208.36128</v>
      </c>
      <c r="U20" s="9"/>
      <c r="V20" s="9"/>
    </row>
    <row r="21" spans="1:22" s="12" customFormat="1" ht="15">
      <c r="A21" s="29" t="s">
        <v>222</v>
      </c>
      <c r="B21" s="104">
        <f aca="true" t="shared" si="1" ref="B21:K21">AVERAGE(B68:B77)</f>
        <v>216.26576000000006</v>
      </c>
      <c r="C21" s="104">
        <f t="shared" si="1"/>
        <v>15.0380704</v>
      </c>
      <c r="D21" s="104">
        <f t="shared" si="1"/>
        <v>16.695284800000003</v>
      </c>
      <c r="E21" s="104">
        <f t="shared" si="1"/>
        <v>7.01038</v>
      </c>
      <c r="F21" s="104">
        <f t="shared" si="1"/>
        <v>47.925580000000004</v>
      </c>
      <c r="G21" s="104">
        <f t="shared" si="1"/>
        <v>25.732379999999996</v>
      </c>
      <c r="H21" s="104">
        <f t="shared" si="1"/>
        <v>29.720147200000003</v>
      </c>
      <c r="I21" s="104">
        <f t="shared" si="1"/>
        <v>10.63752</v>
      </c>
      <c r="J21" s="104">
        <f t="shared" si="1"/>
        <v>36.34236</v>
      </c>
      <c r="K21" s="104">
        <f t="shared" si="1"/>
        <v>36.752300000000005</v>
      </c>
      <c r="L21" s="104">
        <f>(SUM(L68:L77)+SUM(P68:P77))/10</f>
        <v>13.014332800000002</v>
      </c>
      <c r="M21" s="104"/>
      <c r="N21" s="104"/>
      <c r="O21" s="104"/>
      <c r="P21" s="104"/>
      <c r="Q21" s="104">
        <f>AVERAGE(Q68:Q77)</f>
        <v>207.135</v>
      </c>
      <c r="R21" s="104">
        <f>AVERAGE(R68:R77)</f>
        <v>9.072879999999998</v>
      </c>
      <c r="S21" s="104">
        <f>AVERAGE(S68:S77)</f>
        <v>216.20788</v>
      </c>
      <c r="U21" s="9"/>
      <c r="V21" s="9"/>
    </row>
    <row r="22" spans="1:22" s="12" customFormat="1" ht="15">
      <c r="A22" s="29" t="s">
        <v>223</v>
      </c>
      <c r="B22" s="104">
        <f aca="true" t="shared" si="2" ref="B22:L22">AVERAGE(B78:B87)</f>
        <v>171.41952</v>
      </c>
      <c r="C22" s="104">
        <f t="shared" si="2"/>
        <v>18.5451</v>
      </c>
      <c r="D22" s="104">
        <f t="shared" si="2"/>
        <v>16.992700000000003</v>
      </c>
      <c r="E22" s="104">
        <f t="shared" si="2"/>
        <v>2.6700000000000004</v>
      </c>
      <c r="F22" s="104">
        <f t="shared" si="2"/>
        <v>71.49949999999998</v>
      </c>
      <c r="G22" s="104">
        <f t="shared" si="2"/>
        <v>11.859000000000004</v>
      </c>
      <c r="H22" s="104">
        <f t="shared" si="2"/>
        <v>27.867600000000003</v>
      </c>
      <c r="I22" s="104">
        <f t="shared" si="2"/>
        <v>1.5012799999999997</v>
      </c>
      <c r="J22" s="104">
        <f t="shared" si="2"/>
        <v>24.074800000000003</v>
      </c>
      <c r="K22" s="104">
        <f t="shared" si="2"/>
        <v>22.82642</v>
      </c>
      <c r="L22" s="104">
        <f t="shared" si="2"/>
        <v>4.742499999999998</v>
      </c>
      <c r="M22" s="104"/>
      <c r="N22" s="104"/>
      <c r="O22" s="104"/>
      <c r="P22" s="104"/>
      <c r="Q22" s="104">
        <f>AVERAGE(Q78:Q87)</f>
        <v>167.0411</v>
      </c>
      <c r="R22" s="104">
        <f>AVERAGE(R78:R87)</f>
        <v>3.6073999999999997</v>
      </c>
      <c r="S22" s="104">
        <f>AVERAGE(S78:S87)</f>
        <v>170.6485</v>
      </c>
      <c r="U22" s="9"/>
      <c r="V22" s="9"/>
    </row>
    <row r="23" spans="1:22" s="12" customFormat="1" ht="15">
      <c r="A23" s="29" t="s">
        <v>224</v>
      </c>
      <c r="B23" s="104">
        <f aca="true" t="shared" si="3" ref="B23:L23">AVERAGE(B88:B97)</f>
        <v>125.48004</v>
      </c>
      <c r="C23" s="104">
        <f t="shared" si="3"/>
        <v>13.124</v>
      </c>
      <c r="D23" s="104">
        <f t="shared" si="3"/>
        <v>20.886900000000004</v>
      </c>
      <c r="E23" s="104">
        <f t="shared" si="3"/>
        <v>0.9788</v>
      </c>
      <c r="F23" s="104">
        <f t="shared" si="3"/>
        <v>80.26639999999999</v>
      </c>
      <c r="G23" s="104">
        <f t="shared" si="3"/>
        <v>0.159</v>
      </c>
      <c r="H23" s="104">
        <f t="shared" si="3"/>
        <v>19.0885</v>
      </c>
      <c r="I23" s="104">
        <f t="shared" si="3"/>
        <v>0.09999999999999999</v>
      </c>
      <c r="J23" s="104">
        <f t="shared" si="3"/>
        <v>10.8343</v>
      </c>
      <c r="K23" s="104">
        <f t="shared" si="3"/>
        <v>9.012800000000002</v>
      </c>
      <c r="L23" s="104">
        <f t="shared" si="3"/>
        <v>2.070800000000004</v>
      </c>
      <c r="M23" s="104"/>
      <c r="N23" s="104"/>
      <c r="O23" s="104"/>
      <c r="P23" s="104"/>
      <c r="Q23" s="104">
        <f>AVERAGE(Q88:Q97)</f>
        <v>122.37520000000002</v>
      </c>
      <c r="R23" s="104">
        <f>AVERAGE(R88:R97)</f>
        <v>3.4808</v>
      </c>
      <c r="S23" s="104">
        <f>AVERAGE(S88:S97)</f>
        <v>125.856</v>
      </c>
      <c r="U23" s="9"/>
      <c r="V23" s="9"/>
    </row>
    <row r="24" spans="1:22" s="12" customFormat="1" ht="15">
      <c r="A24" s="29" t="s">
        <v>225</v>
      </c>
      <c r="B24" s="104">
        <f>AVERAGE(B98:B107)</f>
        <v>109.8047</v>
      </c>
      <c r="C24" s="104">
        <f>AVERAGE(C98:C107)</f>
        <v>11.9912</v>
      </c>
      <c r="D24" s="104">
        <f>AVERAGE(D98:D107)</f>
        <v>28.4998</v>
      </c>
      <c r="E24" s="104">
        <f>AVERAGE(E98:E107)</f>
        <v>0.22180000000000005</v>
      </c>
      <c r="F24" s="104">
        <f>AVERAGE(F98:F107)</f>
        <v>79.1864</v>
      </c>
      <c r="G24" s="104" t="s">
        <v>27</v>
      </c>
      <c r="H24" s="104">
        <f>AVERAGE(H98:H107)</f>
        <v>12.107299999999999</v>
      </c>
      <c r="I24" s="104" t="s">
        <v>27</v>
      </c>
      <c r="J24" s="104">
        <f>AVERAGE(J98:J107)</f>
        <v>5.8995999999999995</v>
      </c>
      <c r="K24" s="104">
        <f>AVERAGE(K98:K107)</f>
        <v>7.1823</v>
      </c>
      <c r="L24" s="104">
        <f>AVERAGE(L98:L107)</f>
        <v>1.3754999999999966</v>
      </c>
      <c r="M24" s="104"/>
      <c r="N24" s="104"/>
      <c r="O24" s="104"/>
      <c r="P24" s="104"/>
      <c r="Q24" s="104">
        <f>AVERAGE(Q98:Q107)</f>
        <v>105.97290000000001</v>
      </c>
      <c r="R24" s="104">
        <f>AVERAGE(R98:R107)</f>
        <v>2.5290999999999997</v>
      </c>
      <c r="S24" s="104">
        <f>AVERAGE(S98:S107)</f>
        <v>108.502</v>
      </c>
      <c r="U24" s="9"/>
      <c r="V24" s="9"/>
    </row>
    <row r="25" spans="1:22" s="12" customFormat="1" ht="15">
      <c r="A25" s="29" t="s">
        <v>226</v>
      </c>
      <c r="B25" s="104">
        <f>AVERAGE(B108:B117)</f>
        <v>68.03424458585673</v>
      </c>
      <c r="C25" s="104">
        <f>AVERAGE(C108:C117)</f>
        <v>5.8752292</v>
      </c>
      <c r="D25" s="104">
        <f>AVERAGE(D108:D117)</f>
        <v>15.791538208586545</v>
      </c>
      <c r="E25" s="104">
        <f>AVERAGE(E108:E117)</f>
        <v>0.013971205851817756</v>
      </c>
      <c r="F25" s="104">
        <f>AVERAGE(F108:F117)</f>
        <v>52.56099782626545</v>
      </c>
      <c r="G25" s="104" t="s">
        <v>27</v>
      </c>
      <c r="H25" s="104">
        <f>AVERAGE(H108:H117)</f>
        <v>9.35392186547506</v>
      </c>
      <c r="I25" s="104" t="s">
        <v>27</v>
      </c>
      <c r="J25" s="104">
        <f>AVERAGE(J108:J117)</f>
        <v>2.6446413833740405</v>
      </c>
      <c r="K25" s="104">
        <f>AVERAGE(K108:K117)</f>
        <v>3.077385863030624</v>
      </c>
      <c r="L25" s="104">
        <f>AVERAGE(L108:L117)</f>
        <v>0.6781387087022328</v>
      </c>
      <c r="M25" s="104"/>
      <c r="N25" s="104"/>
      <c r="O25" s="104"/>
      <c r="P25" s="104"/>
      <c r="Q25" s="104">
        <f>AVERAGE(Q108:Q117)</f>
        <v>68.11562272779922</v>
      </c>
      <c r="R25" s="104">
        <f>AVERAGE(R108:R117)</f>
        <v>0.8822528608999999</v>
      </c>
      <c r="S25" s="104">
        <f>AVERAGE(S108:S117)</f>
        <v>68.99787558869923</v>
      </c>
      <c r="U25" s="9"/>
      <c r="V25" s="9"/>
    </row>
    <row r="26" spans="1:22" s="12" customFormat="1" ht="12.75" customHeight="1">
      <c r="A26" s="29" t="s">
        <v>370</v>
      </c>
      <c r="B26" s="104">
        <f>AVERAGE(B118:B127)</f>
        <v>58.95212616085472</v>
      </c>
      <c r="C26" s="104">
        <f>AVERAGE(C118:C127)</f>
        <v>1.1301069988851373</v>
      </c>
      <c r="D26" s="104">
        <f>AVERAGE(D118:D127)</f>
        <v>15.047927900911205</v>
      </c>
      <c r="E26" s="104">
        <f>AVERAGE(E118:E127)</f>
        <v>0.005023382918952556</v>
      </c>
      <c r="F26" s="104">
        <f>AVERAGE(F118:F127)</f>
        <v>49.06506261328344</v>
      </c>
      <c r="G26" s="104" t="s">
        <v>27</v>
      </c>
      <c r="H26" s="104">
        <f>AVERAGE(H118:H127)</f>
        <v>7.303823926983308</v>
      </c>
      <c r="I26" s="104" t="s">
        <v>27</v>
      </c>
      <c r="J26" s="104">
        <f>AVERAGE(J118:J127)</f>
        <v>0.7276766906210185</v>
      </c>
      <c r="K26" s="104">
        <f>AVERAGE(K118:K127)</f>
        <v>1.8402385062773483</v>
      </c>
      <c r="L26" s="104">
        <f>AVERAGE(L118:L127)</f>
        <v>0.03769437830504889</v>
      </c>
      <c r="M26" s="104"/>
      <c r="N26" s="104"/>
      <c r="O26" s="104"/>
      <c r="P26" s="104"/>
      <c r="Q26" s="104">
        <f>AVERAGE(Q118:Q127)</f>
        <v>58.99245965968288</v>
      </c>
      <c r="R26" s="104">
        <f>AVERAGE(R118:R127)</f>
        <v>0.5627516816</v>
      </c>
      <c r="S26" s="104">
        <f>AVERAGE(S118:S127)</f>
        <v>59.555211341282885</v>
      </c>
      <c r="U26" s="9"/>
      <c r="V26" s="9"/>
    </row>
    <row r="27" spans="1:22" s="12" customFormat="1" ht="12.75">
      <c r="A27" s="29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U27" s="9"/>
      <c r="V27" s="9"/>
    </row>
    <row r="28" spans="1:22" s="12" customFormat="1" ht="12.75">
      <c r="A28" s="29">
        <v>1913</v>
      </c>
      <c r="B28" s="73">
        <f>1.016*287.4</f>
        <v>291.9984</v>
      </c>
      <c r="C28" s="73" t="s">
        <v>27</v>
      </c>
      <c r="D28" s="73" t="s">
        <v>27</v>
      </c>
      <c r="E28" s="73">
        <f>1.016*18</f>
        <v>18.288</v>
      </c>
      <c r="F28" s="73">
        <f>1.016*4.9</f>
        <v>4.978400000000001</v>
      </c>
      <c r="G28" s="73">
        <f>1.016*17.8</f>
        <v>18.0848</v>
      </c>
      <c r="H28" s="73">
        <f>1.016*19.7</f>
        <v>20.0152</v>
      </c>
      <c r="I28" s="73">
        <f>1.016*14.3</f>
        <v>14.5288</v>
      </c>
      <c r="J28" s="73"/>
      <c r="K28" s="73"/>
      <c r="L28" s="73"/>
      <c r="M28" s="73">
        <f>1.016*5.8</f>
        <v>5.8928</v>
      </c>
      <c r="N28" s="73">
        <f>1.016*2.4</f>
        <v>2.4384</v>
      </c>
      <c r="O28" s="73">
        <f>1.016*110.1</f>
        <v>111.8616</v>
      </c>
      <c r="P28" s="73"/>
      <c r="Q28" s="73">
        <f>1.016*193</f>
        <v>196.088</v>
      </c>
      <c r="R28" s="73">
        <f>1.016*(73.4+21)</f>
        <v>95.91040000000001</v>
      </c>
      <c r="S28" s="104">
        <f>Q28+R28</f>
        <v>291.9984</v>
      </c>
      <c r="T28" s="98"/>
      <c r="U28" s="9"/>
      <c r="V28" s="9"/>
    </row>
    <row r="29" spans="1:22" s="12" customFormat="1" ht="12.75">
      <c r="A29" s="29">
        <v>1914</v>
      </c>
      <c r="B29" s="73">
        <f>1.016*265.7</f>
        <v>269.9512</v>
      </c>
      <c r="C29" s="73" t="s">
        <v>27</v>
      </c>
      <c r="D29" s="73" t="s">
        <v>27</v>
      </c>
      <c r="E29" s="73">
        <f>1.016*18</f>
        <v>18.288</v>
      </c>
      <c r="F29" s="73">
        <f>1.016*5.6</f>
        <v>5.6895999999999995</v>
      </c>
      <c r="G29" s="73">
        <f>1.016*17.5</f>
        <v>17.78</v>
      </c>
      <c r="H29" s="73">
        <f>1.016*17.1</f>
        <v>17.373600000000003</v>
      </c>
      <c r="I29" s="73">
        <f>1.016*13.9</f>
        <v>14.1224</v>
      </c>
      <c r="J29" s="73"/>
      <c r="K29" s="73"/>
      <c r="L29" s="73"/>
      <c r="M29" s="73">
        <f>1.016*6</f>
        <v>6.096</v>
      </c>
      <c r="N29" s="73">
        <f>1.016*2.4</f>
        <v>2.4384</v>
      </c>
      <c r="O29" s="73">
        <f>1.016*107.6</f>
        <v>109.32159999999999</v>
      </c>
      <c r="P29" s="73"/>
      <c r="Q29" s="73">
        <f>1.016*188.1</f>
        <v>191.1096</v>
      </c>
      <c r="R29" s="73">
        <f>1.016*(59.1+18.5)</f>
        <v>78.8416</v>
      </c>
      <c r="S29" s="104">
        <f aca="true" t="shared" si="4" ref="S29:S92">Q29+R29</f>
        <v>269.9512</v>
      </c>
      <c r="T29" s="98"/>
      <c r="U29" s="9"/>
      <c r="V29" s="9"/>
    </row>
    <row r="30" spans="1:22" s="12" customFormat="1" ht="12.75">
      <c r="A30" s="29">
        <v>1915</v>
      </c>
      <c r="B30" s="73">
        <f>1.016*253.2</f>
        <v>257.2512</v>
      </c>
      <c r="C30" s="73" t="s">
        <v>27</v>
      </c>
      <c r="D30" s="73" t="s">
        <v>27</v>
      </c>
      <c r="E30" s="73">
        <f>1.016*18</f>
        <v>18.288</v>
      </c>
      <c r="F30" s="73">
        <f>1.016*5.5</f>
        <v>5.588</v>
      </c>
      <c r="G30" s="73">
        <f>1.016*17.4</f>
        <v>17.6784</v>
      </c>
      <c r="H30" s="73">
        <f>1.016*18.2</f>
        <v>18.4912</v>
      </c>
      <c r="I30" s="73">
        <f>1.016*14.2</f>
        <v>14.4272</v>
      </c>
      <c r="J30" s="73"/>
      <c r="K30" s="73"/>
      <c r="L30" s="73"/>
      <c r="M30" s="73">
        <f>1.016*6</f>
        <v>6.096</v>
      </c>
      <c r="N30" s="73">
        <f>1.016*2</f>
        <v>2.032</v>
      </c>
      <c r="O30" s="73">
        <f>1.016*114.7</f>
        <v>116.5352</v>
      </c>
      <c r="P30" s="73"/>
      <c r="Q30" s="73">
        <f>1.016*196</f>
        <v>199.136</v>
      </c>
      <c r="R30" s="73">
        <f>1.016*(43.6+13.6)</f>
        <v>58.1152</v>
      </c>
      <c r="S30" s="104">
        <f t="shared" si="4"/>
        <v>257.2512</v>
      </c>
      <c r="T30" s="98"/>
      <c r="U30" s="9"/>
      <c r="V30" s="9"/>
    </row>
    <row r="31" spans="1:22" s="12" customFormat="1" ht="12.75">
      <c r="A31" s="29">
        <v>1916</v>
      </c>
      <c r="B31" s="73">
        <f>1.016*256.4</f>
        <v>260.50239999999997</v>
      </c>
      <c r="C31" s="73" t="s">
        <v>27</v>
      </c>
      <c r="D31" s="73" t="s">
        <v>27</v>
      </c>
      <c r="E31" s="73">
        <f>1.016*18</f>
        <v>18.288</v>
      </c>
      <c r="F31" s="73">
        <f>1.016*6</f>
        <v>6.096</v>
      </c>
      <c r="G31" s="73">
        <f>1.016*17.4</f>
        <v>17.6784</v>
      </c>
      <c r="H31" s="73">
        <f>1.016*20.2</f>
        <v>20.5232</v>
      </c>
      <c r="I31" s="73">
        <f>1.016*14.4</f>
        <v>14.6304</v>
      </c>
      <c r="J31" s="73"/>
      <c r="K31" s="73"/>
      <c r="L31" s="73"/>
      <c r="M31" s="73">
        <f>1.016*6</f>
        <v>6.096</v>
      </c>
      <c r="N31" s="73">
        <f>1.016*1.7</f>
        <v>1.7272</v>
      </c>
      <c r="O31" s="73">
        <f>1.016*121.4</f>
        <v>123.34240000000001</v>
      </c>
      <c r="P31" s="73"/>
      <c r="Q31" s="73">
        <f>1.016*205.1</f>
        <v>208.3816</v>
      </c>
      <c r="R31" s="73">
        <f>1.016*(38.3+13)</f>
        <v>52.120799999999996</v>
      </c>
      <c r="S31" s="104">
        <f t="shared" si="4"/>
        <v>260.50239999999997</v>
      </c>
      <c r="T31" s="98"/>
      <c r="U31" s="9"/>
      <c r="V31" s="9"/>
    </row>
    <row r="32" spans="1:22" s="12" customFormat="1" ht="12.75">
      <c r="A32" s="29">
        <v>1917</v>
      </c>
      <c r="B32" s="73">
        <f>1.016*248.5</f>
        <v>252.476</v>
      </c>
      <c r="C32" s="73" t="s">
        <v>27</v>
      </c>
      <c r="D32" s="73" t="s">
        <v>27</v>
      </c>
      <c r="E32" s="73">
        <f>1.016*18</f>
        <v>18.288</v>
      </c>
      <c r="F32" s="73">
        <f>1.016*6.6</f>
        <v>6.7056</v>
      </c>
      <c r="G32" s="73">
        <f>1.016*18.8</f>
        <v>19.1008</v>
      </c>
      <c r="H32" s="73">
        <f>1.016*20.5</f>
        <v>20.828</v>
      </c>
      <c r="I32" s="73">
        <f>1.016*13.6</f>
        <v>13.8176</v>
      </c>
      <c r="J32" s="73"/>
      <c r="K32" s="73"/>
      <c r="L32" s="73"/>
      <c r="M32" s="73">
        <f>1.016*6</f>
        <v>6.096</v>
      </c>
      <c r="N32" s="73">
        <f>1.016*1.3</f>
        <v>1.3208</v>
      </c>
      <c r="O32" s="73">
        <f>1.016*118.5</f>
        <v>120.396</v>
      </c>
      <c r="P32" s="73"/>
      <c r="Q32" s="73">
        <f>1.016*203.3</f>
        <v>206.55280000000002</v>
      </c>
      <c r="R32" s="73">
        <f>1.016*(35+10.2)</f>
        <v>45.9232</v>
      </c>
      <c r="S32" s="104">
        <f t="shared" si="4"/>
        <v>252.47600000000003</v>
      </c>
      <c r="T32" s="98"/>
      <c r="U32" s="9"/>
      <c r="V32" s="9"/>
    </row>
    <row r="33" spans="1:22" s="12" customFormat="1" ht="12.75">
      <c r="A33" s="29">
        <v>1918</v>
      </c>
      <c r="B33" s="73">
        <f>1.016*227.7</f>
        <v>231.3432</v>
      </c>
      <c r="C33" s="73" t="s">
        <v>27</v>
      </c>
      <c r="D33" s="73" t="s">
        <v>27</v>
      </c>
      <c r="E33" s="73">
        <f>1.016*17</f>
        <v>17.272</v>
      </c>
      <c r="F33" s="73">
        <f>1.016*7.1</f>
        <v>7.2136</v>
      </c>
      <c r="G33" s="73">
        <f>1.016*18.5</f>
        <v>18.796</v>
      </c>
      <c r="H33" s="73">
        <f>1.016*19.7</f>
        <v>20.0152</v>
      </c>
      <c r="I33" s="73">
        <f>1.016*13.3</f>
        <v>13.5128</v>
      </c>
      <c r="J33" s="73"/>
      <c r="K33" s="73"/>
      <c r="L33" s="73"/>
      <c r="M33" s="73">
        <f>1.016*6</f>
        <v>6.096</v>
      </c>
      <c r="N33" s="73">
        <f>1.016*1</f>
        <v>1.016</v>
      </c>
      <c r="O33" s="73">
        <f>1.016*104.6</f>
        <v>106.2736</v>
      </c>
      <c r="P33" s="73"/>
      <c r="Q33" s="73">
        <f>1.016*187.2</f>
        <v>190.1952</v>
      </c>
      <c r="R33" s="73">
        <f>1.016*(31.7+8.8)</f>
        <v>41.148</v>
      </c>
      <c r="S33" s="104">
        <f t="shared" si="4"/>
        <v>231.3432</v>
      </c>
      <c r="T33" s="98"/>
      <c r="U33" s="9"/>
      <c r="V33" s="9"/>
    </row>
    <row r="34" spans="1:22" s="12" customFormat="1" ht="12.75">
      <c r="A34" s="29">
        <v>1919</v>
      </c>
      <c r="B34" s="73">
        <f>1.016*229.8</f>
        <v>233.47680000000003</v>
      </c>
      <c r="C34" s="73" t="s">
        <v>27</v>
      </c>
      <c r="D34" s="73" t="s">
        <v>27</v>
      </c>
      <c r="E34" s="73">
        <f>1.016*17</f>
        <v>17.272</v>
      </c>
      <c r="F34" s="73">
        <f>1.016*7.7</f>
        <v>7.8232</v>
      </c>
      <c r="G34" s="73">
        <f>1.016*17.7</f>
        <v>17.9832</v>
      </c>
      <c r="H34" s="73">
        <f>1.016*17.6</f>
        <v>17.881600000000002</v>
      </c>
      <c r="I34" s="73">
        <f>1.016*13.5</f>
        <v>13.716000000000001</v>
      </c>
      <c r="J34" s="73"/>
      <c r="K34" s="73"/>
      <c r="L34" s="73"/>
      <c r="M34" s="73">
        <f>1.016*6.3</f>
        <v>6.4008</v>
      </c>
      <c r="N34" s="73">
        <f>1.016*1.3</f>
        <v>1.3208</v>
      </c>
      <c r="O34" s="73">
        <f>1.016*101.4</f>
        <v>103.0224</v>
      </c>
      <c r="P34" s="73"/>
      <c r="Q34" s="73">
        <f>1.016*182.5</f>
        <v>185.42000000000002</v>
      </c>
      <c r="R34" s="73">
        <f>1.016*(35.3+12)</f>
        <v>48.056799999999996</v>
      </c>
      <c r="S34" s="104">
        <f t="shared" si="4"/>
        <v>233.47680000000003</v>
      </c>
      <c r="T34" s="98"/>
      <c r="U34" s="9"/>
      <c r="V34" s="9"/>
    </row>
    <row r="35" spans="1:22" s="12" customFormat="1" ht="12.75">
      <c r="A35" s="29">
        <v>1920</v>
      </c>
      <c r="B35" s="73">
        <f>1.016*229.5</f>
        <v>233.172</v>
      </c>
      <c r="C35" s="73">
        <f>1.016*3.3</f>
        <v>3.3528</v>
      </c>
      <c r="D35" s="73" t="s">
        <v>27</v>
      </c>
      <c r="E35" s="73">
        <f>1.016*17.2</f>
        <v>17.4752</v>
      </c>
      <c r="F35" s="73">
        <f>1.016*7.4</f>
        <v>7.518400000000001</v>
      </c>
      <c r="G35" s="73">
        <f>1.016*18.6</f>
        <v>18.8976</v>
      </c>
      <c r="H35" s="73">
        <f>1.016*18.9</f>
        <v>19.202399999999997</v>
      </c>
      <c r="I35" s="73">
        <f>1.016*14.5</f>
        <v>14.732</v>
      </c>
      <c r="J35" s="73"/>
      <c r="K35" s="73"/>
      <c r="L35" s="73"/>
      <c r="M35" s="73">
        <f>1.016*6.6</f>
        <v>6.7056</v>
      </c>
      <c r="N35" s="73">
        <f>1.016*1.7</f>
        <v>1.7272</v>
      </c>
      <c r="O35" s="73">
        <f>1.016*105.8</f>
        <v>107.4928</v>
      </c>
      <c r="P35" s="73"/>
      <c r="Q35" s="73">
        <f>1.016*190.7</f>
        <v>193.75119999999998</v>
      </c>
      <c r="R35" s="73">
        <f>1.016*(24.9+13.9)</f>
        <v>39.4208</v>
      </c>
      <c r="S35" s="104">
        <f t="shared" si="4"/>
        <v>233.17199999999997</v>
      </c>
      <c r="T35" s="98"/>
      <c r="U35" s="9"/>
      <c r="V35" s="9"/>
    </row>
    <row r="36" spans="1:22" s="12" customFormat="1" ht="12.75">
      <c r="A36" s="29">
        <v>1921</v>
      </c>
      <c r="B36" s="73">
        <f>1.016*166</f>
        <v>168.656</v>
      </c>
      <c r="C36" s="73">
        <f>1.016*4</f>
        <v>4.064</v>
      </c>
      <c r="D36" s="73" t="s">
        <v>27</v>
      </c>
      <c r="E36" s="73">
        <f>1.016*13.7</f>
        <v>13.9192</v>
      </c>
      <c r="F36" s="73">
        <f>1.016*6.3</f>
        <v>6.4008</v>
      </c>
      <c r="G36" s="73">
        <f>1.016*16.7</f>
        <v>16.9672</v>
      </c>
      <c r="H36" s="73">
        <f>1.016*6.9</f>
        <v>7.010400000000001</v>
      </c>
      <c r="I36" s="73">
        <f>1.016*11.5</f>
        <v>11.684000000000001</v>
      </c>
      <c r="J36" s="73"/>
      <c r="K36" s="73"/>
      <c r="L36" s="73"/>
      <c r="M36" s="73">
        <f>1.016*4.9</f>
        <v>4.978400000000001</v>
      </c>
      <c r="N36" s="73">
        <f>1.016*1.2</f>
        <v>1.2192</v>
      </c>
      <c r="O36" s="73">
        <f>1.016*69.2</f>
        <v>70.30720000000001</v>
      </c>
      <c r="P36" s="73"/>
      <c r="Q36" s="73">
        <f>1.016*130.4</f>
        <v>132.4864</v>
      </c>
      <c r="R36" s="73">
        <f>1.016*(24.7+10.9)</f>
        <v>36.1696</v>
      </c>
      <c r="S36" s="104">
        <f t="shared" si="4"/>
        <v>168.656</v>
      </c>
      <c r="T36" s="98"/>
      <c r="U36" s="9"/>
      <c r="V36" s="9"/>
    </row>
    <row r="37" spans="1:22" s="12" customFormat="1" ht="12.75">
      <c r="A37" s="29">
        <v>1922</v>
      </c>
      <c r="B37" s="73">
        <f>1.016*249.7</f>
        <v>253.6952</v>
      </c>
      <c r="C37" s="73">
        <v>4</v>
      </c>
      <c r="D37" s="73" t="s">
        <v>27</v>
      </c>
      <c r="E37" s="73">
        <f>1.016*16.3</f>
        <v>16.5608</v>
      </c>
      <c r="F37" s="73">
        <f>1.016*6.8</f>
        <v>6.9088</v>
      </c>
      <c r="G37" s="73">
        <f>1.016*16.6</f>
        <v>16.8656</v>
      </c>
      <c r="H37" s="73">
        <f>1.016*13.3</f>
        <v>13.5128</v>
      </c>
      <c r="I37" s="73">
        <f>1.016*13.3</f>
        <v>13.5128</v>
      </c>
      <c r="J37" s="73"/>
      <c r="K37" s="73"/>
      <c r="L37" s="73"/>
      <c r="M37" s="73">
        <f>1.016*5.8</f>
        <v>5.8928</v>
      </c>
      <c r="N37" s="73">
        <f>1.016*1.6</f>
        <v>1.6256000000000002</v>
      </c>
      <c r="O37" s="73">
        <f>1.016*93.5</f>
        <v>94.996</v>
      </c>
      <c r="P37" s="73"/>
      <c r="Q37" s="73">
        <f>1.016*167.2</f>
        <v>169.87519999999998</v>
      </c>
      <c r="R37" s="73">
        <f>1.016*(64.2+18.3)</f>
        <v>83.82000000000001</v>
      </c>
      <c r="S37" s="104">
        <f t="shared" si="4"/>
        <v>253.6952</v>
      </c>
      <c r="T37" s="98"/>
      <c r="U37" s="9"/>
      <c r="V37" s="9"/>
    </row>
    <row r="38" spans="1:22" s="12" customFormat="1" ht="12.75">
      <c r="A38" s="29">
        <v>1923</v>
      </c>
      <c r="B38" s="73">
        <f>1.016*277.1</f>
        <v>281.53360000000004</v>
      </c>
      <c r="C38" s="73">
        <f>2.9*1.016</f>
        <v>2.9464</v>
      </c>
      <c r="D38" s="73" t="s">
        <v>27</v>
      </c>
      <c r="E38" s="73">
        <f>16.9*1.016</f>
        <v>17.170399999999997</v>
      </c>
      <c r="F38" s="73">
        <f>7.2*1.016</f>
        <v>7.3152</v>
      </c>
      <c r="G38" s="73">
        <f>17.2*1.016</f>
        <v>17.4752</v>
      </c>
      <c r="H38" s="73">
        <f>19.8*1.016</f>
        <v>20.1168</v>
      </c>
      <c r="I38" s="73">
        <f>14*1.016</f>
        <v>14.224</v>
      </c>
      <c r="J38" s="154">
        <f>102*1.016</f>
        <v>103.632</v>
      </c>
      <c r="K38" s="154"/>
      <c r="L38" s="154"/>
      <c r="M38" s="73"/>
      <c r="N38" s="73"/>
      <c r="O38" s="73"/>
      <c r="P38" s="73">
        <f>1.016*2.6</f>
        <v>2.6416</v>
      </c>
      <c r="Q38" s="73">
        <f>1.016*179.7</f>
        <v>182.5752</v>
      </c>
      <c r="R38" s="73">
        <f>1.016*(79.3+18.1)</f>
        <v>98.95840000000001</v>
      </c>
      <c r="S38" s="104">
        <f t="shared" si="4"/>
        <v>281.5336</v>
      </c>
      <c r="T38" s="98"/>
      <c r="U38" s="9"/>
      <c r="V38" s="9"/>
    </row>
    <row r="39" spans="1:22" s="12" customFormat="1" ht="12.75">
      <c r="A39" s="29">
        <v>1924</v>
      </c>
      <c r="B39" s="73">
        <f>1.016*264.7</f>
        <v>268.9352</v>
      </c>
      <c r="C39" s="73">
        <f>5.3*1.016</f>
        <v>5.3848</v>
      </c>
      <c r="D39" s="73" t="s">
        <v>27</v>
      </c>
      <c r="E39" s="73">
        <f>16.6*1.016</f>
        <v>16.8656</v>
      </c>
      <c r="F39" s="73">
        <f>7.7*1.016</f>
        <v>7.8232</v>
      </c>
      <c r="G39" s="73">
        <f>1.016*18.1</f>
        <v>18.3896</v>
      </c>
      <c r="H39" s="73">
        <f>18.9*1.016</f>
        <v>19.202399999999997</v>
      </c>
      <c r="I39" s="73">
        <f>14.2*1.016</f>
        <v>14.4272</v>
      </c>
      <c r="J39" s="154">
        <f>107.8*1.016</f>
        <v>109.5248</v>
      </c>
      <c r="K39" s="154"/>
      <c r="L39" s="154"/>
      <c r="M39" s="73"/>
      <c r="N39" s="73"/>
      <c r="O39" s="73"/>
      <c r="P39" s="73">
        <f>1.016*2.2</f>
        <v>2.2352000000000003</v>
      </c>
      <c r="Q39" s="73">
        <f>1.016*185.5</f>
        <v>188.468</v>
      </c>
      <c r="R39" s="73">
        <f>1.016*(61.5+17.7)</f>
        <v>80.4672</v>
      </c>
      <c r="S39" s="104">
        <f t="shared" si="4"/>
        <v>268.9352</v>
      </c>
      <c r="T39" s="98"/>
      <c r="U39" s="9"/>
      <c r="V39" s="9"/>
    </row>
    <row r="40" spans="1:22" s="12" customFormat="1" ht="12.75">
      <c r="A40" s="29">
        <v>1925</v>
      </c>
      <c r="B40" s="73">
        <f>1.016*243.5</f>
        <v>247.39600000000002</v>
      </c>
      <c r="C40" s="73">
        <f>5*1.016</f>
        <v>5.08</v>
      </c>
      <c r="D40" s="73" t="s">
        <v>27</v>
      </c>
      <c r="E40" s="73">
        <f>15.4*1.016</f>
        <v>15.6464</v>
      </c>
      <c r="F40" s="73">
        <f>8.1*1.016</f>
        <v>8.2296</v>
      </c>
      <c r="G40" s="73">
        <f>1.016*17.8</f>
        <v>18.0848</v>
      </c>
      <c r="H40" s="73">
        <f>16.4*1.016</f>
        <v>16.662399999999998</v>
      </c>
      <c r="I40" s="73">
        <f>14.1*1.016</f>
        <v>14.3256</v>
      </c>
      <c r="J40" s="154">
        <f>102.6*1.016</f>
        <v>104.24159999999999</v>
      </c>
      <c r="K40" s="154"/>
      <c r="L40" s="154"/>
      <c r="M40" s="73"/>
      <c r="N40" s="73"/>
      <c r="O40" s="73"/>
      <c r="P40" s="73">
        <f>1.016*2</f>
        <v>2.032</v>
      </c>
      <c r="Q40" s="73">
        <f>1.016*176.4</f>
        <v>179.22240000000002</v>
      </c>
      <c r="R40" s="73">
        <f>1.016*(50.6+16.5)</f>
        <v>68.1736</v>
      </c>
      <c r="S40" s="104">
        <f t="shared" si="4"/>
        <v>247.39600000000002</v>
      </c>
      <c r="T40" s="98"/>
      <c r="U40" s="9"/>
      <c r="V40" s="9"/>
    </row>
    <row r="41" spans="1:22" s="12" customFormat="1" ht="12.75">
      <c r="A41" s="29">
        <v>1926</v>
      </c>
      <c r="B41" s="73">
        <f>1.016*149.4</f>
        <v>151.7904</v>
      </c>
      <c r="C41" s="73">
        <f>1.9*1.016</f>
        <v>1.9304</v>
      </c>
      <c r="D41" s="73" t="s">
        <v>27</v>
      </c>
      <c r="E41" s="73">
        <f>7.6*1.016</f>
        <v>7.7216</v>
      </c>
      <c r="F41" s="73">
        <f>8.3*1.016</f>
        <v>8.4328</v>
      </c>
      <c r="G41" s="73">
        <f>1.016*17.3</f>
        <v>17.576800000000002</v>
      </c>
      <c r="H41" s="73">
        <f>7.1*1.016</f>
        <v>7.2136</v>
      </c>
      <c r="I41" s="73">
        <f>12.1*1.016</f>
        <v>12.2936</v>
      </c>
      <c r="J41" s="154">
        <f>67.9*1.016</f>
        <v>68.9864</v>
      </c>
      <c r="K41" s="154"/>
      <c r="L41" s="154"/>
      <c r="M41" s="73"/>
      <c r="N41" s="73"/>
      <c r="O41" s="73"/>
      <c r="P41" s="73">
        <f>1.016*1</f>
        <v>1.016</v>
      </c>
      <c r="Q41" s="73">
        <f>1.016*121.3</f>
        <v>123.2408</v>
      </c>
      <c r="R41" s="73">
        <f>1.016*(20.5+7.6)</f>
        <v>28.5496</v>
      </c>
      <c r="S41" s="104">
        <f t="shared" si="4"/>
        <v>151.7904</v>
      </c>
      <c r="T41" s="98"/>
      <c r="U41" s="9"/>
      <c r="V41" s="9"/>
    </row>
    <row r="42" spans="1:22" s="12" customFormat="1" ht="12.75">
      <c r="A42" s="29">
        <v>1927</v>
      </c>
      <c r="B42" s="73">
        <f>1.016*251.1</f>
        <v>255.1176</v>
      </c>
      <c r="C42" s="73">
        <f>4.4*1.016</f>
        <v>4.470400000000001</v>
      </c>
      <c r="D42" s="73" t="s">
        <v>27</v>
      </c>
      <c r="E42" s="73">
        <f>14.6*1.016</f>
        <v>14.8336</v>
      </c>
      <c r="F42" s="73">
        <f>9*1.016</f>
        <v>9.144</v>
      </c>
      <c r="G42" s="73">
        <f>1.016*18.5</f>
        <v>18.796</v>
      </c>
      <c r="H42" s="73">
        <f>17.4*1.016</f>
        <v>17.6784</v>
      </c>
      <c r="I42" s="73">
        <f>14.3*1.016</f>
        <v>14.5288</v>
      </c>
      <c r="J42" s="154">
        <f>107.4*1.016</f>
        <v>109.11840000000001</v>
      </c>
      <c r="K42" s="154"/>
      <c r="L42" s="154"/>
      <c r="M42" s="73"/>
      <c r="N42" s="73"/>
      <c r="O42" s="73"/>
      <c r="P42" s="73">
        <f>1.016*2.2</f>
        <v>2.2352000000000003</v>
      </c>
      <c r="Q42" s="73">
        <f>1.016*183.4</f>
        <v>186.33440000000002</v>
      </c>
      <c r="R42" s="73">
        <f>1.016*(50.9+16.8)</f>
        <v>68.78320000000001</v>
      </c>
      <c r="S42" s="104">
        <f t="shared" si="4"/>
        <v>255.11760000000004</v>
      </c>
      <c r="T42" s="98"/>
      <c r="U42" s="9"/>
      <c r="V42" s="9"/>
    </row>
    <row r="43" spans="1:22" s="12" customFormat="1" ht="12.75">
      <c r="A43" s="29">
        <v>1928</v>
      </c>
      <c r="B43" s="73">
        <f>1.016*237.9</f>
        <v>241.7064</v>
      </c>
      <c r="C43" s="73">
        <f>4*1.016</f>
        <v>4.064</v>
      </c>
      <c r="D43" s="73" t="s">
        <v>27</v>
      </c>
      <c r="E43" s="73">
        <f>13.5*1.016</f>
        <v>13.716000000000001</v>
      </c>
      <c r="F43" s="73">
        <f>9.3*1.016</f>
        <v>9.4488</v>
      </c>
      <c r="G43" s="73">
        <f>18.3*1.016</f>
        <v>18.5928</v>
      </c>
      <c r="H43" s="73">
        <f>17.4*1.016</f>
        <v>17.6784</v>
      </c>
      <c r="I43" s="73">
        <f>13.8*1.016</f>
        <v>14.020800000000001</v>
      </c>
      <c r="J43" s="154">
        <f>97*1.016</f>
        <v>98.552</v>
      </c>
      <c r="K43" s="154"/>
      <c r="L43" s="154"/>
      <c r="M43" s="73"/>
      <c r="N43" s="73"/>
      <c r="O43" s="73"/>
      <c r="P43" s="73">
        <f>1.016*2</f>
        <v>2.032</v>
      </c>
      <c r="Q43" s="73">
        <f>1.016*171.3</f>
        <v>174.04080000000002</v>
      </c>
      <c r="R43" s="73">
        <f>1.016*(49.9+16.7)</f>
        <v>67.6656</v>
      </c>
      <c r="S43" s="104">
        <f t="shared" si="4"/>
        <v>241.70640000000003</v>
      </c>
      <c r="T43" s="98"/>
      <c r="U43" s="9"/>
      <c r="V43" s="9"/>
    </row>
    <row r="44" spans="1:22" s="12" customFormat="1" ht="12.75">
      <c r="A44" s="29">
        <v>1929</v>
      </c>
      <c r="B44" s="73">
        <f>1.016*258</f>
        <v>262.128</v>
      </c>
      <c r="C44" s="73">
        <f>3.9*1.016</f>
        <v>3.9624</v>
      </c>
      <c r="D44" s="73" t="s">
        <v>27</v>
      </c>
      <c r="E44" s="73">
        <f>13.7*1.016</f>
        <v>13.9192</v>
      </c>
      <c r="F44" s="73">
        <f>9.8*1.016</f>
        <v>9.956800000000001</v>
      </c>
      <c r="G44" s="73">
        <f>18.6*1.016</f>
        <v>18.8976</v>
      </c>
      <c r="H44" s="73">
        <f>20*1.016</f>
        <v>20.32</v>
      </c>
      <c r="I44" s="73">
        <f>14.1*1.016</f>
        <v>14.3256</v>
      </c>
      <c r="J44" s="154">
        <f>103.1*1.016</f>
        <v>104.7496</v>
      </c>
      <c r="K44" s="154"/>
      <c r="L44" s="154"/>
      <c r="M44" s="73"/>
      <c r="N44" s="73"/>
      <c r="O44" s="73"/>
      <c r="P44" s="73">
        <f>1.016*2.2</f>
        <v>2.2352000000000003</v>
      </c>
      <c r="Q44" s="73">
        <f>1.016*181.5</f>
        <v>184.404</v>
      </c>
      <c r="R44" s="73">
        <f>1.016*(60.1+16.4)</f>
        <v>77.724</v>
      </c>
      <c r="S44" s="104">
        <f t="shared" si="4"/>
        <v>262.128</v>
      </c>
      <c r="T44" s="98"/>
      <c r="U44" s="9"/>
      <c r="V44" s="9"/>
    </row>
    <row r="45" spans="1:22" s="12" customFormat="1" ht="12.75">
      <c r="A45" s="29">
        <v>1930</v>
      </c>
      <c r="B45" s="73">
        <f>1.016*242.2</f>
        <v>246.0752</v>
      </c>
      <c r="C45" s="73">
        <f>5.6*1.016</f>
        <v>5.6895999999999995</v>
      </c>
      <c r="D45" s="73" t="s">
        <v>27</v>
      </c>
      <c r="E45" s="73">
        <f>13.5*1.016</f>
        <v>13.716000000000001</v>
      </c>
      <c r="F45" s="73">
        <f>9.7*1.016</f>
        <v>9.8552</v>
      </c>
      <c r="G45" s="73">
        <f>18.4*1.016</f>
        <v>18.694399999999998</v>
      </c>
      <c r="H45" s="73">
        <f>17.2*1.016</f>
        <v>17.4752</v>
      </c>
      <c r="I45" s="73">
        <f>13.6*1.016</f>
        <v>13.8176</v>
      </c>
      <c r="J45" s="154">
        <f>97.4*1.016</f>
        <v>98.95840000000001</v>
      </c>
      <c r="K45" s="154"/>
      <c r="L45" s="154"/>
      <c r="M45" s="73"/>
      <c r="N45" s="73"/>
      <c r="O45" s="73"/>
      <c r="P45" s="73">
        <f>1.016*2.1</f>
        <v>2.1336</v>
      </c>
      <c r="Q45" s="73">
        <f>1.016*171.9</f>
        <v>174.65040000000002</v>
      </c>
      <c r="R45" s="73">
        <f>1.016*(54.7+15.6)</f>
        <v>71.4248</v>
      </c>
      <c r="S45" s="104">
        <f t="shared" si="4"/>
        <v>246.07520000000002</v>
      </c>
      <c r="T45" s="98"/>
      <c r="U45" s="9"/>
      <c r="V45" s="9"/>
    </row>
    <row r="46" spans="1:22" s="12" customFormat="1" ht="12.75">
      <c r="A46" s="29">
        <v>1931</v>
      </c>
      <c r="B46" s="73">
        <f>1.016*216.6</f>
        <v>220.0656</v>
      </c>
      <c r="C46" s="73">
        <f>8.5*1.016</f>
        <v>8.636</v>
      </c>
      <c r="D46" s="73" t="s">
        <v>27</v>
      </c>
      <c r="E46" s="73">
        <f>12.6*1.016</f>
        <v>12.8016</v>
      </c>
      <c r="F46" s="73">
        <f>9.6*1.016</f>
        <v>9.7536</v>
      </c>
      <c r="G46" s="73">
        <f>18.1*1.016</f>
        <v>18.3896</v>
      </c>
      <c r="H46" s="73">
        <f>12.7*1.016</f>
        <v>12.9032</v>
      </c>
      <c r="I46" s="73">
        <f>13*1.016</f>
        <v>13.208</v>
      </c>
      <c r="J46" s="154">
        <f>91.4*1.016</f>
        <v>92.86240000000001</v>
      </c>
      <c r="K46" s="154"/>
      <c r="L46" s="154"/>
      <c r="M46" s="73"/>
      <c r="N46" s="73"/>
      <c r="O46" s="73"/>
      <c r="P46" s="73">
        <f>1.016*2.1</f>
        <v>2.1336</v>
      </c>
      <c r="Q46" s="73">
        <f>1.016*159.5</f>
        <v>162.052</v>
      </c>
      <c r="R46" s="73">
        <f>1.016*(42.5+14.6)</f>
        <v>58.013600000000004</v>
      </c>
      <c r="S46" s="104">
        <f t="shared" si="4"/>
        <v>220.0656</v>
      </c>
      <c r="T46" s="98"/>
      <c r="U46" s="9"/>
      <c r="V46" s="9"/>
    </row>
    <row r="47" spans="1:22" s="12" customFormat="1" ht="12.75">
      <c r="A47" s="29">
        <v>1932</v>
      </c>
      <c r="B47" s="73">
        <f>1.016*209.5</f>
        <v>212.852</v>
      </c>
      <c r="C47" s="73">
        <f>7.7*1.016</f>
        <v>7.8232</v>
      </c>
      <c r="D47" s="73" t="s">
        <v>27</v>
      </c>
      <c r="E47" s="73">
        <f>12*1.016</f>
        <v>12.192</v>
      </c>
      <c r="F47" s="73">
        <f>9.8*1.016</f>
        <v>9.956800000000001</v>
      </c>
      <c r="G47" s="73">
        <f>17.7*1.016</f>
        <v>17.9832</v>
      </c>
      <c r="H47" s="73">
        <f>12.7*1.016</f>
        <v>12.9032</v>
      </c>
      <c r="I47" s="73">
        <f>12.4*1.016</f>
        <v>12.5984</v>
      </c>
      <c r="J47" s="154">
        <f>90*1.016</f>
        <v>91.44</v>
      </c>
      <c r="K47" s="154"/>
      <c r="L47" s="154"/>
      <c r="M47" s="73"/>
      <c r="N47" s="73"/>
      <c r="O47" s="73"/>
      <c r="P47" s="73">
        <f>1.016*2</f>
        <v>2.032</v>
      </c>
      <c r="Q47" s="73">
        <f>1.016*156.6</f>
        <v>159.1056</v>
      </c>
      <c r="R47" s="73">
        <f>1.016*(38.7+14.2)</f>
        <v>53.74640000000001</v>
      </c>
      <c r="S47" s="104">
        <f t="shared" si="4"/>
        <v>212.85200000000003</v>
      </c>
      <c r="T47" s="98"/>
      <c r="U47" s="9"/>
      <c r="V47" s="9"/>
    </row>
    <row r="48" spans="1:22" s="12" customFormat="1" ht="12.75">
      <c r="A48" s="29">
        <v>1933</v>
      </c>
      <c r="B48" s="73">
        <f>1.016*208.7</f>
        <v>212.0392</v>
      </c>
      <c r="C48" s="73">
        <f>6.1*1.016</f>
        <v>6.1975999999999996</v>
      </c>
      <c r="D48" s="73" t="s">
        <v>27</v>
      </c>
      <c r="E48" s="73">
        <f>11.6*1.016</f>
        <v>11.7856</v>
      </c>
      <c r="F48" s="73">
        <f>10.3*1.016</f>
        <v>10.4648</v>
      </c>
      <c r="G48" s="73">
        <f>17.4*1.016</f>
        <v>17.6784</v>
      </c>
      <c r="H48" s="73">
        <f>13.1*1.016</f>
        <v>13.3096</v>
      </c>
      <c r="I48" s="73">
        <f>12.4*1.016</f>
        <v>12.5984</v>
      </c>
      <c r="J48" s="154">
        <f>89.7*1.016</f>
        <v>91.1352</v>
      </c>
      <c r="K48" s="154"/>
      <c r="L48" s="154"/>
      <c r="M48" s="73"/>
      <c r="N48" s="73"/>
      <c r="O48" s="73"/>
      <c r="P48" s="73">
        <f>1.016*2</f>
        <v>2.032</v>
      </c>
      <c r="Q48" s="73">
        <f>1.016*156.5</f>
        <v>159.004</v>
      </c>
      <c r="R48" s="73">
        <f>1.016*(38.8+13.4)</f>
        <v>53.035199999999996</v>
      </c>
      <c r="S48" s="104">
        <f t="shared" si="4"/>
        <v>212.0392</v>
      </c>
      <c r="T48" s="98"/>
      <c r="U48" s="9"/>
      <c r="V48" s="9"/>
    </row>
    <row r="49" spans="1:22" s="12" customFormat="1" ht="12.75">
      <c r="A49" s="29">
        <v>1934</v>
      </c>
      <c r="B49" s="73">
        <f>1.016*220.7</f>
        <v>224.2312</v>
      </c>
      <c r="C49" s="73">
        <f>6.1*1.016</f>
        <v>6.1975999999999996</v>
      </c>
      <c r="D49" s="73" t="s">
        <v>27</v>
      </c>
      <c r="E49" s="73">
        <f>11.7*1.016</f>
        <v>11.8872</v>
      </c>
      <c r="F49" s="73">
        <f>11.2*1.016</f>
        <v>11.379199999999999</v>
      </c>
      <c r="G49" s="73">
        <f>17.9*1.016</f>
        <v>18.1864</v>
      </c>
      <c r="H49" s="73">
        <f>16.9*1.016</f>
        <v>17.170399999999997</v>
      </c>
      <c r="I49" s="73">
        <f>12.9*1.016</f>
        <v>13.1064</v>
      </c>
      <c r="J49" s="154">
        <f>95.1*1.016</f>
        <v>96.6216</v>
      </c>
      <c r="K49" s="154"/>
      <c r="L49" s="154"/>
      <c r="M49" s="73"/>
      <c r="N49" s="73"/>
      <c r="O49" s="73"/>
      <c r="P49" s="73">
        <f>1.016*2.1</f>
        <v>2.1336</v>
      </c>
      <c r="Q49" s="73">
        <f>1.016*167.8</f>
        <v>170.4848</v>
      </c>
      <c r="R49" s="73">
        <f>1.016*(39.4+13.5)</f>
        <v>53.7464</v>
      </c>
      <c r="S49" s="104">
        <f t="shared" si="4"/>
        <v>224.2312</v>
      </c>
      <c r="T49" s="98"/>
      <c r="U49" s="9"/>
      <c r="V49" s="9"/>
    </row>
    <row r="50" spans="1:22" s="12" customFormat="1" ht="12.75">
      <c r="A50" s="29">
        <v>1935</v>
      </c>
      <c r="B50" s="73">
        <f>1.016*223.8</f>
        <v>227.38080000000002</v>
      </c>
      <c r="C50" s="73">
        <f>1.016*4.5</f>
        <v>4.572</v>
      </c>
      <c r="D50" s="73" t="s">
        <v>27</v>
      </c>
      <c r="E50" s="73">
        <f>11.6*1.016</f>
        <v>11.7856</v>
      </c>
      <c r="F50" s="73">
        <f>12.2*1.016</f>
        <v>12.395199999999999</v>
      </c>
      <c r="G50" s="73">
        <f>18*1.016</f>
        <v>18.288</v>
      </c>
      <c r="H50" s="73">
        <f>17.4*1.016</f>
        <v>17.6784</v>
      </c>
      <c r="I50" s="73">
        <f>13*1.016</f>
        <v>13.208</v>
      </c>
      <c r="J50" s="154">
        <f>98.5*1.016</f>
        <v>100.07600000000001</v>
      </c>
      <c r="K50" s="154"/>
      <c r="L50" s="154"/>
      <c r="M50" s="73"/>
      <c r="N50" s="73"/>
      <c r="O50" s="73"/>
      <c r="P50" s="73">
        <f>1.016*2.2</f>
        <v>2.2352000000000003</v>
      </c>
      <c r="Q50" s="73">
        <f>1.016*172.9</f>
        <v>175.6664</v>
      </c>
      <c r="R50" s="73">
        <f>1.016*(38.4+12.5)</f>
        <v>51.7144</v>
      </c>
      <c r="S50" s="104">
        <f t="shared" si="4"/>
        <v>227.38080000000002</v>
      </c>
      <c r="T50" s="98"/>
      <c r="U50" s="9"/>
      <c r="V50" s="9"/>
    </row>
    <row r="51" spans="1:22" s="12" customFormat="1" ht="12.75">
      <c r="A51" s="29">
        <v>1936</v>
      </c>
      <c r="B51" s="73">
        <f>1.016*228.5</f>
        <v>232.156</v>
      </c>
      <c r="C51" s="73">
        <f>1.016*4.4</f>
        <v>4.470400000000001</v>
      </c>
      <c r="D51" s="73" t="s">
        <v>27</v>
      </c>
      <c r="E51" s="73">
        <f>11.8*1.016</f>
        <v>11.988800000000001</v>
      </c>
      <c r="F51" s="73">
        <f>13.6*1.016</f>
        <v>13.8176</v>
      </c>
      <c r="G51" s="73">
        <f>19.1*1.016</f>
        <v>19.405600000000003</v>
      </c>
      <c r="H51" s="73">
        <f>20.1*1.016</f>
        <v>20.4216</v>
      </c>
      <c r="I51" s="73">
        <f>13.5*1.016</f>
        <v>13.716000000000001</v>
      </c>
      <c r="J51" s="154">
        <f>101.8*1.016</f>
        <v>103.4288</v>
      </c>
      <c r="K51" s="154"/>
      <c r="L51" s="154"/>
      <c r="M51" s="73"/>
      <c r="N51" s="73"/>
      <c r="O51" s="73"/>
      <c r="P51" s="73">
        <f>1.016*2.3</f>
        <v>2.3367999999999998</v>
      </c>
      <c r="Q51" s="73">
        <f>1.016*182.2</f>
        <v>185.1152</v>
      </c>
      <c r="R51" s="73">
        <f>1.016*(34.3+12)</f>
        <v>47.0408</v>
      </c>
      <c r="S51" s="104">
        <f t="shared" si="4"/>
        <v>232.15599999999998</v>
      </c>
      <c r="T51" s="98"/>
      <c r="U51" s="9"/>
      <c r="V51" s="9"/>
    </row>
    <row r="52" spans="1:22" s="12" customFormat="1" ht="12.75">
      <c r="A52" s="29">
        <v>1937</v>
      </c>
      <c r="B52" s="73">
        <f>1.016*240.9</f>
        <v>244.7544</v>
      </c>
      <c r="C52" s="73">
        <f>1.016*3.9</f>
        <v>3.9624</v>
      </c>
      <c r="D52" s="73" t="s">
        <v>27</v>
      </c>
      <c r="E52" s="73">
        <f>12.2*1.016</f>
        <v>12.395199999999999</v>
      </c>
      <c r="F52" s="73">
        <f>14.8*1.016</f>
        <v>15.036800000000001</v>
      </c>
      <c r="G52" s="73">
        <f>19.4*1.016</f>
        <v>19.7104</v>
      </c>
      <c r="H52" s="73">
        <f>21.9*1.016</f>
        <v>22.2504</v>
      </c>
      <c r="I52" s="73">
        <f>13.8*1.016</f>
        <v>14.020800000000001</v>
      </c>
      <c r="J52" s="154">
        <f>104.7*1.016</f>
        <v>106.3752</v>
      </c>
      <c r="K52" s="154"/>
      <c r="L52" s="154"/>
      <c r="M52" s="73"/>
      <c r="N52" s="73"/>
      <c r="O52" s="73"/>
      <c r="P52" s="73">
        <f>1.016*2.3</f>
        <v>2.3367999999999998</v>
      </c>
      <c r="Q52" s="73">
        <f>1.016*189.1</f>
        <v>192.1256</v>
      </c>
      <c r="R52" s="73">
        <f>1.016*(40.1+11.7)</f>
        <v>52.6288</v>
      </c>
      <c r="S52" s="104">
        <f t="shared" si="4"/>
        <v>244.75439999999998</v>
      </c>
      <c r="T52" s="98"/>
      <c r="U52" s="9"/>
      <c r="V52" s="9"/>
    </row>
    <row r="53" spans="1:22" s="12" customFormat="1" ht="12.75">
      <c r="A53" s="29">
        <v>1938</v>
      </c>
      <c r="B53" s="73">
        <f>1.016*224.1</f>
        <v>227.6856</v>
      </c>
      <c r="C53" s="73">
        <f>1.016*6.8</f>
        <v>6.9088</v>
      </c>
      <c r="D53" s="73" t="s">
        <v>27</v>
      </c>
      <c r="E53" s="73">
        <f>11.9*1.016</f>
        <v>12.0904</v>
      </c>
      <c r="F53" s="73">
        <f>14.9*1.016</f>
        <v>15.1384</v>
      </c>
      <c r="G53" s="73">
        <f>19.1*1.016</f>
        <v>19.405600000000003</v>
      </c>
      <c r="H53" s="73">
        <f>19.1*1.016</f>
        <v>19.405600000000003</v>
      </c>
      <c r="I53" s="73">
        <f>13.2*1.016</f>
        <v>13.4112</v>
      </c>
      <c r="J53" s="154">
        <f>97.6*1.016</f>
        <v>99.16159999999999</v>
      </c>
      <c r="K53" s="154"/>
      <c r="L53" s="154"/>
      <c r="M53" s="73"/>
      <c r="N53" s="73"/>
      <c r="O53" s="73"/>
      <c r="P53" s="73">
        <f>1.016*2.2</f>
        <v>2.2352000000000003</v>
      </c>
      <c r="Q53" s="73">
        <f>1.016*178</f>
        <v>180.848</v>
      </c>
      <c r="R53" s="73">
        <f>1.016*(35.6+10.5)</f>
        <v>46.8376</v>
      </c>
      <c r="S53" s="104">
        <f t="shared" si="4"/>
        <v>227.68560000000002</v>
      </c>
      <c r="T53" s="98"/>
      <c r="U53" s="9"/>
      <c r="V53" s="9"/>
    </row>
    <row r="54" spans="1:22" s="12" customFormat="1" ht="12.75">
      <c r="A54" s="29">
        <v>1939</v>
      </c>
      <c r="B54" s="73">
        <f>1.016*232.9</f>
        <v>236.62640000000002</v>
      </c>
      <c r="C54" s="73">
        <f>1.016*5.2</f>
        <v>5.2832</v>
      </c>
      <c r="D54" s="73" t="s">
        <v>27</v>
      </c>
      <c r="E54" s="73">
        <f>12.1*1.016</f>
        <v>12.2936</v>
      </c>
      <c r="F54" s="73">
        <f>15.9*1.016</f>
        <v>16.1544</v>
      </c>
      <c r="G54" s="73">
        <f>18.9*1.016</f>
        <v>19.202399999999997</v>
      </c>
      <c r="H54" s="73">
        <f>20.4*1.016</f>
        <v>20.726399999999998</v>
      </c>
      <c r="I54" s="73">
        <f>12.9*1.016</f>
        <v>13.1064</v>
      </c>
      <c r="J54" s="154">
        <f>104*1.016</f>
        <v>105.664</v>
      </c>
      <c r="K54" s="154"/>
      <c r="L54" s="154"/>
      <c r="M54" s="73"/>
      <c r="N54" s="73"/>
      <c r="O54" s="73"/>
      <c r="P54" s="73">
        <f>1.016*2.4</f>
        <v>2.4384</v>
      </c>
      <c r="Q54" s="73">
        <f>1.016*186.6</f>
        <v>189.5856</v>
      </c>
      <c r="R54" s="73">
        <f>1.016*(36.7+9.6)</f>
        <v>47.040800000000004</v>
      </c>
      <c r="S54" s="104">
        <f t="shared" si="4"/>
        <v>236.6264</v>
      </c>
      <c r="T54" s="98"/>
      <c r="U54" s="9"/>
      <c r="V54" s="9"/>
    </row>
    <row r="55" spans="1:22" s="12" customFormat="1" ht="12.75">
      <c r="A55" s="29">
        <v>1940</v>
      </c>
      <c r="B55" s="73">
        <f>1.016*225</f>
        <v>228.6</v>
      </c>
      <c r="C55" s="73">
        <f>1.016*4.5</f>
        <v>4.572</v>
      </c>
      <c r="D55" s="73" t="s">
        <v>27</v>
      </c>
      <c r="E55" s="73">
        <f>12.3*1.016</f>
        <v>12.4968</v>
      </c>
      <c r="F55" s="73">
        <f>18.1*1.016</f>
        <v>18.3896</v>
      </c>
      <c r="G55" s="73">
        <f>17.8*1.016</f>
        <v>18.0848</v>
      </c>
      <c r="H55" s="73">
        <f>22.3*1.016</f>
        <v>22.6568</v>
      </c>
      <c r="I55" s="73">
        <f>13.5*1.016</f>
        <v>13.716000000000001</v>
      </c>
      <c r="J55" s="154">
        <f>109.3*1.016</f>
        <v>111.0488</v>
      </c>
      <c r="K55" s="154"/>
      <c r="L55" s="154"/>
      <c r="M55" s="73"/>
      <c r="N55" s="73"/>
      <c r="O55" s="73"/>
      <c r="P55" s="73">
        <f>1.016*2.5</f>
        <v>2.54</v>
      </c>
      <c r="Q55" s="73">
        <f>1.016*195.8</f>
        <v>198.93280000000001</v>
      </c>
      <c r="R55" s="73">
        <f>1.016*(19.5+7)</f>
        <v>26.924</v>
      </c>
      <c r="S55" s="104">
        <f t="shared" si="4"/>
        <v>225.85680000000002</v>
      </c>
      <c r="T55" s="98"/>
      <c r="U55" s="9"/>
      <c r="V55" s="9"/>
    </row>
    <row r="56" spans="1:22" s="12" customFormat="1" ht="12.75">
      <c r="A56" s="29">
        <v>1941</v>
      </c>
      <c r="B56" s="73">
        <f>1.016*207.4</f>
        <v>210.7184</v>
      </c>
      <c r="C56" s="73">
        <f>1.016*3.3</f>
        <v>3.3528</v>
      </c>
      <c r="D56" s="73" t="s">
        <v>27</v>
      </c>
      <c r="E56" s="73">
        <f>12.1*1.016</f>
        <v>12.2936</v>
      </c>
      <c r="F56" s="73">
        <f>20.4*1.016</f>
        <v>20.726399999999998</v>
      </c>
      <c r="G56" s="73">
        <f>19.1*1.016</f>
        <v>19.405600000000003</v>
      </c>
      <c r="H56" s="73">
        <f>21.1*1.016</f>
        <v>21.437600000000003</v>
      </c>
      <c r="I56" s="73">
        <f>13.8*1.016</f>
        <v>14.020800000000001</v>
      </c>
      <c r="J56" s="154">
        <f>107.6*1.016</f>
        <v>109.32159999999999</v>
      </c>
      <c r="K56" s="154"/>
      <c r="L56" s="154"/>
      <c r="M56" s="73"/>
      <c r="N56" s="73"/>
      <c r="O56" s="73"/>
      <c r="P56" s="73">
        <f>1.016*2.5</f>
        <v>2.54</v>
      </c>
      <c r="Q56" s="73">
        <f>1.016*196.6</f>
        <v>199.7456</v>
      </c>
      <c r="R56" s="73">
        <f>1.016*(5.1+4.3)</f>
        <v>9.550399999999998</v>
      </c>
      <c r="S56" s="104">
        <f t="shared" si="4"/>
        <v>209.296</v>
      </c>
      <c r="T56" s="98"/>
      <c r="U56" s="9"/>
      <c r="V56" s="9"/>
    </row>
    <row r="57" spans="1:22" s="12" customFormat="1" ht="12.75">
      <c r="A57" s="75" t="s">
        <v>241</v>
      </c>
      <c r="B57" s="73">
        <f>1.016*205.1</f>
        <v>208.3816</v>
      </c>
      <c r="C57" s="73">
        <f>1.016*3.2</f>
        <v>3.2512000000000003</v>
      </c>
      <c r="D57" s="73" t="s">
        <v>27</v>
      </c>
      <c r="E57" s="73">
        <f>12*1.016</f>
        <v>12.192</v>
      </c>
      <c r="F57" s="73">
        <f>22.3*1.016</f>
        <v>22.6568</v>
      </c>
      <c r="G57" s="73">
        <f>20.7*1.016</f>
        <v>21.0312</v>
      </c>
      <c r="H57" s="73">
        <f>21.6*1.016</f>
        <v>21.945600000000002</v>
      </c>
      <c r="I57" s="73">
        <f>14.5*1.016</f>
        <v>14.732</v>
      </c>
      <c r="J57" s="154">
        <f>103.9*1.016</f>
        <v>105.56240000000001</v>
      </c>
      <c r="K57" s="154"/>
      <c r="L57" s="154"/>
      <c r="M57" s="73"/>
      <c r="N57" s="73"/>
      <c r="O57" s="73"/>
      <c r="P57" s="73">
        <f>1.016*2.4</f>
        <v>2.4384</v>
      </c>
      <c r="Q57" s="73">
        <f>1.016*197.4</f>
        <v>200.5584</v>
      </c>
      <c r="R57" s="73">
        <f>1.016*(4.3+3.5)</f>
        <v>7.9248</v>
      </c>
      <c r="S57" s="104">
        <f t="shared" si="4"/>
        <v>208.4832</v>
      </c>
      <c r="T57" s="98"/>
      <c r="U57" s="9"/>
      <c r="V57" s="9"/>
    </row>
    <row r="58" spans="1:22" s="12" customFormat="1" ht="12.75">
      <c r="A58" s="75" t="s">
        <v>242</v>
      </c>
      <c r="B58" s="73">
        <v>197.4</v>
      </c>
      <c r="C58" s="73">
        <f>1.016*4.7</f>
        <v>4.7752</v>
      </c>
      <c r="D58" s="73">
        <f>(17575*1.016)/1000</f>
        <v>17.8562</v>
      </c>
      <c r="E58" s="73">
        <f>11.6*1.016</f>
        <v>11.7856</v>
      </c>
      <c r="F58" s="73">
        <f>22.6*1.016</f>
        <v>22.9616</v>
      </c>
      <c r="G58" s="73">
        <f>20.8*1.016</f>
        <v>21.1328</v>
      </c>
      <c r="H58" s="73">
        <f>(20.9+0.677)*1.016</f>
        <v>21.922231999999997</v>
      </c>
      <c r="I58" s="73">
        <f>14.8*1.016</f>
        <v>15.036800000000001</v>
      </c>
      <c r="J58" s="73">
        <f>1.016*42.4</f>
        <v>43.0784</v>
      </c>
      <c r="K58" s="73">
        <f>1.016*39</f>
        <v>39.624</v>
      </c>
      <c r="L58" s="104">
        <f>Q58-SUM(E58:K58)-P58</f>
        <v>15.263368000000025</v>
      </c>
      <c r="M58" s="73"/>
      <c r="N58" s="73"/>
      <c r="O58" s="73"/>
      <c r="P58" s="73">
        <f>1.016*2.6</f>
        <v>2.6416</v>
      </c>
      <c r="Q58" s="73">
        <f>1.016*190.4</f>
        <v>193.4464</v>
      </c>
      <c r="R58" s="73">
        <f>1.016*(4.8+3.2)</f>
        <v>8.128</v>
      </c>
      <c r="S58" s="104">
        <f t="shared" si="4"/>
        <v>201.57440000000003</v>
      </c>
      <c r="T58" s="98"/>
      <c r="U58" s="9"/>
      <c r="V58" s="9"/>
    </row>
    <row r="59" spans="1:22" s="12" customFormat="1" ht="12.75">
      <c r="A59" s="75" t="s">
        <v>243</v>
      </c>
      <c r="B59" s="73">
        <f>1.016*191.8</f>
        <v>194.86880000000002</v>
      </c>
      <c r="C59" s="73">
        <f>1.016*5</f>
        <v>5.08</v>
      </c>
      <c r="D59" s="73">
        <f>(16031*1.016)/1000</f>
        <v>16.287496</v>
      </c>
      <c r="E59" s="73">
        <f>11.1*1.016</f>
        <v>11.2776</v>
      </c>
      <c r="F59" s="73">
        <f>24.1*1.016</f>
        <v>24.4856</v>
      </c>
      <c r="G59" s="73">
        <f>20.7*1.016</f>
        <v>21.0312</v>
      </c>
      <c r="H59" s="73">
        <f>(20.1+0.809)*1.016</f>
        <v>21.243544000000004</v>
      </c>
      <c r="I59" s="73">
        <f>15*1.016</f>
        <v>15.24</v>
      </c>
      <c r="J59" s="73">
        <f>1.016*39.6</f>
        <v>40.2336</v>
      </c>
      <c r="K59" s="73">
        <f>1.016*37</f>
        <v>37.592</v>
      </c>
      <c r="L59" s="104">
        <f aca="true" t="shared" si="5" ref="L59:L74">Q59-SUM(E59:K59)-P59</f>
        <v>16.65325600000002</v>
      </c>
      <c r="M59" s="73"/>
      <c r="N59" s="73"/>
      <c r="O59" s="73"/>
      <c r="P59" s="73">
        <f>1.016*2.5</f>
        <v>2.54</v>
      </c>
      <c r="Q59" s="73">
        <f>1.016*187.3</f>
        <v>190.29680000000002</v>
      </c>
      <c r="R59" s="73">
        <f>1.016*(3.7+2.4)</f>
        <v>6.1975999999999996</v>
      </c>
      <c r="S59" s="104">
        <f t="shared" si="4"/>
        <v>196.4944</v>
      </c>
      <c r="T59" s="98"/>
      <c r="U59" s="9"/>
      <c r="V59" s="9"/>
    </row>
    <row r="60" spans="1:22" s="12" customFormat="1" ht="12.75">
      <c r="A60" s="75" t="s">
        <v>244</v>
      </c>
      <c r="B60" s="73">
        <f>1.016*184.3</f>
        <v>187.24880000000002</v>
      </c>
      <c r="C60" s="73">
        <f>1.016*2.9</f>
        <v>2.9464</v>
      </c>
      <c r="D60" s="73">
        <f>(12444*1.016)/1000</f>
        <v>12.643104</v>
      </c>
      <c r="E60" s="73">
        <f>10.5*1.016</f>
        <v>10.668</v>
      </c>
      <c r="F60" s="73">
        <f>23.5*1.016</f>
        <v>23.876</v>
      </c>
      <c r="G60" s="73">
        <f>21*1.016</f>
        <v>21.336</v>
      </c>
      <c r="H60" s="73">
        <f>(20.1+0.922)*1.016</f>
        <v>21.358352000000004</v>
      </c>
      <c r="I60" s="73">
        <f>14.6*1.016</f>
        <v>14.8336</v>
      </c>
      <c r="J60" s="73">
        <f>1.016*36.4</f>
        <v>36.9824</v>
      </c>
      <c r="K60" s="73">
        <f>1.016*35</f>
        <v>35.56</v>
      </c>
      <c r="L60" s="104">
        <f t="shared" si="5"/>
        <v>15.116048</v>
      </c>
      <c r="M60" s="73"/>
      <c r="N60" s="73"/>
      <c r="O60" s="73"/>
      <c r="P60" s="73">
        <f>1.016*2.5</f>
        <v>2.54</v>
      </c>
      <c r="Q60" s="73">
        <f>1.016*179.4</f>
        <v>182.2704</v>
      </c>
      <c r="R60" s="73">
        <f>1.016*(5.5+3.1)</f>
        <v>8.7376</v>
      </c>
      <c r="S60" s="104">
        <f t="shared" si="4"/>
        <v>191.00799999999998</v>
      </c>
      <c r="T60" s="98"/>
      <c r="U60" s="9"/>
      <c r="V60" s="9"/>
    </row>
    <row r="61" spans="1:22" s="12" customFormat="1" ht="12.75">
      <c r="A61" s="75" t="s">
        <v>245</v>
      </c>
      <c r="B61" s="73">
        <f>1.016*191.1</f>
        <v>194.1576</v>
      </c>
      <c r="C61" s="73">
        <f>1.016*1.8</f>
        <v>1.8288</v>
      </c>
      <c r="D61" s="73">
        <f>(8466*1.016)/1000</f>
        <v>8.601456</v>
      </c>
      <c r="E61" s="73">
        <f>10.6*1.016</f>
        <v>10.7696</v>
      </c>
      <c r="F61" s="73">
        <f>26.2*1.016</f>
        <v>26.6192</v>
      </c>
      <c r="G61" s="73">
        <f>22.7*1.016</f>
        <v>23.0632</v>
      </c>
      <c r="H61" s="73">
        <f>(20.1+1.432)*1.016</f>
        <v>21.876512</v>
      </c>
      <c r="I61" s="73">
        <f>14.8*1.016</f>
        <v>15.036800000000001</v>
      </c>
      <c r="J61" s="73">
        <f>1.016*35.3</f>
        <v>35.864799999999995</v>
      </c>
      <c r="K61" s="73">
        <f>1.016*38</f>
        <v>38.608000000000004</v>
      </c>
      <c r="L61" s="104">
        <f t="shared" si="5"/>
        <v>14.902688000000033</v>
      </c>
      <c r="M61" s="73"/>
      <c r="N61" s="73"/>
      <c r="O61" s="73"/>
      <c r="P61" s="73">
        <f>1.016*2.5</f>
        <v>2.54</v>
      </c>
      <c r="Q61" s="73">
        <f>1.016*186.3</f>
        <v>189.28080000000003</v>
      </c>
      <c r="R61" s="73">
        <f>1.016*(4.1+4.7)</f>
        <v>8.940800000000001</v>
      </c>
      <c r="S61" s="104">
        <f t="shared" si="4"/>
        <v>198.22160000000002</v>
      </c>
      <c r="T61" s="98"/>
      <c r="U61" s="9"/>
      <c r="V61" s="9"/>
    </row>
    <row r="62" spans="1:22" s="12" customFormat="1" ht="12.75">
      <c r="A62" s="75" t="s">
        <v>246</v>
      </c>
      <c r="B62" s="73">
        <f>1.016*198.3</f>
        <v>201.4728</v>
      </c>
      <c r="C62" s="73">
        <f>1.016*1.4</f>
        <v>1.4223999999999999</v>
      </c>
      <c r="D62" s="73">
        <f>(16535*1.016)/1000</f>
        <v>16.79956</v>
      </c>
      <c r="E62" s="73">
        <f>11*1.016</f>
        <v>11.176</v>
      </c>
      <c r="F62" s="73">
        <f>27.1*1.016</f>
        <v>27.533600000000003</v>
      </c>
      <c r="G62" s="73">
        <f>22.7*1.016</f>
        <v>23.0632</v>
      </c>
      <c r="H62" s="73">
        <f>(19.8+1.705)*1.016</f>
        <v>21.849080000000004</v>
      </c>
      <c r="I62" s="73">
        <f>14.3*1.016</f>
        <v>14.5288</v>
      </c>
      <c r="J62" s="73">
        <f>1.016*35.8</f>
        <v>36.3728</v>
      </c>
      <c r="K62" s="73">
        <f>1.016*36</f>
        <v>36.576</v>
      </c>
      <c r="L62" s="104">
        <f t="shared" si="5"/>
        <v>13.81252</v>
      </c>
      <c r="M62" s="73"/>
      <c r="N62" s="73"/>
      <c r="O62" s="73"/>
      <c r="P62" s="73">
        <f>1.016*2.5</f>
        <v>2.54</v>
      </c>
      <c r="Q62" s="73">
        <f>1.016*184.5</f>
        <v>187.452</v>
      </c>
      <c r="R62" s="73">
        <f>1.016*(0.9+4.4)</f>
        <v>5.384800000000001</v>
      </c>
      <c r="S62" s="104">
        <f t="shared" si="4"/>
        <v>192.8368</v>
      </c>
      <c r="T62" s="98"/>
      <c r="U62" s="9"/>
      <c r="V62" s="9"/>
    </row>
    <row r="63" spans="1:22" s="12" customFormat="1" ht="12.75">
      <c r="A63" s="75" t="s">
        <v>247</v>
      </c>
      <c r="B63" s="73">
        <f>1.016*207.9</f>
        <v>211.2264</v>
      </c>
      <c r="C63" s="73">
        <f>1.016*2.6</f>
        <v>2.6416</v>
      </c>
      <c r="D63" s="73">
        <f>(14427*1.016)/1000</f>
        <v>14.657832</v>
      </c>
      <c r="E63" s="73">
        <f>11.2*1.016</f>
        <v>11.379199999999999</v>
      </c>
      <c r="F63" s="73">
        <f>28.8*1.016</f>
        <v>29.2608</v>
      </c>
      <c r="G63" s="73">
        <f>24.6*1.016</f>
        <v>24.9936</v>
      </c>
      <c r="H63" s="73">
        <f>(22.3+1.383)*1.016</f>
        <v>24.061928</v>
      </c>
      <c r="I63" s="73">
        <f>14.3*1.016</f>
        <v>14.5288</v>
      </c>
      <c r="J63" s="73">
        <f>1.016*36.4</f>
        <v>36.9824</v>
      </c>
      <c r="K63" s="73">
        <f>1.016*38</f>
        <v>38.608000000000004</v>
      </c>
      <c r="L63" s="104">
        <f t="shared" si="5"/>
        <v>14.749271999999992</v>
      </c>
      <c r="M63" s="73"/>
      <c r="N63" s="73"/>
      <c r="O63" s="73"/>
      <c r="P63" s="73">
        <f>1.016*2.4</f>
        <v>2.4384</v>
      </c>
      <c r="Q63" s="73">
        <f>1.016*193.9</f>
        <v>197.0024</v>
      </c>
      <c r="R63" s="73">
        <f>1.016*(10.7+5.4)</f>
        <v>16.3576</v>
      </c>
      <c r="S63" s="104">
        <f t="shared" si="4"/>
        <v>213.35999999999999</v>
      </c>
      <c r="T63" s="98"/>
      <c r="U63" s="9"/>
      <c r="V63" s="9"/>
    </row>
    <row r="64" spans="1:22" s="12" customFormat="1" ht="12.75">
      <c r="A64" s="75" t="s">
        <v>248</v>
      </c>
      <c r="B64" s="73">
        <f>1.016*214.8</f>
        <v>218.23680000000002</v>
      </c>
      <c r="C64" s="73">
        <f>1.016*2.6</f>
        <v>2.6416</v>
      </c>
      <c r="D64" s="73">
        <f>(14708*1.016)/1000</f>
        <v>14.943328</v>
      </c>
      <c r="E64" s="73">
        <f>10.8*1.016</f>
        <v>10.972800000000001</v>
      </c>
      <c r="F64" s="73">
        <f>30*1.016</f>
        <v>30.48</v>
      </c>
      <c r="G64" s="73">
        <f>25.3*1.016</f>
        <v>25.704800000000002</v>
      </c>
      <c r="H64" s="73">
        <f>(22.6+1.434)*1.016</f>
        <v>24.418544000000004</v>
      </c>
      <c r="I64" s="73">
        <f>14.4*1.016</f>
        <v>14.6304</v>
      </c>
      <c r="J64" s="73">
        <f>1.016*36</f>
        <v>36.576</v>
      </c>
      <c r="K64" s="73">
        <f>1.016*38.3</f>
        <v>38.9128</v>
      </c>
      <c r="L64" s="104">
        <f t="shared" si="5"/>
        <v>14.69745600000001</v>
      </c>
      <c r="M64" s="73"/>
      <c r="N64" s="73"/>
      <c r="O64" s="73"/>
      <c r="P64" s="73">
        <f>1.016*2.5</f>
        <v>2.54</v>
      </c>
      <c r="Q64" s="73">
        <f>1.016*195.8</f>
        <v>198.93280000000001</v>
      </c>
      <c r="R64" s="73">
        <f>1.016*(14.1+5.1)</f>
        <v>19.5072</v>
      </c>
      <c r="S64" s="104">
        <f t="shared" si="4"/>
        <v>218.44000000000003</v>
      </c>
      <c r="T64" s="98"/>
      <c r="U64" s="9"/>
      <c r="V64" s="9"/>
    </row>
    <row r="65" spans="1:22" s="12" customFormat="1" ht="12.75">
      <c r="A65" s="75" t="s">
        <v>249</v>
      </c>
      <c r="B65" s="73">
        <f>1.016*216.9</f>
        <v>220.37040000000002</v>
      </c>
      <c r="C65" s="73">
        <f>((373+1308)*1.016)/1000</f>
        <v>1.7078959999999999</v>
      </c>
      <c r="D65" s="73">
        <f>(12423*1.016)/1000</f>
        <v>12.621768</v>
      </c>
      <c r="E65" s="73">
        <f>10.7*1.016</f>
        <v>10.8712</v>
      </c>
      <c r="F65" s="73">
        <f>32.9*1.016</f>
        <v>33.4264</v>
      </c>
      <c r="G65" s="73">
        <f>26.2*1.016</f>
        <v>26.6192</v>
      </c>
      <c r="H65" s="73">
        <f>(22.6+1.335)*1.016</f>
        <v>24.317960000000003</v>
      </c>
      <c r="I65" s="73">
        <f>14.2*1.016</f>
        <v>14.4272</v>
      </c>
      <c r="J65" s="73">
        <f>1.016*37.3</f>
        <v>37.8968</v>
      </c>
      <c r="K65" s="73">
        <f>1.016*40.1</f>
        <v>40.741600000000005</v>
      </c>
      <c r="L65" s="104">
        <f t="shared" si="5"/>
        <v>14.899639999999987</v>
      </c>
      <c r="M65" s="73"/>
      <c r="N65" s="73"/>
      <c r="O65" s="73"/>
      <c r="P65" s="73">
        <f>1.016*2.6</f>
        <v>2.6416</v>
      </c>
      <c r="Q65" s="73">
        <f>1.016*202.6</f>
        <v>205.8416</v>
      </c>
      <c r="R65" s="73">
        <f>1.016*(12.9+4)</f>
        <v>17.170399999999997</v>
      </c>
      <c r="S65" s="104">
        <f t="shared" si="4"/>
        <v>223.012</v>
      </c>
      <c r="T65" s="98"/>
      <c r="U65" s="9"/>
      <c r="V65" s="9"/>
    </row>
    <row r="66" spans="1:22" s="12" customFormat="1" ht="12.75">
      <c r="A66" s="75" t="s">
        <v>250</v>
      </c>
      <c r="B66" s="73">
        <f>1.016*224</f>
        <v>227.584</v>
      </c>
      <c r="C66" s="73">
        <f>((352+1078)*1.016)/1000</f>
        <v>1.4528800000000002</v>
      </c>
      <c r="D66" s="73">
        <f>(16234*1.016)/1000</f>
        <v>16.493744</v>
      </c>
      <c r="E66" s="73">
        <f>10.6*1.016</f>
        <v>10.7696</v>
      </c>
      <c r="F66" s="73">
        <f>35.4*1.016</f>
        <v>35.9664</v>
      </c>
      <c r="G66" s="73">
        <f>27.4*1.016</f>
        <v>27.8384</v>
      </c>
      <c r="H66" s="73">
        <f>(23.4+1.647)*1.016</f>
        <v>25.447751999999998</v>
      </c>
      <c r="I66" s="73">
        <f>14.1*1.016</f>
        <v>14.3256</v>
      </c>
      <c r="J66" s="73">
        <f>1.016*37.1</f>
        <v>37.6936</v>
      </c>
      <c r="K66" s="73">
        <f>1.016*40.9</f>
        <v>41.5544</v>
      </c>
      <c r="L66" s="104">
        <f t="shared" si="5"/>
        <v>14.684248000000018</v>
      </c>
      <c r="M66" s="73"/>
      <c r="N66" s="73"/>
      <c r="O66" s="73"/>
      <c r="P66" s="73">
        <f>1.016*2.8</f>
        <v>2.8447999999999998</v>
      </c>
      <c r="Q66" s="73">
        <f>1.016*207.8</f>
        <v>211.12480000000002</v>
      </c>
      <c r="R66" s="73">
        <f>1.016*(7.7+3.7)</f>
        <v>11.5824</v>
      </c>
      <c r="S66" s="104">
        <f t="shared" si="4"/>
        <v>222.70720000000003</v>
      </c>
      <c r="T66" s="98"/>
      <c r="U66" s="9"/>
      <c r="V66" s="9"/>
    </row>
    <row r="67" spans="1:22" s="12" customFormat="1" ht="12.75">
      <c r="A67" s="75" t="s">
        <v>251</v>
      </c>
      <c r="B67" s="73">
        <f>1.016*222</f>
        <v>225.552</v>
      </c>
      <c r="C67" s="73">
        <f>((3071+1477)*1.016)/1000</f>
        <v>4.620768</v>
      </c>
      <c r="D67" s="73">
        <f>(16124*1.016)/1000</f>
        <v>16.381984</v>
      </c>
      <c r="E67" s="73">
        <f>10.3*1.016</f>
        <v>10.4648</v>
      </c>
      <c r="F67" s="73">
        <f>35.5*1.016</f>
        <v>36.068</v>
      </c>
      <c r="G67" s="73">
        <f>27.7*1.016</f>
        <v>28.1432</v>
      </c>
      <c r="H67" s="73">
        <f>(25.1+1.693)*1.016</f>
        <v>27.221688000000004</v>
      </c>
      <c r="I67" s="73">
        <f>13.9*1.016</f>
        <v>14.1224</v>
      </c>
      <c r="J67" s="73">
        <f>1.016*36.8</f>
        <v>37.388799999999996</v>
      </c>
      <c r="K67" s="73">
        <f>1.016*38.9</f>
        <v>39.5224</v>
      </c>
      <c r="L67" s="104">
        <f t="shared" si="5"/>
        <v>14.535912000000007</v>
      </c>
      <c r="M67" s="73"/>
      <c r="N67" s="73"/>
      <c r="O67" s="73"/>
      <c r="P67" s="73">
        <f>1.016*2.6</f>
        <v>2.6416</v>
      </c>
      <c r="Q67" s="73">
        <f>1.016*206.8</f>
        <v>210.1088</v>
      </c>
      <c r="R67" s="73">
        <f>1.016*(11.6+3.3)</f>
        <v>15.138399999999999</v>
      </c>
      <c r="S67" s="104">
        <f t="shared" si="4"/>
        <v>225.2472</v>
      </c>
      <c r="T67" s="98"/>
      <c r="U67" s="9"/>
      <c r="V67" s="9"/>
    </row>
    <row r="68" spans="1:22" s="12" customFormat="1" ht="12.75">
      <c r="A68" s="75" t="s">
        <v>252</v>
      </c>
      <c r="B68" s="73">
        <f>1.016*226.8</f>
        <v>230.42880000000002</v>
      </c>
      <c r="C68" s="73">
        <f>((911+968)*1.016)/1000</f>
        <v>1.909064</v>
      </c>
      <c r="D68" s="73">
        <f>(17434*1.016)/1000</f>
        <v>17.712944</v>
      </c>
      <c r="E68" s="73">
        <f>9.9*1.016</f>
        <v>10.0584</v>
      </c>
      <c r="F68" s="73">
        <f>36.7*1.016</f>
        <v>37.287200000000006</v>
      </c>
      <c r="G68" s="73">
        <f>27.1*1.016</f>
        <v>27.533600000000003</v>
      </c>
      <c r="H68" s="73">
        <f>(25.9+1.527)*1.016</f>
        <v>27.865832</v>
      </c>
      <c r="I68" s="73">
        <f>13.4*1.016</f>
        <v>13.6144</v>
      </c>
      <c r="J68" s="73">
        <f>1.016*37.1</f>
        <v>37.6936</v>
      </c>
      <c r="K68" s="73">
        <f>1.016*39.4</f>
        <v>40.0304</v>
      </c>
      <c r="L68" s="104">
        <f t="shared" si="5"/>
        <v>14.298168000000006</v>
      </c>
      <c r="M68" s="73"/>
      <c r="N68" s="73"/>
      <c r="O68" s="73"/>
      <c r="P68" s="73">
        <f>1.016*2.7</f>
        <v>2.7432000000000003</v>
      </c>
      <c r="Q68" s="73">
        <f>1.016*207.8</f>
        <v>211.12480000000002</v>
      </c>
      <c r="R68" s="73">
        <f>1.016*(13.7+2.9)</f>
        <v>16.865599999999997</v>
      </c>
      <c r="S68" s="104">
        <f t="shared" si="4"/>
        <v>227.99040000000002</v>
      </c>
      <c r="T68" s="98"/>
      <c r="U68" s="9"/>
      <c r="V68" s="9"/>
    </row>
    <row r="69" spans="1:22" s="12" customFormat="1" ht="12.75">
      <c r="A69" s="75" t="s">
        <v>253</v>
      </c>
      <c r="B69" s="73">
        <f>1.016*227.6</f>
        <v>231.2416</v>
      </c>
      <c r="C69" s="73">
        <f>((205+907)*1.016)/1000</f>
        <v>1.129792</v>
      </c>
      <c r="D69" s="73">
        <f>(15547*1.016)/1000</f>
        <v>15.795752</v>
      </c>
      <c r="E69" s="73">
        <f>9.5*1.016</f>
        <v>9.652000000000001</v>
      </c>
      <c r="F69" s="73">
        <f>39.6*1.016</f>
        <v>40.2336</v>
      </c>
      <c r="G69" s="73">
        <f>27.3*1.016</f>
        <v>27.736800000000002</v>
      </c>
      <c r="H69" s="73">
        <f>(26.6+1.634)*1.016</f>
        <v>28.685744000000003</v>
      </c>
      <c r="I69" s="73">
        <f>13*1.016</f>
        <v>13.208</v>
      </c>
      <c r="J69" s="73">
        <f>1.016*38.2</f>
        <v>38.81120000000001</v>
      </c>
      <c r="K69" s="73">
        <f>1.016*40.8</f>
        <v>41.452799999999996</v>
      </c>
      <c r="L69" s="104">
        <f t="shared" si="5"/>
        <v>14.697456000000019</v>
      </c>
      <c r="M69" s="73"/>
      <c r="N69" s="73"/>
      <c r="O69" s="73"/>
      <c r="P69" s="73">
        <f>1.016*2.7</f>
        <v>2.7432000000000003</v>
      </c>
      <c r="Q69" s="73">
        <f>1.016*213.8</f>
        <v>217.22080000000003</v>
      </c>
      <c r="R69" s="73">
        <f>1.016*(13.5+2.5)</f>
        <v>16.256</v>
      </c>
      <c r="S69" s="104">
        <f t="shared" si="4"/>
        <v>233.47680000000003</v>
      </c>
      <c r="T69" s="98"/>
      <c r="U69" s="9"/>
      <c r="V69" s="9"/>
    </row>
    <row r="70" spans="1:22" s="12" customFormat="1" ht="12.75">
      <c r="A70" s="75" t="s">
        <v>254</v>
      </c>
      <c r="B70" s="73">
        <f>1.016*232.4</f>
        <v>236.1184</v>
      </c>
      <c r="C70" s="73">
        <f>((685+1508)*1.016)/1000</f>
        <v>2.228088</v>
      </c>
      <c r="D70" s="73">
        <f>(18346*1.016)/1000</f>
        <v>18.639536</v>
      </c>
      <c r="E70" s="73">
        <f>8.7*1.016</f>
        <v>8.8392</v>
      </c>
      <c r="F70" s="73">
        <f>42.9*1.016</f>
        <v>43.5864</v>
      </c>
      <c r="G70" s="73">
        <f>27.9*1.016</f>
        <v>28.3464</v>
      </c>
      <c r="H70" s="73">
        <f>(27+1.651)*1.016</f>
        <v>29.109416</v>
      </c>
      <c r="I70" s="73">
        <f>12.2*1.016</f>
        <v>12.395199999999999</v>
      </c>
      <c r="J70" s="73">
        <f>1.016*37.1</f>
        <v>37.6936</v>
      </c>
      <c r="K70" s="73">
        <f>1.016*40.7</f>
        <v>41.351200000000006</v>
      </c>
      <c r="L70" s="104">
        <f t="shared" si="5"/>
        <v>14.47698399999998</v>
      </c>
      <c r="M70" s="73"/>
      <c r="N70" s="73"/>
      <c r="O70" s="73"/>
      <c r="P70" s="73">
        <f>1.016*2.8</f>
        <v>2.8447999999999998</v>
      </c>
      <c r="Q70" s="73">
        <f>1.016*215.2</f>
        <v>218.64319999999998</v>
      </c>
      <c r="R70" s="73">
        <f>1.016*(11.7+2.2)</f>
        <v>14.122399999999999</v>
      </c>
      <c r="S70" s="104">
        <f t="shared" si="4"/>
        <v>232.76559999999998</v>
      </c>
      <c r="T70" s="98"/>
      <c r="U70" s="9"/>
      <c r="V70" s="9"/>
    </row>
    <row r="71" spans="1:22" s="12" customFormat="1" ht="12.75">
      <c r="A71" s="75" t="s">
        <v>255</v>
      </c>
      <c r="B71" s="73">
        <f>1.016*227</f>
        <v>230.632</v>
      </c>
      <c r="C71" s="73">
        <f>((1173+1776)*1.016)/1000</f>
        <v>2.9961840000000004</v>
      </c>
      <c r="D71" s="73">
        <f>(18045*1.016)/1000</f>
        <v>18.33372</v>
      </c>
      <c r="E71" s="73">
        <f>7.9*1.016</f>
        <v>8.0264</v>
      </c>
      <c r="F71" s="73">
        <f>45.6*1.016</f>
        <v>46.3296</v>
      </c>
      <c r="G71" s="73">
        <f>27.8*1.016</f>
        <v>28.2448</v>
      </c>
      <c r="H71" s="73">
        <f>(29.3+1.781)*1.016</f>
        <v>31.578296</v>
      </c>
      <c r="I71" s="73">
        <f>12.1*1.016</f>
        <v>12.2936</v>
      </c>
      <c r="J71" s="73">
        <f>1.016*37.5</f>
        <v>38.1</v>
      </c>
      <c r="K71" s="73">
        <f>1.016*39.5</f>
        <v>40.132</v>
      </c>
      <c r="L71" s="104">
        <f t="shared" si="5"/>
        <v>13.532103999999977</v>
      </c>
      <c r="M71" s="73"/>
      <c r="N71" s="73"/>
      <c r="O71" s="73"/>
      <c r="P71" s="73">
        <f>1.016*2.7</f>
        <v>2.7432000000000003</v>
      </c>
      <c r="Q71" s="73">
        <f>1.016*217.5</f>
        <v>220.98</v>
      </c>
      <c r="R71" s="73">
        <f>1.016*(8.1+1.6)</f>
        <v>9.8552</v>
      </c>
      <c r="S71" s="104">
        <f t="shared" si="4"/>
        <v>230.8352</v>
      </c>
      <c r="T71" s="98"/>
      <c r="U71" s="9"/>
      <c r="V71" s="9"/>
    </row>
    <row r="72" spans="1:22" s="12" customFormat="1" ht="12.75">
      <c r="A72" s="75" t="s">
        <v>256</v>
      </c>
      <c r="B72" s="73">
        <f>1.016*221.4</f>
        <v>224.94240000000002</v>
      </c>
      <c r="C72" s="73">
        <f>((3873+4697)*1.016)/1000</f>
        <v>8.707120000000002</v>
      </c>
      <c r="D72" s="73">
        <f>(18765*1.016)/1000</f>
        <v>19.065240000000003</v>
      </c>
      <c r="E72" s="73">
        <f>7.2*1.016</f>
        <v>7.3152</v>
      </c>
      <c r="F72" s="73">
        <f>46.4*1.016</f>
        <v>47.1424</v>
      </c>
      <c r="G72" s="73">
        <f>26.4*1.016</f>
        <v>26.8224</v>
      </c>
      <c r="H72" s="73">
        <f>(30.7+2.21)*1.016</f>
        <v>33.43656</v>
      </c>
      <c r="I72" s="73">
        <f>11.4*1.016</f>
        <v>11.5824</v>
      </c>
      <c r="J72" s="73">
        <f>1.016*35.6</f>
        <v>36.1696</v>
      </c>
      <c r="K72" s="73">
        <f>1.016*37.5</f>
        <v>38.1</v>
      </c>
      <c r="L72" s="104">
        <f t="shared" si="5"/>
        <v>12.893040000000006</v>
      </c>
      <c r="M72" s="73"/>
      <c r="N72" s="73"/>
      <c r="O72" s="73"/>
      <c r="P72" s="73">
        <f>1.016*2.8</f>
        <v>2.8447999999999998</v>
      </c>
      <c r="Q72" s="73">
        <f>1.016*212.9</f>
        <v>216.3064</v>
      </c>
      <c r="R72" s="73">
        <f>1.016*(6.7+1.2)</f>
        <v>8.0264</v>
      </c>
      <c r="S72" s="104">
        <f t="shared" si="4"/>
        <v>224.3328</v>
      </c>
      <c r="T72" s="98"/>
      <c r="U72" s="9"/>
      <c r="V72" s="9"/>
    </row>
    <row r="73" spans="1:22" s="12" customFormat="1" ht="12.75">
      <c r="A73" s="75" t="s">
        <v>257</v>
      </c>
      <c r="B73" s="73">
        <f>1.016*206.1</f>
        <v>209.3976</v>
      </c>
      <c r="C73" s="73">
        <f>((5946+13722)*1.016)/1000</f>
        <v>19.982688000000003</v>
      </c>
      <c r="D73" s="73">
        <f>(17542*1.016)/1000</f>
        <v>17.822671999999997</v>
      </c>
      <c r="E73" s="73">
        <f>6.5*1.016</f>
        <v>6.604</v>
      </c>
      <c r="F73" s="73">
        <f>46.1*1.016</f>
        <v>46.8376</v>
      </c>
      <c r="G73" s="73">
        <f>24.8*1.016</f>
        <v>25.1968</v>
      </c>
      <c r="H73" s="73">
        <f>(27.8+2.203)*1.016</f>
        <v>30.483048</v>
      </c>
      <c r="I73" s="73">
        <f>10.3*1.016</f>
        <v>10.4648</v>
      </c>
      <c r="J73" s="73">
        <f>1.016*36.2</f>
        <v>36.7792</v>
      </c>
      <c r="K73" s="73">
        <f>1.016*33.7</f>
        <v>34.239200000000004</v>
      </c>
      <c r="L73" s="104">
        <f t="shared" si="5"/>
        <v>12.290551999999993</v>
      </c>
      <c r="M73" s="73"/>
      <c r="N73" s="73"/>
      <c r="O73" s="73"/>
      <c r="P73" s="73">
        <f>1.016*2.7</f>
        <v>2.7432000000000003</v>
      </c>
      <c r="Q73" s="73">
        <f>1.016*202.4</f>
        <v>205.63840000000002</v>
      </c>
      <c r="R73" s="73">
        <f>1.016*(4+0.9)</f>
        <v>4.978400000000001</v>
      </c>
      <c r="S73" s="104">
        <f t="shared" si="4"/>
        <v>210.6168</v>
      </c>
      <c r="T73" s="98"/>
      <c r="U73" s="9"/>
      <c r="V73" s="9"/>
    </row>
    <row r="74" spans="1:22" s="12" customFormat="1" ht="12.75">
      <c r="A74" s="75" t="s">
        <v>258</v>
      </c>
      <c r="B74" s="73">
        <f>1.016*190.8</f>
        <v>193.8528</v>
      </c>
      <c r="C74" s="73">
        <f>((6884+28789)*1.016)/1000</f>
        <v>36.243768</v>
      </c>
      <c r="D74" s="73">
        <f>(14374*1.016)/1000</f>
        <v>14.603984</v>
      </c>
      <c r="E74" s="73">
        <f>5.6*1.016</f>
        <v>5.6895999999999995</v>
      </c>
      <c r="F74" s="73">
        <f>46*1.016</f>
        <v>46.736000000000004</v>
      </c>
      <c r="G74" s="73">
        <f>22.5*1.016</f>
        <v>22.86</v>
      </c>
      <c r="H74" s="73">
        <f>(25.7+1.711)*1.016</f>
        <v>27.849576</v>
      </c>
      <c r="I74" s="73">
        <f>9.5*1.016</f>
        <v>9.652000000000001</v>
      </c>
      <c r="J74" s="73">
        <f>1.016*33.4</f>
        <v>33.9344</v>
      </c>
      <c r="K74" s="73">
        <f>1.016*31.7</f>
        <v>32.2072</v>
      </c>
      <c r="L74" s="104">
        <f t="shared" si="5"/>
        <v>10.961624000000022</v>
      </c>
      <c r="M74" s="73"/>
      <c r="N74" s="73"/>
      <c r="O74" s="73"/>
      <c r="P74" s="73">
        <f>1.016*2.5</f>
        <v>2.54</v>
      </c>
      <c r="Q74" s="73">
        <f>1.016*189.4</f>
        <v>192.43040000000002</v>
      </c>
      <c r="R74" s="73">
        <f>1.016*(3.6+0.7)</f>
        <v>4.3688</v>
      </c>
      <c r="S74" s="104">
        <f t="shared" si="4"/>
        <v>196.7992</v>
      </c>
      <c r="T74" s="98"/>
      <c r="U74" s="9"/>
      <c r="V74" s="9"/>
    </row>
    <row r="75" spans="1:22" s="12" customFormat="1" ht="12.75">
      <c r="A75" s="75" t="s">
        <v>259</v>
      </c>
      <c r="B75" s="73">
        <f>1.016*201.2</f>
        <v>204.4192</v>
      </c>
      <c r="C75" s="73">
        <f>29657/1000</f>
        <v>29.657</v>
      </c>
      <c r="D75" s="73">
        <f>13656/1000</f>
        <v>13.656</v>
      </c>
      <c r="E75" s="73">
        <v>5.08</v>
      </c>
      <c r="F75" s="73">
        <v>52.733</v>
      </c>
      <c r="G75" s="73">
        <v>22.962</v>
      </c>
      <c r="H75" s="73">
        <f>29.262+2.337</f>
        <v>31.599</v>
      </c>
      <c r="I75" s="73">
        <f>1.016*8.9</f>
        <v>9.0424</v>
      </c>
      <c r="J75" s="73">
        <v>36.068</v>
      </c>
      <c r="K75" s="73">
        <f>45.212-I75</f>
        <v>36.1696</v>
      </c>
      <c r="L75" s="104">
        <f aca="true" t="shared" si="6" ref="L75:L80">Q75-SUM(E75:K75)</f>
        <v>6.204000000000008</v>
      </c>
      <c r="M75" s="73"/>
      <c r="N75" s="73"/>
      <c r="O75" s="73"/>
      <c r="P75" s="73"/>
      <c r="Q75" s="73">
        <v>199.858</v>
      </c>
      <c r="R75" s="73">
        <f>1.016*(5.2+0.3)</f>
        <v>5.588</v>
      </c>
      <c r="S75" s="104">
        <f t="shared" si="4"/>
        <v>205.446</v>
      </c>
      <c r="T75" s="98"/>
      <c r="U75" s="9"/>
      <c r="V75" s="9"/>
    </row>
    <row r="76" spans="1:22" s="12" customFormat="1" ht="12.75">
      <c r="A76" s="75" t="s">
        <v>260</v>
      </c>
      <c r="B76" s="73">
        <f>1.016*199.8</f>
        <v>202.9968</v>
      </c>
      <c r="C76" s="73">
        <f>21761/1000</f>
        <v>21.761</v>
      </c>
      <c r="D76" s="73">
        <v>15.979</v>
      </c>
      <c r="E76" s="73">
        <v>4.572</v>
      </c>
      <c r="F76" s="73">
        <v>56.289</v>
      </c>
      <c r="G76" s="73">
        <v>22.861</v>
      </c>
      <c r="H76" s="73">
        <f>27.433+2.439</f>
        <v>29.872</v>
      </c>
      <c r="I76" s="73">
        <f>7.7*1.016</f>
        <v>7.8232</v>
      </c>
      <c r="J76" s="73">
        <v>33.833</v>
      </c>
      <c r="K76" s="73">
        <f>41.656-I76</f>
        <v>33.8328</v>
      </c>
      <c r="L76" s="104">
        <f t="shared" si="6"/>
        <v>5.795999999999992</v>
      </c>
      <c r="M76" s="73"/>
      <c r="N76" s="73"/>
      <c r="O76" s="73"/>
      <c r="P76" s="73"/>
      <c r="Q76" s="73">
        <v>194.879</v>
      </c>
      <c r="R76" s="73">
        <f>1.016*(5.6+0.1)</f>
        <v>5.791199999999999</v>
      </c>
      <c r="S76" s="104">
        <f t="shared" si="4"/>
        <v>200.6702</v>
      </c>
      <c r="T76" s="98"/>
      <c r="U76" s="9"/>
      <c r="V76" s="9"/>
    </row>
    <row r="77" spans="1:22" s="12" customFormat="1" ht="12.75">
      <c r="A77" s="75" t="s">
        <v>261</v>
      </c>
      <c r="B77" s="73">
        <f>1.016*195.5</f>
        <v>198.62800000000001</v>
      </c>
      <c r="C77" s="73">
        <f>25766/1000</f>
        <v>25.766</v>
      </c>
      <c r="D77" s="73">
        <v>15.344</v>
      </c>
      <c r="E77" s="73">
        <v>4.267</v>
      </c>
      <c r="F77" s="73">
        <v>62.081</v>
      </c>
      <c r="G77" s="73">
        <v>24.76</v>
      </c>
      <c r="H77" s="73">
        <f>24.08+2.642</f>
        <v>26.721999999999998</v>
      </c>
      <c r="I77" s="73">
        <f>1.016*6.2</f>
        <v>6.2992</v>
      </c>
      <c r="J77" s="73">
        <v>34.341</v>
      </c>
      <c r="K77" s="73">
        <f>36.307-I77</f>
        <v>30.007800000000003</v>
      </c>
      <c r="L77" s="104">
        <f t="shared" si="6"/>
        <v>5.790999999999997</v>
      </c>
      <c r="M77" s="73"/>
      <c r="N77" s="73"/>
      <c r="O77" s="73"/>
      <c r="P77" s="73"/>
      <c r="Q77" s="73">
        <v>194.269</v>
      </c>
      <c r="R77" s="73">
        <f>1.016*(4.7+0.1)</f>
        <v>4.8768</v>
      </c>
      <c r="S77" s="104">
        <f t="shared" si="4"/>
        <v>199.1458</v>
      </c>
      <c r="T77" s="98"/>
      <c r="U77" s="9"/>
      <c r="V77" s="9"/>
    </row>
    <row r="78" spans="1:22" s="12" customFormat="1" ht="12.75">
      <c r="A78" s="75" t="s">
        <v>262</v>
      </c>
      <c r="B78" s="73">
        <f>203*1.016</f>
        <v>206.248</v>
      </c>
      <c r="C78" s="73">
        <f>19920/1000</f>
        <v>19.92</v>
      </c>
      <c r="D78" s="73">
        <v>16.74</v>
      </c>
      <c r="E78" s="73">
        <v>3.963</v>
      </c>
      <c r="F78" s="73">
        <v>68.584</v>
      </c>
      <c r="G78" s="73">
        <v>22.76</v>
      </c>
      <c r="H78" s="73">
        <v>24.08</v>
      </c>
      <c r="I78" s="73">
        <f>1.016*5</f>
        <v>5.08</v>
      </c>
      <c r="J78" s="73">
        <v>33.633</v>
      </c>
      <c r="K78" s="73">
        <f>35.154-I78</f>
        <v>30.074000000000005</v>
      </c>
      <c r="L78" s="104">
        <f t="shared" si="6"/>
        <v>8.939999999999998</v>
      </c>
      <c r="M78" s="73"/>
      <c r="N78" s="73"/>
      <c r="O78" s="73"/>
      <c r="P78" s="73"/>
      <c r="Q78" s="73">
        <v>197.114</v>
      </c>
      <c r="R78" s="73">
        <f>7.5*1.016</f>
        <v>7.62</v>
      </c>
      <c r="S78" s="104">
        <f t="shared" si="4"/>
        <v>204.734</v>
      </c>
      <c r="T78" s="98"/>
      <c r="U78" s="9"/>
      <c r="V78" s="9"/>
    </row>
    <row r="79" spans="1:22" s="12" customFormat="1" ht="12.75">
      <c r="A79" s="75" t="s">
        <v>263</v>
      </c>
      <c r="B79" s="73">
        <f>194.1*1.016</f>
        <v>197.2056</v>
      </c>
      <c r="C79" s="73">
        <f>20704/1000</f>
        <v>20.704</v>
      </c>
      <c r="D79" s="73">
        <f>17547/1000</f>
        <v>17.547</v>
      </c>
      <c r="E79" s="73">
        <v>3.759</v>
      </c>
      <c r="F79" s="73">
        <v>69.092</v>
      </c>
      <c r="G79" s="73">
        <v>20.829</v>
      </c>
      <c r="H79" s="73">
        <f>26.316+2.743</f>
        <v>29.058999999999997</v>
      </c>
      <c r="I79" s="73">
        <f>1.016*3.8</f>
        <v>3.8608</v>
      </c>
      <c r="J79" s="73">
        <v>29.362</v>
      </c>
      <c r="K79" s="73">
        <f>32.817-I79</f>
        <v>28.9562</v>
      </c>
      <c r="L79" s="104">
        <f t="shared" si="6"/>
        <v>5.287000000000006</v>
      </c>
      <c r="M79" s="73"/>
      <c r="N79" s="73"/>
      <c r="O79" s="73"/>
      <c r="P79" s="73"/>
      <c r="Q79" s="73">
        <v>190.205</v>
      </c>
      <c r="R79" s="73">
        <f>6*1.016</f>
        <v>6.096</v>
      </c>
      <c r="S79" s="104">
        <f t="shared" si="4"/>
        <v>196.30100000000002</v>
      </c>
      <c r="T79" s="98"/>
      <c r="U79" s="9"/>
      <c r="V79" s="9"/>
    </row>
    <row r="80" spans="1:22" s="12" customFormat="1" ht="12.75">
      <c r="A80" s="75" t="s">
        <v>160</v>
      </c>
      <c r="B80" s="73">
        <f>187.5*1.016</f>
        <v>190.5</v>
      </c>
      <c r="C80" s="73">
        <f>21860/1000</f>
        <v>21.86</v>
      </c>
      <c r="D80" s="73">
        <f>16800/1000</f>
        <v>16.8</v>
      </c>
      <c r="E80" s="73">
        <v>3.455</v>
      </c>
      <c r="F80" s="73">
        <v>71.124</v>
      </c>
      <c r="G80" s="73">
        <v>18.492</v>
      </c>
      <c r="H80" s="73">
        <f>26.722+2.54</f>
        <v>29.262</v>
      </c>
      <c r="I80" s="73">
        <f>1.016*2.8</f>
        <v>2.8447999999999998</v>
      </c>
      <c r="J80" s="73">
        <v>28.854</v>
      </c>
      <c r="K80" s="73">
        <f>30.988-I80</f>
        <v>28.1432</v>
      </c>
      <c r="L80" s="104">
        <f t="shared" si="6"/>
        <v>5.388999999999982</v>
      </c>
      <c r="M80" s="73"/>
      <c r="N80" s="73"/>
      <c r="O80" s="73"/>
      <c r="P80" s="73"/>
      <c r="Q80" s="73">
        <v>187.564</v>
      </c>
      <c r="R80" s="73">
        <f>3.7*1.016</f>
        <v>3.7592000000000003</v>
      </c>
      <c r="S80" s="104">
        <f t="shared" si="4"/>
        <v>191.32319999999999</v>
      </c>
      <c r="T80" s="98"/>
      <c r="U80" s="9"/>
      <c r="V80" s="9"/>
    </row>
    <row r="81" spans="1:22" s="12" customFormat="1" ht="12.75">
      <c r="A81" s="75" t="s">
        <v>161</v>
      </c>
      <c r="B81" s="73">
        <f>179.1*1.016</f>
        <v>181.9656</v>
      </c>
      <c r="C81" s="73">
        <f>18847/1000</f>
        <v>18.847</v>
      </c>
      <c r="D81" s="73">
        <f>18709/1000</f>
        <v>18.709</v>
      </c>
      <c r="E81" s="73">
        <v>3.15</v>
      </c>
      <c r="F81" s="73">
        <v>69.701</v>
      </c>
      <c r="G81" s="73">
        <v>17.171</v>
      </c>
      <c r="H81" s="73">
        <f>25.198+2.743</f>
        <v>27.941</v>
      </c>
      <c r="I81" s="73">
        <f>1.016*1.7</f>
        <v>1.7272</v>
      </c>
      <c r="J81" s="73">
        <v>26.927</v>
      </c>
      <c r="K81" s="73">
        <f>27.737-I81</f>
        <v>26.0098</v>
      </c>
      <c r="L81" s="104">
        <f>Q81-SUM(E81:K81)</f>
        <v>4.877999999999986</v>
      </c>
      <c r="M81" s="73"/>
      <c r="N81" s="73"/>
      <c r="O81" s="73"/>
      <c r="P81" s="73"/>
      <c r="Q81" s="73">
        <v>177.505</v>
      </c>
      <c r="R81" s="73">
        <f>2.8*1.016</f>
        <v>2.8447999999999998</v>
      </c>
      <c r="S81" s="104">
        <f t="shared" si="4"/>
        <v>180.3498</v>
      </c>
      <c r="T81" s="98"/>
      <c r="U81" s="9"/>
      <c r="V81" s="9"/>
    </row>
    <row r="82" spans="1:20" s="12" customFormat="1" ht="12.75">
      <c r="A82" s="75" t="s">
        <v>264</v>
      </c>
      <c r="B82" s="73">
        <f>165.7*1.016</f>
        <v>168.35119999999998</v>
      </c>
      <c r="C82" s="73">
        <f>28138/1000</f>
        <v>28.138</v>
      </c>
      <c r="D82" s="73">
        <f>18865/1000</f>
        <v>18.865</v>
      </c>
      <c r="E82" s="73">
        <v>2.947</v>
      </c>
      <c r="F82" s="73">
        <v>68.279</v>
      </c>
      <c r="G82" s="73">
        <v>14.834</v>
      </c>
      <c r="H82" s="73">
        <f>23.979+3.259</f>
        <v>27.238</v>
      </c>
      <c r="I82" s="73">
        <v>0.8</v>
      </c>
      <c r="J82" s="73">
        <v>24.485</v>
      </c>
      <c r="K82" s="73">
        <f>24.545-I82</f>
        <v>23.745</v>
      </c>
      <c r="L82" s="104">
        <f aca="true" t="shared" si="7" ref="L82:L110">Q82-SUM(E82:K82)</f>
        <v>4.102000000000004</v>
      </c>
      <c r="M82" s="73"/>
      <c r="N82" s="73"/>
      <c r="O82" s="73"/>
      <c r="P82" s="73"/>
      <c r="Q82" s="73">
        <v>166.43</v>
      </c>
      <c r="R82" s="73">
        <v>1.9</v>
      </c>
      <c r="S82" s="104">
        <f t="shared" si="4"/>
        <v>168.33</v>
      </c>
      <c r="T82" s="98"/>
    </row>
    <row r="83" spans="1:20" s="12" customFormat="1" ht="12.75">
      <c r="A83" s="75" t="s">
        <v>265</v>
      </c>
      <c r="B83" s="73">
        <f>166.5*1.016</f>
        <v>169.16400000000002</v>
      </c>
      <c r="C83" s="73">
        <f>28485/1000</f>
        <v>28.485</v>
      </c>
      <c r="D83" s="73">
        <f>15941/1000</f>
        <v>15.941</v>
      </c>
      <c r="E83" s="73">
        <v>2.459</v>
      </c>
      <c r="F83" s="73">
        <v>74.366</v>
      </c>
      <c r="G83" s="73">
        <v>10.817</v>
      </c>
      <c r="H83" s="73">
        <f>25.334+3.53</f>
        <v>28.864</v>
      </c>
      <c r="I83" s="73">
        <v>0.2</v>
      </c>
      <c r="J83" s="73">
        <v>23.584</v>
      </c>
      <c r="K83" s="73">
        <f>22.946-I83</f>
        <v>22.746000000000002</v>
      </c>
      <c r="L83" s="104">
        <f t="shared" si="7"/>
        <v>4.111999999999995</v>
      </c>
      <c r="M83" s="73"/>
      <c r="N83" s="73"/>
      <c r="O83" s="73"/>
      <c r="P83" s="73"/>
      <c r="Q83" s="73">
        <v>167.148</v>
      </c>
      <c r="R83" s="73">
        <v>2.7</v>
      </c>
      <c r="S83" s="104">
        <f t="shared" si="4"/>
        <v>169.84799999999998</v>
      </c>
      <c r="T83" s="98"/>
    </row>
    <row r="84" spans="1:20" s="12" customFormat="1" ht="12.75">
      <c r="A84" s="75" t="s">
        <v>266</v>
      </c>
      <c r="B84" s="73">
        <f>162.7*1.016</f>
        <v>165.3032</v>
      </c>
      <c r="C84" s="73">
        <f>18778/1000</f>
        <v>18.778</v>
      </c>
      <c r="D84" s="73">
        <f>14289/1000</f>
        <v>14.289</v>
      </c>
      <c r="E84" s="73">
        <v>2.065</v>
      </c>
      <c r="F84" s="73">
        <v>77.101</v>
      </c>
      <c r="G84" s="73">
        <v>6.977</v>
      </c>
      <c r="H84" s="73">
        <f>25.78+3.908</f>
        <v>29.688000000000002</v>
      </c>
      <c r="I84" s="73">
        <v>0.2</v>
      </c>
      <c r="J84" s="73">
        <v>21.974</v>
      </c>
      <c r="K84" s="73">
        <f>21.709-I84</f>
        <v>21.509</v>
      </c>
      <c r="L84" s="104">
        <f t="shared" si="7"/>
        <v>4.231999999999999</v>
      </c>
      <c r="M84" s="73"/>
      <c r="N84" s="73"/>
      <c r="O84" s="73"/>
      <c r="P84" s="73"/>
      <c r="Q84" s="73">
        <v>163.746</v>
      </c>
      <c r="R84" s="73">
        <v>3.5</v>
      </c>
      <c r="S84" s="104">
        <f t="shared" si="4"/>
        <v>167.246</v>
      </c>
      <c r="T84" s="98"/>
    </row>
    <row r="85" spans="1:20" s="12" customFormat="1" ht="12.75">
      <c r="A85" s="75" t="s">
        <v>267</v>
      </c>
      <c r="B85" s="73">
        <v>158.8008</v>
      </c>
      <c r="C85" s="73">
        <v>7.216</v>
      </c>
      <c r="D85" s="73">
        <v>13.414</v>
      </c>
      <c r="E85" s="73">
        <v>1.916</v>
      </c>
      <c r="F85" s="73">
        <v>77.237</v>
      </c>
      <c r="G85" s="73">
        <v>4.28</v>
      </c>
      <c r="H85" s="73">
        <v>29.49</v>
      </c>
      <c r="I85" s="73">
        <v>0.1</v>
      </c>
      <c r="J85" s="73">
        <v>20.19</v>
      </c>
      <c r="K85" s="73">
        <v>19.512999999999998</v>
      </c>
      <c r="L85" s="104">
        <f t="shared" si="7"/>
        <v>4.158999999999992</v>
      </c>
      <c r="M85" s="73"/>
      <c r="N85" s="73"/>
      <c r="O85" s="73"/>
      <c r="P85" s="73"/>
      <c r="Q85" s="73">
        <v>156.885</v>
      </c>
      <c r="R85" s="73">
        <v>3.191</v>
      </c>
      <c r="S85" s="104">
        <f t="shared" si="4"/>
        <v>160.076</v>
      </c>
      <c r="T85" s="103"/>
    </row>
    <row r="86" spans="1:20" s="12" customFormat="1" ht="12.75">
      <c r="A86" s="75" t="s">
        <v>268</v>
      </c>
      <c r="B86" s="73">
        <v>150.5712</v>
      </c>
      <c r="C86" s="73">
        <v>10.393</v>
      </c>
      <c r="D86" s="73">
        <v>18.271</v>
      </c>
      <c r="E86" s="73">
        <v>1.581</v>
      </c>
      <c r="F86" s="73">
        <v>72.847</v>
      </c>
      <c r="G86" s="73">
        <v>1.855</v>
      </c>
      <c r="H86" s="73">
        <v>28.031</v>
      </c>
      <c r="I86" s="73">
        <v>0.1</v>
      </c>
      <c r="J86" s="73">
        <v>17.185</v>
      </c>
      <c r="K86" s="73">
        <v>16.005</v>
      </c>
      <c r="L86" s="104">
        <f t="shared" si="7"/>
        <v>3.3270000000000266</v>
      </c>
      <c r="M86" s="73"/>
      <c r="N86" s="73"/>
      <c r="O86" s="73"/>
      <c r="P86" s="73"/>
      <c r="Q86" s="73">
        <v>140.931</v>
      </c>
      <c r="R86" s="73">
        <v>2.667</v>
      </c>
      <c r="S86" s="104">
        <f t="shared" si="4"/>
        <v>143.598</v>
      </c>
      <c r="T86" s="98"/>
    </row>
    <row r="87" spans="1:20" s="12" customFormat="1" ht="12.75">
      <c r="A87" s="75" t="s">
        <v>269</v>
      </c>
      <c r="B87" s="73">
        <v>126.0856</v>
      </c>
      <c r="C87" s="73">
        <v>11.11</v>
      </c>
      <c r="D87" s="73">
        <v>19.351</v>
      </c>
      <c r="E87" s="73">
        <v>1.405</v>
      </c>
      <c r="F87" s="73">
        <v>66.664</v>
      </c>
      <c r="G87" s="73">
        <v>0.575</v>
      </c>
      <c r="H87" s="73">
        <v>25.023</v>
      </c>
      <c r="I87" s="73">
        <v>0.1</v>
      </c>
      <c r="J87" s="73">
        <v>14.554</v>
      </c>
      <c r="K87" s="73">
        <v>11.563</v>
      </c>
      <c r="L87" s="104">
        <f t="shared" si="7"/>
        <v>2.9989999999999952</v>
      </c>
      <c r="M87" s="73"/>
      <c r="N87" s="73"/>
      <c r="O87" s="73"/>
      <c r="P87" s="73"/>
      <c r="Q87" s="73">
        <v>122.883</v>
      </c>
      <c r="R87" s="73">
        <v>1.796</v>
      </c>
      <c r="S87" s="104">
        <f t="shared" si="4"/>
        <v>124.679</v>
      </c>
      <c r="T87" s="98"/>
    </row>
    <row r="88" spans="1:20" s="12" customFormat="1" ht="12.75">
      <c r="A88" s="75" t="s">
        <v>270</v>
      </c>
      <c r="B88" s="73">
        <v>133.7056</v>
      </c>
      <c r="C88" s="73">
        <v>10.85</v>
      </c>
      <c r="D88" s="73">
        <v>17.035</v>
      </c>
      <c r="E88" s="73">
        <v>1.381</v>
      </c>
      <c r="F88" s="73">
        <v>76.838</v>
      </c>
      <c r="G88" s="73">
        <v>0.512</v>
      </c>
      <c r="H88" s="73">
        <v>25.495</v>
      </c>
      <c r="I88" s="73">
        <v>0.1</v>
      </c>
      <c r="J88" s="73">
        <v>14.502</v>
      </c>
      <c r="K88" s="73">
        <v>11.962</v>
      </c>
      <c r="L88" s="104">
        <f t="shared" si="7"/>
        <v>2.5810000000000173</v>
      </c>
      <c r="M88" s="73"/>
      <c r="N88" s="73"/>
      <c r="O88" s="73"/>
      <c r="P88" s="73"/>
      <c r="Q88" s="73">
        <v>133.371</v>
      </c>
      <c r="R88" s="73">
        <v>2.693</v>
      </c>
      <c r="S88" s="104">
        <f t="shared" si="4"/>
        <v>136.06400000000002</v>
      </c>
      <c r="T88" s="98"/>
    </row>
    <row r="89" spans="1:20" s="12" customFormat="1" ht="12.75">
      <c r="A89" s="75" t="s">
        <v>271</v>
      </c>
      <c r="B89" s="73">
        <v>118.6688</v>
      </c>
      <c r="C89" s="73">
        <v>5.979</v>
      </c>
      <c r="D89" s="73">
        <v>15.827</v>
      </c>
      <c r="E89" s="73">
        <v>1.256</v>
      </c>
      <c r="F89" s="73">
        <v>67.026</v>
      </c>
      <c r="G89" s="73">
        <v>0.107</v>
      </c>
      <c r="H89" s="73">
        <v>22.249</v>
      </c>
      <c r="I89" s="73">
        <v>0.1</v>
      </c>
      <c r="J89" s="73">
        <v>13.667</v>
      </c>
      <c r="K89" s="73">
        <v>10.977</v>
      </c>
      <c r="L89" s="104">
        <f t="shared" si="7"/>
        <v>2.5050000000000097</v>
      </c>
      <c r="M89" s="73"/>
      <c r="N89" s="73"/>
      <c r="O89" s="73"/>
      <c r="P89" s="73"/>
      <c r="Q89" s="73">
        <v>117.887</v>
      </c>
      <c r="R89" s="73">
        <v>1.865</v>
      </c>
      <c r="S89" s="104">
        <f t="shared" si="4"/>
        <v>119.752</v>
      </c>
      <c r="T89" s="98"/>
    </row>
    <row r="90" spans="1:20" s="12" customFormat="1" ht="15">
      <c r="A90" s="75" t="s">
        <v>289</v>
      </c>
      <c r="B90" s="73">
        <v>141.1</v>
      </c>
      <c r="C90" s="73">
        <v>10.618</v>
      </c>
      <c r="D90" s="73">
        <v>20.541</v>
      </c>
      <c r="E90" s="73">
        <v>1.238</v>
      </c>
      <c r="F90" s="73">
        <v>74.569</v>
      </c>
      <c r="G90" s="73">
        <v>0.009</v>
      </c>
      <c r="H90" s="73">
        <v>23.148</v>
      </c>
      <c r="I90" s="73">
        <v>0.1</v>
      </c>
      <c r="J90" s="73">
        <v>11.616</v>
      </c>
      <c r="K90" s="73">
        <v>9.585</v>
      </c>
      <c r="L90" s="104">
        <f t="shared" si="7"/>
        <v>1.9480000000000075</v>
      </c>
      <c r="M90" s="73"/>
      <c r="N90" s="73"/>
      <c r="O90" s="73"/>
      <c r="P90" s="73"/>
      <c r="Q90" s="73">
        <v>122.213</v>
      </c>
      <c r="R90" s="73">
        <v>2.182</v>
      </c>
      <c r="S90" s="104">
        <f t="shared" si="4"/>
        <v>124.395</v>
      </c>
      <c r="T90" s="98"/>
    </row>
    <row r="91" spans="1:20" s="12" customFormat="1" ht="12.75">
      <c r="A91" s="75" t="s">
        <v>227</v>
      </c>
      <c r="B91" s="73">
        <v>127.39999999999999</v>
      </c>
      <c r="C91" s="73">
        <v>10.658</v>
      </c>
      <c r="D91" s="73">
        <v>22.457</v>
      </c>
      <c r="E91" s="73">
        <v>1.132</v>
      </c>
      <c r="F91" s="73">
        <v>77.819</v>
      </c>
      <c r="G91" s="73">
        <v>0.008</v>
      </c>
      <c r="H91" s="73">
        <v>22.807</v>
      </c>
      <c r="I91" s="73">
        <v>0.1</v>
      </c>
      <c r="J91" s="73">
        <v>10.823</v>
      </c>
      <c r="K91" s="73">
        <v>8.870000000000001</v>
      </c>
      <c r="L91" s="104">
        <f t="shared" si="7"/>
        <v>2.0450000000000017</v>
      </c>
      <c r="M91" s="73"/>
      <c r="N91" s="73"/>
      <c r="O91" s="73"/>
      <c r="P91" s="73"/>
      <c r="Q91" s="73">
        <v>123.604</v>
      </c>
      <c r="R91" s="73">
        <v>1.436</v>
      </c>
      <c r="S91" s="104">
        <f t="shared" si="4"/>
        <v>125.03999999999999</v>
      </c>
      <c r="T91" s="98"/>
    </row>
    <row r="92" spans="1:20" s="12" customFormat="1" ht="15">
      <c r="A92" s="75" t="s">
        <v>290</v>
      </c>
      <c r="B92" s="73">
        <v>124.4</v>
      </c>
      <c r="C92" s="73">
        <v>9.74</v>
      </c>
      <c r="D92" s="73">
        <v>21.704</v>
      </c>
      <c r="E92" s="73">
        <v>1.124</v>
      </c>
      <c r="F92" s="73">
        <v>79.956</v>
      </c>
      <c r="G92" s="73" t="s">
        <v>34</v>
      </c>
      <c r="H92" s="73">
        <v>20.579</v>
      </c>
      <c r="I92" s="73">
        <v>0.1</v>
      </c>
      <c r="J92" s="73">
        <v>11.136</v>
      </c>
      <c r="K92" s="73">
        <v>8.933</v>
      </c>
      <c r="L92" s="104">
        <f t="shared" si="7"/>
        <v>2.1490000000000293</v>
      </c>
      <c r="M92" s="73"/>
      <c r="N92" s="73"/>
      <c r="O92" s="73"/>
      <c r="P92" s="73"/>
      <c r="Q92" s="73">
        <v>123.977</v>
      </c>
      <c r="R92" s="73">
        <v>1.835</v>
      </c>
      <c r="S92" s="104">
        <f t="shared" si="4"/>
        <v>125.812</v>
      </c>
      <c r="T92" s="98"/>
    </row>
    <row r="93" spans="1:20" s="12" customFormat="1" ht="12.75">
      <c r="A93" s="75" t="s">
        <v>228</v>
      </c>
      <c r="B93" s="73">
        <v>126.70000000000002</v>
      </c>
      <c r="C93" s="73">
        <v>12.437</v>
      </c>
      <c r="D93" s="73">
        <v>22.038</v>
      </c>
      <c r="E93" s="73">
        <v>1.01</v>
      </c>
      <c r="F93" s="73">
        <v>80.643</v>
      </c>
      <c r="G93" s="73" t="s">
        <v>34</v>
      </c>
      <c r="H93" s="73">
        <v>18.016</v>
      </c>
      <c r="I93" s="73">
        <v>0.1</v>
      </c>
      <c r="J93" s="73">
        <v>10.217</v>
      </c>
      <c r="K93" s="73">
        <v>8.450000000000001</v>
      </c>
      <c r="L93" s="104">
        <f t="shared" si="7"/>
        <v>2.040999999999997</v>
      </c>
      <c r="M93" s="73"/>
      <c r="N93" s="73"/>
      <c r="O93" s="73"/>
      <c r="P93" s="73"/>
      <c r="Q93" s="73">
        <v>120.477</v>
      </c>
      <c r="R93" s="73">
        <v>2.253</v>
      </c>
      <c r="S93" s="104">
        <f aca="true" t="shared" si="8" ref="S93:S110">Q93+R93</f>
        <v>122.73</v>
      </c>
      <c r="T93" s="98"/>
    </row>
    <row r="94" spans="1:20" s="12" customFormat="1" ht="12.75">
      <c r="A94" s="75" t="s">
        <v>229</v>
      </c>
      <c r="B94" s="73">
        <v>129.70000000000002</v>
      </c>
      <c r="C94" s="73">
        <v>9.569</v>
      </c>
      <c r="D94" s="73">
        <v>18.339</v>
      </c>
      <c r="E94" s="73">
        <v>0.834</v>
      </c>
      <c r="F94" s="73">
        <v>88.79</v>
      </c>
      <c r="G94" s="73" t="s">
        <v>34</v>
      </c>
      <c r="H94" s="73">
        <v>17.964</v>
      </c>
      <c r="I94" s="73"/>
      <c r="J94" s="73">
        <v>10.508</v>
      </c>
      <c r="K94" s="73">
        <v>9.232</v>
      </c>
      <c r="L94" s="104">
        <f t="shared" si="7"/>
        <v>2.0509999999999877</v>
      </c>
      <c r="M94" s="73"/>
      <c r="N94" s="73"/>
      <c r="O94" s="73"/>
      <c r="P94" s="73"/>
      <c r="Q94" s="73">
        <v>129.379</v>
      </c>
      <c r="R94" s="73">
        <v>2.175</v>
      </c>
      <c r="S94" s="104">
        <f t="shared" si="8"/>
        <v>131.554</v>
      </c>
      <c r="T94" s="98"/>
    </row>
    <row r="95" spans="1:20" s="12" customFormat="1" ht="12.75">
      <c r="A95" s="75" t="s">
        <v>230</v>
      </c>
      <c r="B95" s="73">
        <v>123.84300000000002</v>
      </c>
      <c r="C95" s="73">
        <v>17.317</v>
      </c>
      <c r="D95" s="73">
        <v>20.37</v>
      </c>
      <c r="E95" s="73">
        <v>0.663</v>
      </c>
      <c r="F95" s="73">
        <v>89.569</v>
      </c>
      <c r="G95" s="73" t="s">
        <v>34</v>
      </c>
      <c r="H95" s="73">
        <v>14.632</v>
      </c>
      <c r="I95" s="73"/>
      <c r="J95" s="73">
        <v>8.946</v>
      </c>
      <c r="K95" s="73">
        <v>7.898</v>
      </c>
      <c r="L95" s="104">
        <f t="shared" si="7"/>
        <v>1.7519999999999953</v>
      </c>
      <c r="M95" s="73"/>
      <c r="N95" s="73"/>
      <c r="O95" s="73"/>
      <c r="P95" s="73"/>
      <c r="Q95" s="73">
        <v>123.46</v>
      </c>
      <c r="R95" s="73">
        <v>3.809</v>
      </c>
      <c r="S95" s="104">
        <f t="shared" si="8"/>
        <v>127.26899999999999</v>
      </c>
      <c r="T95" s="98"/>
    </row>
    <row r="96" spans="1:20" s="12" customFormat="1" ht="12.75">
      <c r="A96" s="75" t="s">
        <v>231</v>
      </c>
      <c r="B96" s="73">
        <v>118.08000000000001</v>
      </c>
      <c r="C96" s="73">
        <v>22.117</v>
      </c>
      <c r="D96" s="73">
        <v>20.136</v>
      </c>
      <c r="E96" s="73">
        <v>0.616</v>
      </c>
      <c r="F96" s="73">
        <v>87.226</v>
      </c>
      <c r="G96" s="73" t="s">
        <v>34</v>
      </c>
      <c r="H96" s="73">
        <v>13.263</v>
      </c>
      <c r="I96" s="73"/>
      <c r="J96" s="73">
        <v>8.454</v>
      </c>
      <c r="K96" s="73">
        <v>7.046</v>
      </c>
      <c r="L96" s="104">
        <f t="shared" si="7"/>
        <v>1.7809999999999917</v>
      </c>
      <c r="M96" s="73"/>
      <c r="N96" s="73"/>
      <c r="O96" s="73"/>
      <c r="P96" s="73"/>
      <c r="Q96" s="73">
        <v>118.386</v>
      </c>
      <c r="R96" s="73">
        <v>9.113</v>
      </c>
      <c r="S96" s="104">
        <f t="shared" si="8"/>
        <v>127.499</v>
      </c>
      <c r="T96" s="98"/>
    </row>
    <row r="97" spans="1:20" s="12" customFormat="1" ht="12.75">
      <c r="A97" s="75" t="s">
        <v>232</v>
      </c>
      <c r="B97" s="73">
        <v>111.203</v>
      </c>
      <c r="C97" s="73">
        <v>21.955</v>
      </c>
      <c r="D97" s="73">
        <v>30.422</v>
      </c>
      <c r="E97" s="73">
        <v>0.534</v>
      </c>
      <c r="F97" s="73">
        <v>80.228</v>
      </c>
      <c r="G97" s="73" t="s">
        <v>34</v>
      </c>
      <c r="H97" s="73">
        <v>12.732</v>
      </c>
      <c r="I97" s="73"/>
      <c r="J97" s="73">
        <v>8.474</v>
      </c>
      <c r="K97" s="73">
        <v>7.175</v>
      </c>
      <c r="L97" s="104">
        <f t="shared" si="7"/>
        <v>1.855000000000004</v>
      </c>
      <c r="M97" s="73"/>
      <c r="N97" s="73"/>
      <c r="O97" s="73"/>
      <c r="P97" s="73"/>
      <c r="Q97" s="73">
        <v>110.998</v>
      </c>
      <c r="R97" s="73">
        <v>7.447</v>
      </c>
      <c r="S97" s="104">
        <f t="shared" si="8"/>
        <v>118.44500000000001</v>
      </c>
      <c r="T97" s="98"/>
    </row>
    <row r="98" spans="1:20" s="12" customFormat="1" ht="12.75">
      <c r="A98" s="75" t="s">
        <v>233</v>
      </c>
      <c r="B98" s="73">
        <v>111.566</v>
      </c>
      <c r="C98" s="73">
        <v>23.996</v>
      </c>
      <c r="D98" s="73">
        <v>33.964</v>
      </c>
      <c r="E98" s="73">
        <v>0.486</v>
      </c>
      <c r="F98" s="73">
        <v>81.565</v>
      </c>
      <c r="G98" s="73" t="s">
        <v>34</v>
      </c>
      <c r="H98" s="73">
        <v>12.562</v>
      </c>
      <c r="I98" s="73"/>
      <c r="J98" s="73">
        <v>7.872</v>
      </c>
      <c r="K98" s="73">
        <v>7.218</v>
      </c>
      <c r="L98" s="104">
        <f t="shared" si="7"/>
        <v>1.7719999999999914</v>
      </c>
      <c r="M98" s="73"/>
      <c r="N98" s="73"/>
      <c r="O98" s="73"/>
      <c r="P98" s="73"/>
      <c r="Q98" s="73">
        <v>111.475</v>
      </c>
      <c r="R98" s="73">
        <v>6.561</v>
      </c>
      <c r="S98" s="104">
        <f t="shared" si="8"/>
        <v>118.036</v>
      </c>
      <c r="T98" s="98"/>
    </row>
    <row r="99" spans="1:20" s="12" customFormat="1" ht="12.75">
      <c r="A99" s="75" t="s">
        <v>234</v>
      </c>
      <c r="B99" s="73">
        <v>79.195</v>
      </c>
      <c r="C99" s="73">
        <v>20.753</v>
      </c>
      <c r="D99" s="73">
        <v>15.794</v>
      </c>
      <c r="E99" s="73">
        <v>0.209</v>
      </c>
      <c r="F99" s="73">
        <v>53.411</v>
      </c>
      <c r="G99" s="73" t="s">
        <v>34</v>
      </c>
      <c r="H99" s="73">
        <v>9.546</v>
      </c>
      <c r="I99" s="73"/>
      <c r="J99" s="73">
        <v>5.406</v>
      </c>
      <c r="K99" s="73">
        <v>7.006</v>
      </c>
      <c r="L99" s="104">
        <f t="shared" si="7"/>
        <v>1.7309999999999945</v>
      </c>
      <c r="M99" s="73"/>
      <c r="N99" s="73"/>
      <c r="O99" s="73"/>
      <c r="P99" s="73"/>
      <c r="Q99" s="73">
        <v>77.309</v>
      </c>
      <c r="R99" s="73">
        <v>2.293</v>
      </c>
      <c r="S99" s="104">
        <f t="shared" si="8"/>
        <v>79.602</v>
      </c>
      <c r="T99" s="98"/>
    </row>
    <row r="100" spans="1:20" s="12" customFormat="1" ht="12.75">
      <c r="A100" s="75" t="s">
        <v>235</v>
      </c>
      <c r="B100" s="73">
        <v>105.973</v>
      </c>
      <c r="C100" s="73">
        <v>9.228</v>
      </c>
      <c r="D100" s="73">
        <v>25.752</v>
      </c>
      <c r="E100" s="73">
        <v>0.332</v>
      </c>
      <c r="F100" s="73">
        <v>73.94</v>
      </c>
      <c r="G100" s="73" t="s">
        <v>34</v>
      </c>
      <c r="H100" s="73">
        <v>13.298</v>
      </c>
      <c r="I100" s="73"/>
      <c r="J100" s="73">
        <v>7.799</v>
      </c>
      <c r="K100" s="73">
        <v>8.313</v>
      </c>
      <c r="L100" s="104">
        <f t="shared" si="7"/>
        <v>1.7039999999999935</v>
      </c>
      <c r="M100" s="73"/>
      <c r="N100" s="73"/>
      <c r="O100" s="73"/>
      <c r="P100" s="73"/>
      <c r="Q100" s="73">
        <v>105.386</v>
      </c>
      <c r="R100" s="73">
        <v>2.432</v>
      </c>
      <c r="S100" s="104">
        <f t="shared" si="8"/>
        <v>107.818</v>
      </c>
      <c r="T100" s="98"/>
    </row>
    <row r="101" spans="1:20" s="12" customFormat="1" ht="12.75">
      <c r="A101" s="75" t="s">
        <v>236</v>
      </c>
      <c r="B101" s="73">
        <v>119.47699999999999</v>
      </c>
      <c r="C101" s="73">
        <v>8.704</v>
      </c>
      <c r="D101" s="73">
        <v>29.776</v>
      </c>
      <c r="E101" s="73">
        <v>0.306</v>
      </c>
      <c r="F101" s="73">
        <v>82.652</v>
      </c>
      <c r="G101" s="73" t="s">
        <v>34</v>
      </c>
      <c r="H101" s="73">
        <v>13.081</v>
      </c>
      <c r="I101" s="73"/>
      <c r="J101" s="73">
        <v>7.421</v>
      </c>
      <c r="K101" s="73">
        <v>9.278</v>
      </c>
      <c r="L101" s="104">
        <f t="shared" si="7"/>
        <v>1.495999999999981</v>
      </c>
      <c r="M101" s="73"/>
      <c r="N101" s="73"/>
      <c r="O101" s="73"/>
      <c r="P101" s="73"/>
      <c r="Q101" s="73">
        <v>114.234</v>
      </c>
      <c r="R101" s="73">
        <v>2.677</v>
      </c>
      <c r="S101" s="104">
        <f t="shared" si="8"/>
        <v>116.911</v>
      </c>
      <c r="T101" s="98"/>
    </row>
    <row r="102" spans="1:20" s="12" customFormat="1" ht="12.75">
      <c r="A102" s="75" t="s">
        <v>237</v>
      </c>
      <c r="B102" s="73">
        <v>117.28500000000001</v>
      </c>
      <c r="C102" s="73">
        <v>6.142</v>
      </c>
      <c r="D102" s="73">
        <v>27.104</v>
      </c>
      <c r="E102" s="73">
        <v>0.235</v>
      </c>
      <c r="F102" s="73">
        <v>87.96</v>
      </c>
      <c r="G102" s="73" t="s">
        <v>34</v>
      </c>
      <c r="H102" s="73">
        <v>12.911</v>
      </c>
      <c r="I102" s="73"/>
      <c r="J102" s="73">
        <v>6.536</v>
      </c>
      <c r="K102" s="73">
        <v>6.827</v>
      </c>
      <c r="L102" s="104">
        <f t="shared" si="7"/>
        <v>1.4250000000000114</v>
      </c>
      <c r="M102" s="73"/>
      <c r="N102" s="73"/>
      <c r="O102" s="73"/>
      <c r="P102" s="73"/>
      <c r="Q102" s="73">
        <v>115.894</v>
      </c>
      <c r="R102" s="73">
        <v>2.353</v>
      </c>
      <c r="S102" s="104">
        <f t="shared" si="8"/>
        <v>118.247</v>
      </c>
      <c r="T102" s="98"/>
    </row>
    <row r="103" spans="1:20" s="12" customFormat="1" ht="12.75">
      <c r="A103" s="75" t="s">
        <v>238</v>
      </c>
      <c r="B103" s="73">
        <v>116.771</v>
      </c>
      <c r="C103" s="73">
        <v>7.332</v>
      </c>
      <c r="D103" s="73">
        <v>28.834</v>
      </c>
      <c r="E103" s="73">
        <v>0.196</v>
      </c>
      <c r="F103" s="73">
        <v>84.258</v>
      </c>
      <c r="G103" s="73" t="s">
        <v>34</v>
      </c>
      <c r="H103" s="73">
        <v>12.908</v>
      </c>
      <c r="I103" s="73"/>
      <c r="J103" s="73">
        <v>5.741</v>
      </c>
      <c r="K103" s="73">
        <v>7.131</v>
      </c>
      <c r="L103" s="104">
        <f t="shared" si="7"/>
        <v>1.2650000000000006</v>
      </c>
      <c r="M103" s="73"/>
      <c r="N103" s="73"/>
      <c r="O103" s="73"/>
      <c r="P103" s="73"/>
      <c r="Q103" s="73">
        <v>111.499</v>
      </c>
      <c r="R103" s="73">
        <v>1.822</v>
      </c>
      <c r="S103" s="104">
        <f t="shared" si="8"/>
        <v>113.321</v>
      </c>
      <c r="T103" s="98"/>
    </row>
    <row r="104" spans="1:20" s="12" customFormat="1" ht="12.75">
      <c r="A104" s="75" t="s">
        <v>239</v>
      </c>
      <c r="B104" s="73">
        <v>114.30699999999999</v>
      </c>
      <c r="C104" s="73">
        <v>10.053</v>
      </c>
      <c r="D104" s="73">
        <v>29.191</v>
      </c>
      <c r="E104" s="73">
        <v>0.146</v>
      </c>
      <c r="F104" s="73">
        <v>82.053</v>
      </c>
      <c r="G104" s="73" t="s">
        <v>34</v>
      </c>
      <c r="H104" s="73">
        <v>12.509</v>
      </c>
      <c r="I104" s="73"/>
      <c r="J104" s="73">
        <v>5.048</v>
      </c>
      <c r="K104" s="73">
        <v>6.763</v>
      </c>
      <c r="L104" s="104">
        <f t="shared" si="7"/>
        <v>1.0619999999999976</v>
      </c>
      <c r="M104" s="73"/>
      <c r="N104" s="73"/>
      <c r="O104" s="73"/>
      <c r="P104" s="73"/>
      <c r="Q104" s="73">
        <v>107.581</v>
      </c>
      <c r="R104" s="73">
        <v>2.049</v>
      </c>
      <c r="S104" s="104">
        <f t="shared" si="8"/>
        <v>109.63000000000001</v>
      </c>
      <c r="T104" s="98"/>
    </row>
    <row r="105" spans="1:20" s="12" customFormat="1" ht="12.75">
      <c r="A105" s="75" t="s">
        <v>240</v>
      </c>
      <c r="B105" s="73">
        <v>108.177</v>
      </c>
      <c r="C105" s="73">
        <v>9.013</v>
      </c>
      <c r="D105" s="73">
        <v>28.747</v>
      </c>
      <c r="E105" s="73">
        <v>0.117</v>
      </c>
      <c r="F105" s="73">
        <v>84.014</v>
      </c>
      <c r="G105" s="73" t="s">
        <v>34</v>
      </c>
      <c r="H105" s="73">
        <v>12.396</v>
      </c>
      <c r="I105" s="73"/>
      <c r="J105" s="73">
        <v>4.239</v>
      </c>
      <c r="K105" s="73">
        <v>6.28</v>
      </c>
      <c r="L105" s="104">
        <f t="shared" si="7"/>
        <v>1.2109999999999985</v>
      </c>
      <c r="M105" s="73"/>
      <c r="N105" s="73"/>
      <c r="O105" s="73"/>
      <c r="P105" s="73"/>
      <c r="Q105" s="73">
        <v>108.257</v>
      </c>
      <c r="R105" s="73">
        <v>2.307</v>
      </c>
      <c r="S105" s="104">
        <f t="shared" si="8"/>
        <v>110.56400000000001</v>
      </c>
      <c r="T105" s="98"/>
    </row>
    <row r="106" spans="1:20" s="12" customFormat="1" ht="12.75">
      <c r="A106" s="75" t="s">
        <v>272</v>
      </c>
      <c r="B106" s="73">
        <v>117.55000000000001</v>
      </c>
      <c r="C106" s="73">
        <v>10.977</v>
      </c>
      <c r="D106" s="73">
        <v>32.343</v>
      </c>
      <c r="E106" s="73">
        <v>0.112</v>
      </c>
      <c r="F106" s="73">
        <v>83.542</v>
      </c>
      <c r="G106" s="73" t="s">
        <v>34</v>
      </c>
      <c r="H106" s="73">
        <v>11.512</v>
      </c>
      <c r="I106" s="73"/>
      <c r="J106" s="73">
        <v>4.778</v>
      </c>
      <c r="K106" s="73">
        <v>6.426</v>
      </c>
      <c r="L106" s="104">
        <f t="shared" si="7"/>
        <v>1.1439999999999912</v>
      </c>
      <c r="M106" s="73"/>
      <c r="N106" s="73"/>
      <c r="O106" s="73"/>
      <c r="P106" s="73"/>
      <c r="Q106" s="73">
        <v>107.514</v>
      </c>
      <c r="R106" s="73">
        <v>1.824</v>
      </c>
      <c r="S106" s="104">
        <f t="shared" si="8"/>
        <v>109.338</v>
      </c>
      <c r="T106" s="98"/>
    </row>
    <row r="107" spans="1:20" s="12" customFormat="1" ht="15">
      <c r="A107" s="75" t="s">
        <v>291</v>
      </c>
      <c r="B107" s="73">
        <v>107.746</v>
      </c>
      <c r="C107" s="73">
        <v>13.714</v>
      </c>
      <c r="D107" s="73">
        <v>33.493</v>
      </c>
      <c r="E107" s="73">
        <v>0.079</v>
      </c>
      <c r="F107" s="73">
        <v>78.469</v>
      </c>
      <c r="G107" s="73" t="s">
        <v>34</v>
      </c>
      <c r="H107" s="73">
        <v>10.35</v>
      </c>
      <c r="I107" s="73"/>
      <c r="J107" s="73">
        <v>4.156</v>
      </c>
      <c r="K107" s="73">
        <v>6.581</v>
      </c>
      <c r="L107" s="104">
        <f t="shared" si="7"/>
        <v>0.9450000000000074</v>
      </c>
      <c r="M107" s="73"/>
      <c r="N107" s="73"/>
      <c r="O107" s="73"/>
      <c r="P107" s="73"/>
      <c r="Q107" s="73">
        <v>100.58</v>
      </c>
      <c r="R107" s="73">
        <v>0.973</v>
      </c>
      <c r="S107" s="104">
        <f t="shared" si="8"/>
        <v>101.553</v>
      </c>
      <c r="T107" s="98"/>
    </row>
    <row r="108" spans="1:20" s="12" customFormat="1" ht="12.75">
      <c r="A108" s="75" t="s">
        <v>273</v>
      </c>
      <c r="B108" s="73">
        <v>86.92099999999999</v>
      </c>
      <c r="C108" s="73">
        <v>15.989</v>
      </c>
      <c r="D108" s="73">
        <v>29.872</v>
      </c>
      <c r="E108" s="73">
        <v>0.048</v>
      </c>
      <c r="F108" s="73">
        <v>66.136</v>
      </c>
      <c r="G108" s="73" t="s">
        <v>34</v>
      </c>
      <c r="H108" s="73">
        <v>9.808</v>
      </c>
      <c r="I108" s="73"/>
      <c r="J108" s="73">
        <v>4.638</v>
      </c>
      <c r="K108" s="73">
        <v>5.3</v>
      </c>
      <c r="L108" s="104">
        <f t="shared" si="7"/>
        <v>0.8260000000000076</v>
      </c>
      <c r="M108" s="73"/>
      <c r="N108" s="73"/>
      <c r="O108" s="73"/>
      <c r="P108" s="73"/>
      <c r="Q108" s="73">
        <v>86.756</v>
      </c>
      <c r="R108" s="73">
        <v>1.114</v>
      </c>
      <c r="S108" s="104">
        <f t="shared" si="8"/>
        <v>87.87</v>
      </c>
      <c r="T108" s="98"/>
    </row>
    <row r="109" spans="1:20" s="12" customFormat="1" ht="12.75">
      <c r="A109" s="75" t="s">
        <v>274</v>
      </c>
      <c r="B109" s="73">
        <v>82.226</v>
      </c>
      <c r="C109" s="73">
        <v>11.271</v>
      </c>
      <c r="D109" s="73">
        <v>15.301147</v>
      </c>
      <c r="E109" s="73">
        <v>0.022</v>
      </c>
      <c r="F109" s="73">
        <v>62.406</v>
      </c>
      <c r="G109" s="73" t="s">
        <v>34</v>
      </c>
      <c r="H109" s="73">
        <v>9.771</v>
      </c>
      <c r="I109" s="73"/>
      <c r="J109" s="73">
        <v>3.901</v>
      </c>
      <c r="K109" s="73">
        <v>4.946</v>
      </c>
      <c r="L109" s="104">
        <f t="shared" si="7"/>
        <v>0.7210000000000036</v>
      </c>
      <c r="M109" s="73"/>
      <c r="N109" s="73"/>
      <c r="O109" s="73"/>
      <c r="P109" s="73"/>
      <c r="Q109" s="73">
        <v>81.767</v>
      </c>
      <c r="R109" s="73">
        <v>1.236</v>
      </c>
      <c r="S109" s="104">
        <f t="shared" si="8"/>
        <v>83.003</v>
      </c>
      <c r="T109" s="98"/>
    </row>
    <row r="110" spans="1:20" s="12" customFormat="1" ht="12.75">
      <c r="A110" s="75" t="s">
        <v>275</v>
      </c>
      <c r="B110" s="73">
        <v>76.616</v>
      </c>
      <c r="C110" s="73">
        <v>7.104</v>
      </c>
      <c r="D110" s="73">
        <v>13.226201</v>
      </c>
      <c r="E110" s="73">
        <v>0.008</v>
      </c>
      <c r="F110" s="73">
        <v>59.588</v>
      </c>
      <c r="G110" s="73" t="s">
        <v>34</v>
      </c>
      <c r="H110" s="73">
        <v>9.639</v>
      </c>
      <c r="I110" s="73"/>
      <c r="J110" s="73">
        <v>2.69</v>
      </c>
      <c r="K110" s="73">
        <v>4.494</v>
      </c>
      <c r="L110" s="104">
        <f t="shared" si="7"/>
        <v>0.5229999999999961</v>
      </c>
      <c r="M110" s="73"/>
      <c r="N110" s="73"/>
      <c r="O110" s="73"/>
      <c r="P110" s="73"/>
      <c r="Q110" s="73">
        <v>76.942</v>
      </c>
      <c r="R110" s="73">
        <v>0.859</v>
      </c>
      <c r="S110" s="104">
        <f t="shared" si="8"/>
        <v>77.80099999999999</v>
      </c>
      <c r="T110" s="98"/>
    </row>
    <row r="111" spans="1:20" s="12" customFormat="1" ht="12.75">
      <c r="A111" s="75" t="s">
        <v>276</v>
      </c>
      <c r="B111" s="73">
        <v>70.833</v>
      </c>
      <c r="C111" s="73">
        <v>4.153</v>
      </c>
      <c r="D111" s="73">
        <v>12.352330198983719</v>
      </c>
      <c r="E111" s="73">
        <v>0.008</v>
      </c>
      <c r="F111" s="73">
        <v>55.511</v>
      </c>
      <c r="G111" s="73" t="s">
        <v>34</v>
      </c>
      <c r="H111" s="73">
        <v>9.577538</v>
      </c>
      <c r="I111" s="73"/>
      <c r="J111" s="73">
        <v>2.705</v>
      </c>
      <c r="K111" s="73">
        <v>3.074919627315607</v>
      </c>
      <c r="L111" s="104">
        <f>S111-SUM(E111:K111)</f>
        <v>1.5118412489999997</v>
      </c>
      <c r="M111" s="73"/>
      <c r="N111" s="73"/>
      <c r="O111" s="73"/>
      <c r="P111" s="73"/>
      <c r="Q111" s="73">
        <v>71.39995762731562</v>
      </c>
      <c r="R111" s="73">
        <v>0.988341249</v>
      </c>
      <c r="S111" s="104">
        <f>Q111+R111</f>
        <v>72.38829887631562</v>
      </c>
      <c r="T111" s="73"/>
    </row>
    <row r="112" spans="1:20" s="12" customFormat="1" ht="12.75">
      <c r="A112" s="75" t="s">
        <v>277</v>
      </c>
      <c r="B112" s="73">
        <v>63.423</v>
      </c>
      <c r="C112" s="73">
        <v>4.802783000000001</v>
      </c>
      <c r="D112" s="73">
        <v>15.385352000000001</v>
      </c>
      <c r="E112" s="73">
        <v>0.008</v>
      </c>
      <c r="F112" s="73">
        <v>47.333</v>
      </c>
      <c r="G112" s="73" t="s">
        <v>34</v>
      </c>
      <c r="H112" s="73">
        <v>9.614</v>
      </c>
      <c r="I112" s="73"/>
      <c r="J112" s="73">
        <v>2.587</v>
      </c>
      <c r="K112" s="73">
        <v>2.993</v>
      </c>
      <c r="L112" s="104">
        <f>S112-SUM(E112:K112)</f>
        <v>1.6909999999999954</v>
      </c>
      <c r="M112" s="73"/>
      <c r="N112" s="73"/>
      <c r="O112" s="73"/>
      <c r="P112" s="73"/>
      <c r="Q112" s="73">
        <v>63.08</v>
      </c>
      <c r="R112" s="73">
        <v>1.146</v>
      </c>
      <c r="S112" s="104">
        <f aca="true" t="shared" si="9" ref="S112:S130">Q112+R112</f>
        <v>64.226</v>
      </c>
      <c r="T112" s="73"/>
    </row>
    <row r="113" spans="1:20" s="12" customFormat="1" ht="12.75">
      <c r="A113" s="75" t="s">
        <v>278</v>
      </c>
      <c r="B113" s="73">
        <v>62.871</v>
      </c>
      <c r="C113" s="73">
        <v>4.564875</v>
      </c>
      <c r="D113" s="73">
        <v>14.201896000000001</v>
      </c>
      <c r="E113" s="73">
        <v>0.005</v>
      </c>
      <c r="F113" s="73">
        <v>48.588</v>
      </c>
      <c r="G113" s="73" t="s">
        <v>34</v>
      </c>
      <c r="H113" s="73">
        <v>9.363</v>
      </c>
      <c r="I113" s="73"/>
      <c r="J113" s="73">
        <v>2.366</v>
      </c>
      <c r="K113" s="73">
        <v>2.414</v>
      </c>
      <c r="L113" s="104">
        <f aca="true" t="shared" si="10" ref="L113:L127">S113-SUM(E113:K113)-R113</f>
        <v>0.4160000000000005</v>
      </c>
      <c r="M113" s="73"/>
      <c r="N113" s="73"/>
      <c r="O113" s="73"/>
      <c r="P113" s="73"/>
      <c r="Q113" s="73">
        <v>63.152</v>
      </c>
      <c r="R113" s="73">
        <v>0.971</v>
      </c>
      <c r="S113" s="104">
        <f t="shared" si="9"/>
        <v>64.123</v>
      </c>
      <c r="T113" s="73"/>
    </row>
    <row r="114" spans="1:20" s="12" customFormat="1" ht="12.75">
      <c r="A114" s="75" t="s">
        <v>279</v>
      </c>
      <c r="B114" s="73">
        <v>55.445</v>
      </c>
      <c r="C114" s="73">
        <v>5.157127999999999</v>
      </c>
      <c r="D114" s="73">
        <v>14.774326473118277</v>
      </c>
      <c r="E114" s="73">
        <v>0.01</v>
      </c>
      <c r="F114" s="73">
        <v>41.178</v>
      </c>
      <c r="G114" s="73" t="s">
        <v>34</v>
      </c>
      <c r="H114" s="73">
        <v>9.059</v>
      </c>
      <c r="I114" s="73"/>
      <c r="J114" s="73">
        <v>2.517</v>
      </c>
      <c r="K114" s="73">
        <v>2.04</v>
      </c>
      <c r="L114" s="104">
        <f t="shared" si="10"/>
        <v>0.9200000000000045</v>
      </c>
      <c r="M114" s="73"/>
      <c r="N114" s="73"/>
      <c r="O114" s="73"/>
      <c r="P114" s="73"/>
      <c r="Q114" s="73">
        <v>55.724</v>
      </c>
      <c r="R114" s="73">
        <v>0.761</v>
      </c>
      <c r="S114" s="104">
        <f t="shared" si="9"/>
        <v>56.485</v>
      </c>
      <c r="T114" s="73"/>
    </row>
    <row r="115" spans="1:20" s="12" customFormat="1" ht="12.75">
      <c r="A115" s="75" t="s">
        <v>280</v>
      </c>
      <c r="B115" s="73">
        <v>59.837978845194094</v>
      </c>
      <c r="C115" s="73">
        <v>1.645979</v>
      </c>
      <c r="D115" s="73">
        <v>12.430643921827958</v>
      </c>
      <c r="E115" s="73">
        <v>0.012451058518177514</v>
      </c>
      <c r="F115" s="73">
        <v>46.19749397585291</v>
      </c>
      <c r="G115" s="73" t="s">
        <v>34</v>
      </c>
      <c r="H115" s="73">
        <v>9.880335277454865</v>
      </c>
      <c r="I115" s="73"/>
      <c r="J115" s="73">
        <v>1.882697456745278</v>
      </c>
      <c r="K115" s="73">
        <v>1.875996805472806</v>
      </c>
      <c r="L115" s="104">
        <f t="shared" si="10"/>
        <v>0.08202385522608369</v>
      </c>
      <c r="M115" s="73"/>
      <c r="N115" s="73"/>
      <c r="O115" s="73"/>
      <c r="P115" s="73"/>
      <c r="Q115" s="73">
        <v>59.93099842927012</v>
      </c>
      <c r="R115" s="73">
        <v>0.660336295</v>
      </c>
      <c r="S115" s="104">
        <f t="shared" si="9"/>
        <v>60.59133472427012</v>
      </c>
      <c r="T115" s="73"/>
    </row>
    <row r="116" spans="1:20" s="12" customFormat="1" ht="12.75">
      <c r="A116" s="75" t="s">
        <v>281</v>
      </c>
      <c r="B116" s="73">
        <v>63.53039649514954</v>
      </c>
      <c r="C116" s="73">
        <v>1.582948</v>
      </c>
      <c r="D116" s="73">
        <v>15.885351408602153</v>
      </c>
      <c r="E116" s="73">
        <v>0.009647000000000001</v>
      </c>
      <c r="F116" s="73">
        <v>50.93136963769058</v>
      </c>
      <c r="G116" s="73" t="s">
        <v>34</v>
      </c>
      <c r="H116" s="73">
        <v>9.141124260750473</v>
      </c>
      <c r="I116" s="73"/>
      <c r="J116" s="73">
        <v>1.8737301659080574</v>
      </c>
      <c r="K116" s="73">
        <v>1.8263821134609537</v>
      </c>
      <c r="L116" s="104">
        <f t="shared" si="10"/>
        <v>0.06815536662402277</v>
      </c>
      <c r="M116" s="73"/>
      <c r="N116" s="73"/>
      <c r="O116" s="73"/>
      <c r="P116" s="73"/>
      <c r="Q116" s="73">
        <v>63.85040854443409</v>
      </c>
      <c r="R116" s="73">
        <v>0.5499653430000001</v>
      </c>
      <c r="S116" s="104">
        <f t="shared" si="9"/>
        <v>64.40037388743409</v>
      </c>
      <c r="T116" s="73"/>
    </row>
    <row r="117" spans="1:20" s="12" customFormat="1" ht="12.75">
      <c r="A117" s="75" t="s">
        <v>282</v>
      </c>
      <c r="B117" s="73">
        <v>58.63907051822383</v>
      </c>
      <c r="C117" s="73">
        <v>2.481579</v>
      </c>
      <c r="D117" s="73">
        <v>14.486134083333333</v>
      </c>
      <c r="E117" s="73">
        <v>0.008614</v>
      </c>
      <c r="F117" s="73">
        <v>47.74111464911107</v>
      </c>
      <c r="G117" s="73" t="s">
        <v>34</v>
      </c>
      <c r="H117" s="73">
        <v>7.686221116545266</v>
      </c>
      <c r="I117" s="73"/>
      <c r="J117" s="73">
        <v>1.2859862110870708</v>
      </c>
      <c r="K117" s="73">
        <v>1.8095600840568753</v>
      </c>
      <c r="L117" s="104">
        <f t="shared" si="10"/>
        <v>0.022366616172214582</v>
      </c>
      <c r="M117" s="73"/>
      <c r="N117" s="73"/>
      <c r="O117" s="73"/>
      <c r="P117" s="73"/>
      <c r="Q117" s="73">
        <v>58.55386267697249</v>
      </c>
      <c r="R117" s="73">
        <v>0.536885722</v>
      </c>
      <c r="S117" s="104">
        <f t="shared" si="9"/>
        <v>59.090748398972494</v>
      </c>
      <c r="T117" s="73"/>
    </row>
    <row r="118" spans="1:20" s="12" customFormat="1" ht="12.75">
      <c r="A118" s="75" t="s">
        <v>283</v>
      </c>
      <c r="B118" s="73">
        <v>62.865</v>
      </c>
      <c r="C118" s="73">
        <v>1.6236869999999999</v>
      </c>
      <c r="D118" s="73">
        <v>12.106995042258065</v>
      </c>
      <c r="E118" s="73">
        <v>0.005653</v>
      </c>
      <c r="F118" s="73">
        <v>52.46340542583814</v>
      </c>
      <c r="G118" s="73" t="s">
        <v>34</v>
      </c>
      <c r="H118" s="73">
        <v>7.6300087560393886</v>
      </c>
      <c r="I118" s="73"/>
      <c r="J118" s="73">
        <v>1.042559561902809</v>
      </c>
      <c r="K118" s="73">
        <v>1.8561076770157214</v>
      </c>
      <c r="L118" s="104">
        <f t="shared" si="10"/>
        <v>0.02480430737779593</v>
      </c>
      <c r="M118" s="73"/>
      <c r="N118" s="73"/>
      <c r="O118" s="73"/>
      <c r="P118" s="73"/>
      <c r="Q118" s="73">
        <v>63.022538728173856</v>
      </c>
      <c r="R118" s="73">
        <v>0.542556461</v>
      </c>
      <c r="S118" s="104">
        <f t="shared" si="9"/>
        <v>63.56509518917385</v>
      </c>
      <c r="T118" s="73"/>
    </row>
    <row r="119" spans="1:20" s="12" customFormat="1" ht="12.75">
      <c r="A119" s="75" t="s">
        <v>284</v>
      </c>
      <c r="B119" s="73">
        <v>60.56720662807844</v>
      </c>
      <c r="C119" s="73">
        <v>1.192283</v>
      </c>
      <c r="D119" s="73">
        <v>12.598442003179633</v>
      </c>
      <c r="E119" s="73">
        <v>0.007817000000000001</v>
      </c>
      <c r="F119" s="73">
        <v>50.443589783968605</v>
      </c>
      <c r="G119" s="73" t="s">
        <v>34</v>
      </c>
      <c r="H119" s="73">
        <v>7.182314300487744</v>
      </c>
      <c r="I119" s="73"/>
      <c r="J119" s="73">
        <v>0.9406646989147021</v>
      </c>
      <c r="K119" s="73">
        <v>1.8477608042490763</v>
      </c>
      <c r="L119" s="104">
        <f t="shared" si="10"/>
        <v>0.027500000000006408</v>
      </c>
      <c r="M119" s="73"/>
      <c r="N119" s="73"/>
      <c r="O119" s="73"/>
      <c r="P119" s="73"/>
      <c r="Q119" s="73">
        <v>60.44964658762014</v>
      </c>
      <c r="R119" s="73">
        <v>0.6216179760000001</v>
      </c>
      <c r="S119" s="104">
        <f t="shared" si="9"/>
        <v>61.07126456362014</v>
      </c>
      <c r="T119" s="73"/>
    </row>
    <row r="120" spans="1:20" s="12" customFormat="1" ht="12.75">
      <c r="A120" s="75" t="s">
        <v>285</v>
      </c>
      <c r="B120" s="73">
        <v>61.77993879890976</v>
      </c>
      <c r="C120" s="73">
        <v>1.100831</v>
      </c>
      <c r="D120" s="73">
        <v>14.527299090000001</v>
      </c>
      <c r="E120" s="73">
        <v>0.005746</v>
      </c>
      <c r="F120" s="73">
        <v>52.05823558461539</v>
      </c>
      <c r="G120" s="73" t="s">
        <v>34</v>
      </c>
      <c r="H120" s="73">
        <v>7.333673003271948</v>
      </c>
      <c r="I120" s="73">
        <v>0.004</v>
      </c>
      <c r="J120" s="73">
        <v>0.6140928073694754</v>
      </c>
      <c r="K120" s="73">
        <v>1.7814228156753567</v>
      </c>
      <c r="L120" s="104">
        <f t="shared" si="10"/>
        <v>0.05520911512570992</v>
      </c>
      <c r="M120" s="73"/>
      <c r="N120" s="73"/>
      <c r="O120" s="73"/>
      <c r="P120" s="101"/>
      <c r="Q120" s="73">
        <v>61.85237932605788</v>
      </c>
      <c r="R120" s="73">
        <v>0.535862974</v>
      </c>
      <c r="S120" s="104">
        <f t="shared" si="9"/>
        <v>62.388242300057875</v>
      </c>
      <c r="T120" s="73"/>
    </row>
    <row r="121" spans="1:20" s="12" customFormat="1" ht="12.75">
      <c r="A121" s="75" t="s">
        <v>286</v>
      </c>
      <c r="B121" s="73">
        <v>67.3397134603</v>
      </c>
      <c r="C121" s="73">
        <v>0.7833300000000001</v>
      </c>
      <c r="D121" s="73">
        <v>16.426925370000003</v>
      </c>
      <c r="E121" s="73">
        <v>0.003758</v>
      </c>
      <c r="F121" s="73">
        <v>57.43777850897604</v>
      </c>
      <c r="G121" s="73" t="s">
        <v>34</v>
      </c>
      <c r="H121" s="73">
        <v>7.782322209643864</v>
      </c>
      <c r="I121" s="73">
        <v>0.0188</v>
      </c>
      <c r="J121" s="73">
        <v>0.5612207108247418</v>
      </c>
      <c r="K121" s="73">
        <v>1.7555353316911195</v>
      </c>
      <c r="L121" s="104">
        <f t="shared" si="10"/>
        <v>0.03471319279934826</v>
      </c>
      <c r="M121" s="73"/>
      <c r="N121" s="73"/>
      <c r="O121" s="73"/>
      <c r="P121" s="101"/>
      <c r="Q121" s="73">
        <v>67.5941279539351</v>
      </c>
      <c r="R121" s="73">
        <v>0.443152502</v>
      </c>
      <c r="S121" s="104">
        <f t="shared" si="9"/>
        <v>68.0372804559351</v>
      </c>
      <c r="T121" s="73"/>
    </row>
    <row r="122" spans="1:20" s="12" customFormat="1" ht="12.75">
      <c r="A122" s="75" t="s">
        <v>287</v>
      </c>
      <c r="B122" s="73">
        <v>62.90348874599999</v>
      </c>
      <c r="C122" s="73">
        <v>0.734448</v>
      </c>
      <c r="D122" s="73">
        <v>13.42027242</v>
      </c>
      <c r="E122" s="73">
        <v>0.004613</v>
      </c>
      <c r="F122" s="73">
        <v>52.510676487400076</v>
      </c>
      <c r="G122" s="73" t="s">
        <v>34</v>
      </c>
      <c r="H122" s="73">
        <v>7.923821536354175</v>
      </c>
      <c r="I122" s="73">
        <v>0.0188</v>
      </c>
      <c r="J122" s="73">
        <v>0.6482356309812356</v>
      </c>
      <c r="K122" s="73">
        <v>1.8963647625862368</v>
      </c>
      <c r="L122" s="104">
        <f t="shared" si="10"/>
        <v>0.02639179027358851</v>
      </c>
      <c r="M122" s="73"/>
      <c r="N122" s="73"/>
      <c r="O122" s="73"/>
      <c r="P122" s="101"/>
      <c r="Q122" s="73">
        <v>63.028903207595306</v>
      </c>
      <c r="R122" s="73">
        <v>0.543584561</v>
      </c>
      <c r="S122" s="104">
        <f t="shared" si="9"/>
        <v>63.57248776859531</v>
      </c>
      <c r="T122" s="73"/>
    </row>
    <row r="123" spans="1:20" s="12" customFormat="1" ht="12.75">
      <c r="A123" s="75" t="s">
        <v>288</v>
      </c>
      <c r="B123" s="73">
        <v>58.219467301517135</v>
      </c>
      <c r="C123" s="73">
        <v>0.8538345426975259</v>
      </c>
      <c r="D123" s="73">
        <v>16.39197471860497</v>
      </c>
      <c r="E123" s="73">
        <v>0.005285966916495167</v>
      </c>
      <c r="F123" s="73">
        <v>47.80763491345586</v>
      </c>
      <c r="G123" s="73" t="s">
        <v>34</v>
      </c>
      <c r="H123" s="73">
        <v>7.899679343972977</v>
      </c>
      <c r="I123" s="73">
        <v>0.0188</v>
      </c>
      <c r="J123" s="73">
        <v>0.6834858796132496</v>
      </c>
      <c r="K123" s="73">
        <v>1.9404403113653297</v>
      </c>
      <c r="L123" s="104">
        <f t="shared" si="10"/>
        <v>0.029718943992787406</v>
      </c>
      <c r="M123" s="73"/>
      <c r="N123" s="73"/>
      <c r="O123" s="73"/>
      <c r="P123" s="107"/>
      <c r="Q123" s="104">
        <v>58.3850453593167</v>
      </c>
      <c r="R123" s="104">
        <v>0.599389108</v>
      </c>
      <c r="S123" s="104">
        <f t="shared" si="9"/>
        <v>58.984434467316696</v>
      </c>
      <c r="T123" s="73"/>
    </row>
    <row r="124" spans="1:21" s="12" customFormat="1" ht="12.75">
      <c r="A124" s="75" t="s">
        <v>336</v>
      </c>
      <c r="B124" s="73">
        <v>48.78490978662067</v>
      </c>
      <c r="C124" s="73">
        <v>1.449730769230769</v>
      </c>
      <c r="D124" s="73">
        <v>22.641320473285724</v>
      </c>
      <c r="E124" s="73">
        <v>0.0048437315401486</v>
      </c>
      <c r="F124" s="73">
        <v>39.680806956526055</v>
      </c>
      <c r="G124" s="73" t="s">
        <v>34</v>
      </c>
      <c r="H124" s="73">
        <v>6.507082826282599</v>
      </c>
      <c r="I124" s="73">
        <v>0.0188</v>
      </c>
      <c r="J124" s="73">
        <v>0.6891694182166587</v>
      </c>
      <c r="K124" s="73">
        <v>1.742097242188352</v>
      </c>
      <c r="L124" s="104">
        <f t="shared" si="10"/>
        <v>0.07539280307244356</v>
      </c>
      <c r="M124" s="73"/>
      <c r="N124" s="73"/>
      <c r="O124" s="73"/>
      <c r="P124" s="107"/>
      <c r="Q124" s="104">
        <v>48.718192977826256</v>
      </c>
      <c r="R124" s="104">
        <v>0.646469309</v>
      </c>
      <c r="S124" s="104">
        <f t="shared" si="9"/>
        <v>49.36466228682625</v>
      </c>
      <c r="T124" s="73"/>
      <c r="U124" s="73"/>
    </row>
    <row r="125" spans="1:21" s="12" customFormat="1" ht="12.75">
      <c r="A125" s="75" t="s">
        <v>347</v>
      </c>
      <c r="B125" s="73">
        <v>51.378345276625005</v>
      </c>
      <c r="C125" s="73">
        <v>1.5167692307692306</v>
      </c>
      <c r="D125" s="73">
        <v>15.367722800336018</v>
      </c>
      <c r="E125" s="73">
        <v>0.004908912544843143</v>
      </c>
      <c r="F125" s="73">
        <v>41.497513343818596</v>
      </c>
      <c r="G125" s="73" t="s">
        <v>34</v>
      </c>
      <c r="H125" s="73">
        <v>7.086189427606541</v>
      </c>
      <c r="I125" s="73">
        <v>0.018800000339525655</v>
      </c>
      <c r="J125" s="73">
        <v>0.7188725449947092</v>
      </c>
      <c r="K125" s="73">
        <v>1.9586163920435058</v>
      </c>
      <c r="L125" s="104">
        <f t="shared" si="10"/>
        <v>0.03926211228189325</v>
      </c>
      <c r="M125" s="73"/>
      <c r="N125" s="73"/>
      <c r="O125" s="73"/>
      <c r="P125" s="107"/>
      <c r="Q125" s="104">
        <v>51.32416273362961</v>
      </c>
      <c r="R125" s="104">
        <v>0.715322556</v>
      </c>
      <c r="S125" s="104">
        <f t="shared" si="9"/>
        <v>52.03948528962961</v>
      </c>
      <c r="T125" s="73"/>
      <c r="U125" s="73"/>
    </row>
    <row r="126" spans="1:21" s="12" customFormat="1" ht="12.75">
      <c r="A126" s="75" t="s">
        <v>351</v>
      </c>
      <c r="B126" s="73">
        <v>51.42418303835733</v>
      </c>
      <c r="C126" s="73">
        <v>0.9260303846153844</v>
      </c>
      <c r="D126" s="73">
        <v>15.115018490767682</v>
      </c>
      <c r="E126" s="73">
        <v>0.003782479622286028</v>
      </c>
      <c r="F126" s="73">
        <v>41.84965759666977</v>
      </c>
      <c r="G126" s="73" t="s">
        <v>34</v>
      </c>
      <c r="H126" s="73">
        <v>7.096568663476959</v>
      </c>
      <c r="I126" s="73">
        <v>0.0152914620911189</v>
      </c>
      <c r="J126" s="73">
        <v>0.7045361300623141</v>
      </c>
      <c r="K126" s="73">
        <v>1.7975695012845534</v>
      </c>
      <c r="L126" s="104">
        <f t="shared" si="10"/>
        <v>0.039862858761532116</v>
      </c>
      <c r="M126" s="73"/>
      <c r="N126" s="73"/>
      <c r="O126" s="73"/>
      <c r="P126" s="107"/>
      <c r="Q126" s="104">
        <v>51.50726869196854</v>
      </c>
      <c r="R126" s="104">
        <v>0.491123641</v>
      </c>
      <c r="S126" s="104">
        <f t="shared" si="9"/>
        <v>51.99839233296854</v>
      </c>
      <c r="T126" s="73"/>
      <c r="U126" s="73"/>
    </row>
    <row r="127" spans="1:21" s="12" customFormat="1" ht="12.75">
      <c r="A127" s="75" t="s">
        <v>354</v>
      </c>
      <c r="B127" s="73">
        <v>64.25900857213892</v>
      </c>
      <c r="C127" s="73">
        <v>1.1201260615384618</v>
      </c>
      <c r="D127" s="73">
        <v>11.883308600679964</v>
      </c>
      <c r="E127" s="73">
        <v>0.003825738565752623</v>
      </c>
      <c r="F127" s="73">
        <v>54.90132753156587</v>
      </c>
      <c r="G127" s="73" t="s">
        <v>34</v>
      </c>
      <c r="H127" s="73">
        <v>6.596579202696891</v>
      </c>
      <c r="I127" s="73">
        <v>0.016110150506896407</v>
      </c>
      <c r="J127" s="73">
        <v>0.6739295233302895</v>
      </c>
      <c r="K127" s="73">
        <v>1.8264702246742335</v>
      </c>
      <c r="L127" s="104">
        <f t="shared" si="10"/>
        <v>0.02408865936538357</v>
      </c>
      <c r="M127" s="73"/>
      <c r="N127" s="73"/>
      <c r="O127" s="73"/>
      <c r="P127" s="107"/>
      <c r="Q127" s="104">
        <v>64.04233103070531</v>
      </c>
      <c r="R127" s="104">
        <v>0.488437728</v>
      </c>
      <c r="S127" s="104">
        <f t="shared" si="9"/>
        <v>64.5307687587053</v>
      </c>
      <c r="T127" s="73"/>
      <c r="U127" s="73"/>
    </row>
    <row r="128" spans="1:21" s="12" customFormat="1" ht="12.75">
      <c r="A128" s="75" t="s">
        <v>358</v>
      </c>
      <c r="B128" s="104">
        <v>60.143492650395345</v>
      </c>
      <c r="C128" s="104">
        <v>0.5295841436713342</v>
      </c>
      <c r="D128" s="104">
        <v>15.113993573863498</v>
      </c>
      <c r="E128" s="104">
        <v>0.0026033023212793777</v>
      </c>
      <c r="F128" s="104">
        <v>49.8728515700124</v>
      </c>
      <c r="G128" s="104" t="s">
        <v>34</v>
      </c>
      <c r="H128" s="104">
        <v>7.319189798527758</v>
      </c>
      <c r="I128" s="104">
        <v>0.013711487145653041</v>
      </c>
      <c r="J128" s="104">
        <v>0.6395013251718294</v>
      </c>
      <c r="K128" s="104">
        <v>2.3225116277768683</v>
      </c>
      <c r="L128" s="104">
        <f>S128-SUM(E128:K128)-R128</f>
        <v>0.03561623187446461</v>
      </c>
      <c r="M128" s="97"/>
      <c r="N128" s="97"/>
      <c r="O128" s="97"/>
      <c r="P128" s="115"/>
      <c r="Q128" s="104">
        <v>60.20598534283025</v>
      </c>
      <c r="R128" s="104">
        <v>0.594613625</v>
      </c>
      <c r="S128" s="104">
        <f t="shared" si="9"/>
        <v>60.800598967830254</v>
      </c>
      <c r="T128" s="73"/>
      <c r="U128" s="73"/>
    </row>
    <row r="129" spans="1:21" s="12" customFormat="1" ht="12.75">
      <c r="A129" s="75" t="s">
        <v>379</v>
      </c>
      <c r="B129" s="104">
        <v>48.31609623470249</v>
      </c>
      <c r="C129" s="104">
        <v>0.6325385831340935</v>
      </c>
      <c r="D129" s="104">
        <v>20.142473199355372</v>
      </c>
      <c r="E129" s="104">
        <v>0</v>
      </c>
      <c r="F129" s="104">
        <v>38.2340204108848</v>
      </c>
      <c r="G129" s="104" t="s">
        <v>34</v>
      </c>
      <c r="H129" s="104">
        <v>7.02079686153289</v>
      </c>
      <c r="I129" s="104">
        <v>0.013</v>
      </c>
      <c r="J129" s="104">
        <v>0.5485149680601447</v>
      </c>
      <c r="K129" s="104">
        <v>2.4417966109270965</v>
      </c>
      <c r="L129" s="104">
        <f>S129-SUM(E129:K129)-R129</f>
        <v>0.24207538440554421</v>
      </c>
      <c r="M129" s="97"/>
      <c r="N129" s="97"/>
      <c r="O129" s="97"/>
      <c r="P129" s="115"/>
      <c r="Q129" s="104">
        <v>48.29476839705973</v>
      </c>
      <c r="R129" s="104">
        <v>0.425076235</v>
      </c>
      <c r="S129" s="104">
        <v>48.925280470810485</v>
      </c>
      <c r="T129" s="73"/>
      <c r="U129" s="73"/>
    </row>
    <row r="130" spans="1:21" s="12" customFormat="1" ht="12.75">
      <c r="A130" s="75" t="s">
        <v>382</v>
      </c>
      <c r="B130" s="104">
        <v>37.59988580962726</v>
      </c>
      <c r="C130" s="104">
        <v>0.3597437054212479</v>
      </c>
      <c r="D130" s="104">
        <v>13.545916255809269</v>
      </c>
      <c r="E130" s="104">
        <v>0</v>
      </c>
      <c r="F130" s="104">
        <v>29.329694470999787</v>
      </c>
      <c r="G130" s="104" t="s">
        <v>34</v>
      </c>
      <c r="H130" s="104">
        <v>5.445106492328029</v>
      </c>
      <c r="I130" s="104">
        <v>0.013000000000000001</v>
      </c>
      <c r="J130" s="104">
        <v>0.5520573005710019</v>
      </c>
      <c r="K130" s="104">
        <v>2.0734634617979277</v>
      </c>
      <c r="L130" s="104">
        <f>S130-SUM(E130:K130)-R130</f>
        <v>0.037591611791846946</v>
      </c>
      <c r="M130" s="97"/>
      <c r="N130" s="97"/>
      <c r="O130" s="97"/>
      <c r="P130" s="115"/>
      <c r="Q130" s="104">
        <v>37.450913337488586</v>
      </c>
      <c r="R130" s="104">
        <v>0.385393944</v>
      </c>
      <c r="S130" s="104">
        <f t="shared" si="9"/>
        <v>37.83630728148859</v>
      </c>
      <c r="T130" s="73"/>
      <c r="U130" s="73"/>
    </row>
    <row r="131" spans="1:21" s="12" customFormat="1" ht="12.75">
      <c r="A131" s="75" t="s">
        <v>385</v>
      </c>
      <c r="B131" s="104">
        <v>18.022118698705075</v>
      </c>
      <c r="C131" s="104">
        <v>0.4107117681928379</v>
      </c>
      <c r="D131" s="104">
        <v>8.120776798482055</v>
      </c>
      <c r="E131" s="104">
        <v>0</v>
      </c>
      <c r="F131" s="104">
        <v>12.05514059117469</v>
      </c>
      <c r="G131" s="104" t="s">
        <v>34</v>
      </c>
      <c r="H131" s="104">
        <v>3.4127285102919944</v>
      </c>
      <c r="I131" s="104">
        <v>0.015</v>
      </c>
      <c r="J131" s="104">
        <v>0.5497326220956049</v>
      </c>
      <c r="K131" s="104">
        <v>1.9625987284758108</v>
      </c>
      <c r="L131" s="104">
        <f>S131-SUM(E131:K131)-R131</f>
        <v>0.0401065129800624</v>
      </c>
      <c r="M131" s="97"/>
      <c r="N131" s="97"/>
      <c r="O131" s="97"/>
      <c r="P131" s="115"/>
      <c r="Q131" s="104">
        <v>18.035306965018165</v>
      </c>
      <c r="R131" s="104">
        <v>0.443430381</v>
      </c>
      <c r="S131" s="104">
        <f>Q131+R131</f>
        <v>18.478737346018164</v>
      </c>
      <c r="T131" s="73"/>
      <c r="U131" s="73"/>
    </row>
    <row r="132" spans="1:21" s="12" customFormat="1" ht="12.75">
      <c r="A132" s="75" t="s">
        <v>410</v>
      </c>
      <c r="B132" s="104">
        <v>14.421712535251746</v>
      </c>
      <c r="C132" s="104">
        <v>0.13947172423813792</v>
      </c>
      <c r="D132" s="104">
        <v>5.014381921142718</v>
      </c>
      <c r="E132" s="104">
        <v>0</v>
      </c>
      <c r="F132" s="104">
        <v>8.716474503413266</v>
      </c>
      <c r="G132" s="107" t="s">
        <v>34</v>
      </c>
      <c r="H132" s="104">
        <v>3.401837468115951</v>
      </c>
      <c r="I132" s="104">
        <v>0.015</v>
      </c>
      <c r="J132" s="104">
        <v>0.5355986131992914</v>
      </c>
      <c r="K132" s="104">
        <v>1.7319234159790184</v>
      </c>
      <c r="L132" s="104">
        <f>S132-SUM(E132:K132)-R132</f>
        <v>0.038242258397644</v>
      </c>
      <c r="M132" s="115"/>
      <c r="N132" s="115"/>
      <c r="O132" s="115"/>
      <c r="P132" s="115"/>
      <c r="Q132" s="104">
        <v>14.43907625910517</v>
      </c>
      <c r="R132" s="104">
        <v>0.49491</v>
      </c>
      <c r="S132" s="104">
        <f>Q132+R132</f>
        <v>14.93398625910517</v>
      </c>
      <c r="T132" s="73"/>
      <c r="U132" s="73"/>
    </row>
    <row r="133" spans="1:21" s="12" customFormat="1" ht="12.75">
      <c r="A133" s="75" t="s">
        <v>413</v>
      </c>
      <c r="B133" s="104">
        <v>12.04</v>
      </c>
      <c r="C133" s="104">
        <v>0.52</v>
      </c>
      <c r="D133" s="104">
        <v>6.06</v>
      </c>
      <c r="E133" s="104">
        <v>0</v>
      </c>
      <c r="F133" s="104">
        <v>6.65</v>
      </c>
      <c r="G133" s="107" t="s">
        <v>34</v>
      </c>
      <c r="H133" s="104">
        <v>3.13</v>
      </c>
      <c r="I133" s="104">
        <v>0.02</v>
      </c>
      <c r="J133" s="104">
        <v>0.52</v>
      </c>
      <c r="K133" s="104">
        <v>1.65</v>
      </c>
      <c r="L133" s="104">
        <v>0.04</v>
      </c>
      <c r="M133" s="115"/>
      <c r="N133" s="115"/>
      <c r="O133" s="115"/>
      <c r="P133" s="115"/>
      <c r="Q133" s="104">
        <v>12.01</v>
      </c>
      <c r="R133" s="104">
        <v>0.63</v>
      </c>
      <c r="S133" s="104">
        <v>12.64</v>
      </c>
      <c r="T133" s="73"/>
      <c r="U133" s="101"/>
    </row>
    <row r="134" spans="1:21" s="12" customFormat="1" ht="12.75">
      <c r="A134" s="75" t="s">
        <v>416</v>
      </c>
      <c r="B134" s="104">
        <v>7.97</v>
      </c>
      <c r="C134" s="104">
        <v>0.99</v>
      </c>
      <c r="D134" s="104">
        <v>5.71</v>
      </c>
      <c r="E134" s="104">
        <v>0</v>
      </c>
      <c r="F134" s="104">
        <v>2.9</v>
      </c>
      <c r="G134" s="107" t="s">
        <v>34</v>
      </c>
      <c r="H134" s="104">
        <v>3.1</v>
      </c>
      <c r="I134" s="104">
        <v>0.02</v>
      </c>
      <c r="J134" s="104">
        <v>0.49</v>
      </c>
      <c r="K134" s="104">
        <v>1.43</v>
      </c>
      <c r="L134" s="104">
        <v>0.03</v>
      </c>
      <c r="M134" s="115"/>
      <c r="N134" s="115"/>
      <c r="O134" s="115"/>
      <c r="P134" s="115"/>
      <c r="Q134" s="104">
        <v>7.97</v>
      </c>
      <c r="R134" s="104">
        <v>0.74</v>
      </c>
      <c r="S134" s="104">
        <v>8.71</v>
      </c>
      <c r="T134" s="73"/>
      <c r="U134" s="101"/>
    </row>
    <row r="135" spans="1:21" s="12" customFormat="1" ht="12.75">
      <c r="A135" s="75" t="s">
        <v>420</v>
      </c>
      <c r="B135" s="104">
        <v>6.99</v>
      </c>
      <c r="C135" s="104">
        <v>0.85</v>
      </c>
      <c r="D135" s="104">
        <v>3.75</v>
      </c>
      <c r="E135" s="104">
        <v>0</v>
      </c>
      <c r="F135" s="104">
        <v>2.32</v>
      </c>
      <c r="G135" s="107" t="s">
        <v>34</v>
      </c>
      <c r="H135" s="104">
        <v>2.95</v>
      </c>
      <c r="I135" s="104">
        <v>0.01</v>
      </c>
      <c r="J135" s="104">
        <v>0.47</v>
      </c>
      <c r="K135" s="104">
        <v>1.21</v>
      </c>
      <c r="L135" s="104">
        <v>0.04</v>
      </c>
      <c r="M135" s="115"/>
      <c r="N135" s="115"/>
      <c r="O135" s="115"/>
      <c r="P135" s="115"/>
      <c r="Q135" s="104">
        <v>7</v>
      </c>
      <c r="R135" s="104">
        <v>1.31</v>
      </c>
      <c r="S135" s="104">
        <v>8.31</v>
      </c>
      <c r="T135" s="73"/>
      <c r="U135" s="101"/>
    </row>
    <row r="136" spans="1:21" s="12" customFormat="1" ht="12.75">
      <c r="A136" s="75" t="s">
        <v>423</v>
      </c>
      <c r="B136" s="104">
        <v>7.04</v>
      </c>
      <c r="C136" s="104">
        <v>0.7</v>
      </c>
      <c r="D136" s="104">
        <v>1.39</v>
      </c>
      <c r="E136" s="104">
        <v>0</v>
      </c>
      <c r="F136" s="104">
        <v>2.64</v>
      </c>
      <c r="G136" s="107" t="s">
        <v>34</v>
      </c>
      <c r="H136" s="104">
        <v>2.75</v>
      </c>
      <c r="I136" s="104">
        <v>0.01</v>
      </c>
      <c r="J136" s="104">
        <v>0.47</v>
      </c>
      <c r="K136" s="104">
        <v>1.15</v>
      </c>
      <c r="L136" s="104">
        <v>0.03</v>
      </c>
      <c r="M136" s="115"/>
      <c r="N136" s="115"/>
      <c r="O136" s="115"/>
      <c r="P136" s="115"/>
      <c r="Q136" s="104">
        <v>7.05</v>
      </c>
      <c r="R136" s="104">
        <v>1.13</v>
      </c>
      <c r="S136" s="104">
        <v>8.18</v>
      </c>
      <c r="T136" s="73"/>
      <c r="U136" s="101"/>
    </row>
    <row r="137" spans="1:21" s="12" customFormat="1" ht="12.75">
      <c r="A137" s="75" t="s">
        <v>429</v>
      </c>
      <c r="B137" s="104">
        <v>6.06</v>
      </c>
      <c r="C137" s="104">
        <v>0.17</v>
      </c>
      <c r="D137" s="104">
        <v>2.29</v>
      </c>
      <c r="E137" s="104">
        <v>0</v>
      </c>
      <c r="F137" s="104">
        <v>2.25</v>
      </c>
      <c r="G137" s="107" t="s">
        <v>34</v>
      </c>
      <c r="H137" s="104">
        <v>2.26</v>
      </c>
      <c r="I137" s="104">
        <v>0.02</v>
      </c>
      <c r="J137" s="104">
        <v>0.44</v>
      </c>
      <c r="K137" s="104">
        <v>1.07</v>
      </c>
      <c r="L137" s="104">
        <v>0.03</v>
      </c>
      <c r="M137" s="115"/>
      <c r="N137" s="115"/>
      <c r="O137" s="115"/>
      <c r="P137" s="115"/>
      <c r="Q137" s="104">
        <v>6.07</v>
      </c>
      <c r="R137" s="104">
        <v>0.59</v>
      </c>
      <c r="S137" s="104">
        <v>6.66</v>
      </c>
      <c r="T137" s="73"/>
      <c r="U137" s="101"/>
    </row>
    <row r="138" spans="2:21" ht="12" hidden="1">
      <c r="B138" s="110" t="s">
        <v>373</v>
      </c>
      <c r="C138" s="110">
        <v>2.4</v>
      </c>
      <c r="D138" s="106" t="s">
        <v>363</v>
      </c>
      <c r="E138" s="104">
        <v>0</v>
      </c>
      <c r="F138" s="106" t="s">
        <v>364</v>
      </c>
      <c r="G138" s="106" t="s">
        <v>364</v>
      </c>
      <c r="H138" s="106" t="s">
        <v>364</v>
      </c>
      <c r="I138" s="106">
        <v>2.4</v>
      </c>
      <c r="J138" s="106" t="s">
        <v>364</v>
      </c>
      <c r="K138" s="106" t="s">
        <v>364</v>
      </c>
      <c r="L138" s="113" t="e">
        <f>S138-SUM(E138:K138)-R138</f>
        <v>#VALUE!</v>
      </c>
      <c r="M138" s="147"/>
      <c r="N138" s="11"/>
      <c r="O138" s="11"/>
      <c r="P138" s="147"/>
      <c r="Q138" s="106" t="s">
        <v>364</v>
      </c>
      <c r="R138" s="106">
        <v>2.4</v>
      </c>
      <c r="S138" s="111" t="s">
        <v>372</v>
      </c>
      <c r="U138" s="101"/>
    </row>
    <row r="139" spans="2:38" s="7" customFormat="1" ht="12">
      <c r="B139" s="114"/>
      <c r="C139" s="114"/>
      <c r="D139" s="48"/>
      <c r="E139" s="48"/>
      <c r="F139" s="48"/>
      <c r="G139" s="48"/>
      <c r="H139" s="48"/>
      <c r="I139" s="48"/>
      <c r="J139" s="48"/>
      <c r="K139" s="48"/>
      <c r="L139" s="113"/>
      <c r="M139" s="148"/>
      <c r="N139" s="11"/>
      <c r="O139" s="11"/>
      <c r="P139" s="148"/>
      <c r="Q139" s="48"/>
      <c r="R139" s="48"/>
      <c r="S139" s="113"/>
      <c r="T139" s="17"/>
      <c r="U139" s="17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1:20" ht="15">
      <c r="A140" s="20" t="s">
        <v>68</v>
      </c>
      <c r="I140" s="48"/>
      <c r="J140" s="48"/>
      <c r="K140" s="149"/>
      <c r="L140" s="100"/>
      <c r="M140" s="147"/>
      <c r="R140" s="114"/>
      <c r="S140" s="74"/>
      <c r="T140" s="99"/>
    </row>
    <row r="141" spans="1:38" s="117" customFormat="1" ht="15">
      <c r="A141" s="138" t="s">
        <v>388</v>
      </c>
      <c r="B141" s="116"/>
      <c r="C141" s="118"/>
      <c r="D141" s="123"/>
      <c r="E141" s="123"/>
      <c r="F141" s="123"/>
      <c r="G141" s="124"/>
      <c r="H141" s="131"/>
      <c r="I141" s="48"/>
      <c r="J141" s="48"/>
      <c r="K141" s="149"/>
      <c r="L141" s="100"/>
      <c r="M141" s="147"/>
      <c r="N141" s="3"/>
      <c r="O141" s="123"/>
      <c r="P141" s="125"/>
      <c r="Q141" s="112"/>
      <c r="R141" s="48"/>
      <c r="S141" s="74"/>
      <c r="T141" s="125"/>
      <c r="U141" s="125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</row>
    <row r="142" spans="1:38" s="117" customFormat="1" ht="14.25">
      <c r="A142" s="139" t="s">
        <v>398</v>
      </c>
      <c r="B142" s="116"/>
      <c r="C142" s="118"/>
      <c r="D142" s="123"/>
      <c r="E142" s="123"/>
      <c r="F142" s="123"/>
      <c r="G142" s="124"/>
      <c r="H142" s="131"/>
      <c r="I142" s="48"/>
      <c r="J142" s="48"/>
      <c r="K142" s="100"/>
      <c r="L142" s="149"/>
      <c r="M142" s="147"/>
      <c r="N142" s="152"/>
      <c r="O142" s="125"/>
      <c r="P142" s="125"/>
      <c r="Q142" s="112"/>
      <c r="R142" s="48"/>
      <c r="S142" s="74"/>
      <c r="T142" s="125"/>
      <c r="U142" s="125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</row>
    <row r="143" spans="1:38" s="117" customFormat="1" ht="14.25">
      <c r="A143" s="139" t="s">
        <v>399</v>
      </c>
      <c r="B143" s="116"/>
      <c r="C143" s="118"/>
      <c r="D143" s="123"/>
      <c r="E143" s="123"/>
      <c r="F143" s="123"/>
      <c r="G143" s="124"/>
      <c r="H143" s="131"/>
      <c r="I143" s="112"/>
      <c r="J143" s="48"/>
      <c r="K143" s="100"/>
      <c r="L143" s="149"/>
      <c r="M143" s="147"/>
      <c r="N143" s="152"/>
      <c r="O143" s="125"/>
      <c r="P143" s="125"/>
      <c r="Q143" s="112"/>
      <c r="R143" s="48"/>
      <c r="S143" s="74"/>
      <c r="T143" s="125"/>
      <c r="U143" s="125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</row>
    <row r="144" spans="1:38" s="117" customFormat="1" ht="15">
      <c r="A144" s="140" t="s">
        <v>400</v>
      </c>
      <c r="B144" s="116"/>
      <c r="C144" s="118"/>
      <c r="D144" s="123"/>
      <c r="E144" s="123"/>
      <c r="F144" s="123"/>
      <c r="G144" s="131"/>
      <c r="H144" s="131"/>
      <c r="I144" s="152"/>
      <c r="J144" s="48"/>
      <c r="K144" s="100"/>
      <c r="L144" s="149"/>
      <c r="M144" s="147"/>
      <c r="N144" s="152"/>
      <c r="O144" s="125"/>
      <c r="P144" s="125"/>
      <c r="Q144" s="112"/>
      <c r="R144" s="48"/>
      <c r="S144" s="74"/>
      <c r="T144" s="125"/>
      <c r="U144" s="125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</row>
    <row r="145" spans="1:38" s="117" customFormat="1" ht="15">
      <c r="A145" s="140" t="s">
        <v>401</v>
      </c>
      <c r="B145" s="116"/>
      <c r="C145" s="118"/>
      <c r="D145" s="123"/>
      <c r="E145" s="123"/>
      <c r="F145" s="123"/>
      <c r="G145" s="131"/>
      <c r="H145" s="131"/>
      <c r="I145" s="152"/>
      <c r="J145" s="48"/>
      <c r="K145" s="100"/>
      <c r="L145" s="149"/>
      <c r="M145" s="147"/>
      <c r="N145" s="152"/>
      <c r="O145" s="125"/>
      <c r="P145" s="125"/>
      <c r="Q145" s="125"/>
      <c r="R145" s="48"/>
      <c r="S145" s="97"/>
      <c r="T145" s="125"/>
      <c r="U145" s="125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</row>
    <row r="146" spans="1:38" s="117" customFormat="1" ht="14.25">
      <c r="A146" s="141" t="s">
        <v>402</v>
      </c>
      <c r="B146" s="116"/>
      <c r="C146" s="118"/>
      <c r="D146" s="123"/>
      <c r="E146" s="123"/>
      <c r="F146" s="123"/>
      <c r="G146" s="131"/>
      <c r="H146" s="131"/>
      <c r="I146" s="152"/>
      <c r="J146" s="48"/>
      <c r="K146" s="100"/>
      <c r="L146" s="149"/>
      <c r="M146" s="147"/>
      <c r="N146" s="152"/>
      <c r="O146" s="125"/>
      <c r="P146" s="125"/>
      <c r="Q146" s="146"/>
      <c r="R146" s="48"/>
      <c r="S146" s="125"/>
      <c r="T146" s="125"/>
      <c r="U146" s="125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</row>
    <row r="147" spans="1:38" s="117" customFormat="1" ht="15">
      <c r="A147" s="140" t="s">
        <v>403</v>
      </c>
      <c r="B147" s="116"/>
      <c r="C147" s="118"/>
      <c r="D147" s="123"/>
      <c r="E147" s="123"/>
      <c r="F147" s="123"/>
      <c r="G147" s="131"/>
      <c r="H147" s="131"/>
      <c r="I147" s="152"/>
      <c r="J147" s="143"/>
      <c r="K147" s="100"/>
      <c r="L147" s="100"/>
      <c r="M147" s="147"/>
      <c r="N147" s="152"/>
      <c r="O147" s="125"/>
      <c r="P147" s="125"/>
      <c r="Q147" s="146"/>
      <c r="R147" s="150"/>
      <c r="S147" s="125"/>
      <c r="T147" s="125"/>
      <c r="U147" s="125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</row>
    <row r="148" spans="1:18" s="122" customFormat="1" ht="15">
      <c r="A148" s="137" t="s">
        <v>404</v>
      </c>
      <c r="B148" s="118"/>
      <c r="C148" s="119"/>
      <c r="D148" s="119"/>
      <c r="E148" s="119"/>
      <c r="F148" s="120"/>
      <c r="G148" s="131"/>
      <c r="H148" s="151"/>
      <c r="I148" s="152"/>
      <c r="J148" s="143"/>
      <c r="K148" s="143"/>
      <c r="L148" s="100"/>
      <c r="M148" s="100"/>
      <c r="N148" s="131"/>
      <c r="P148" s="125"/>
      <c r="Q148" s="146"/>
      <c r="R148" s="150"/>
    </row>
    <row r="149" spans="1:17" s="122" customFormat="1" ht="14.25">
      <c r="A149" s="135" t="s">
        <v>405</v>
      </c>
      <c r="B149" s="118"/>
      <c r="C149" s="119"/>
      <c r="D149" s="119"/>
      <c r="E149" s="119"/>
      <c r="F149" s="120"/>
      <c r="G149" s="151"/>
      <c r="H149" s="151"/>
      <c r="I149" s="152"/>
      <c r="J149" s="97"/>
      <c r="K149" s="121"/>
      <c r="L149" s="100"/>
      <c r="M149" s="100"/>
      <c r="N149" s="131"/>
      <c r="P149" s="125"/>
      <c r="Q149" s="146"/>
    </row>
    <row r="150" spans="1:38" s="117" customFormat="1" ht="14.25">
      <c r="A150" s="142" t="s">
        <v>406</v>
      </c>
      <c r="B150" s="116"/>
      <c r="C150" s="118"/>
      <c r="D150" s="123"/>
      <c r="E150" s="123"/>
      <c r="F150" s="123"/>
      <c r="G150" s="124"/>
      <c r="H150" s="123"/>
      <c r="I150" s="123"/>
      <c r="J150" s="97"/>
      <c r="K150" s="127"/>
      <c r="L150" s="128"/>
      <c r="M150" s="100"/>
      <c r="N150" s="131"/>
      <c r="O150" s="122"/>
      <c r="P150" s="125"/>
      <c r="Q150" s="125"/>
      <c r="R150" s="125"/>
      <c r="S150" s="125"/>
      <c r="T150" s="125"/>
      <c r="U150" s="125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</row>
    <row r="151" spans="1:38" s="116" customFormat="1" ht="14.25">
      <c r="A151" s="141" t="s">
        <v>407</v>
      </c>
      <c r="C151" s="118"/>
      <c r="D151" s="123"/>
      <c r="E151" s="123"/>
      <c r="F151" s="123"/>
      <c r="G151" s="124"/>
      <c r="H151" s="123"/>
      <c r="I151" s="123"/>
      <c r="J151" s="97"/>
      <c r="K151" s="127"/>
      <c r="L151" s="127"/>
      <c r="M151" s="123"/>
      <c r="N151" s="123"/>
      <c r="O151" s="123"/>
      <c r="P151" s="123"/>
      <c r="Q151" s="123"/>
      <c r="R151" s="123"/>
      <c r="S151" s="123"/>
      <c r="T151" s="123"/>
      <c r="U151" s="123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</row>
    <row r="152" spans="1:38" s="116" customFormat="1" ht="14.25">
      <c r="A152" s="141" t="s">
        <v>408</v>
      </c>
      <c r="C152" s="118"/>
      <c r="D152" s="123"/>
      <c r="E152" s="123"/>
      <c r="F152" s="123"/>
      <c r="G152" s="124"/>
      <c r="H152" s="123"/>
      <c r="I152" s="123"/>
      <c r="J152" s="97"/>
      <c r="K152" s="127"/>
      <c r="L152" s="127"/>
      <c r="M152" s="123"/>
      <c r="N152" s="123"/>
      <c r="O152" s="123"/>
      <c r="P152" s="123"/>
      <c r="Q152" s="123"/>
      <c r="R152" s="123"/>
      <c r="S152" s="123"/>
      <c r="T152" s="123"/>
      <c r="U152" s="123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</row>
    <row r="153" spans="1:38" s="116" customFormat="1" ht="14.25">
      <c r="A153" s="141" t="s">
        <v>409</v>
      </c>
      <c r="C153" s="118"/>
      <c r="D153" s="123"/>
      <c r="E153" s="123"/>
      <c r="F153" s="123"/>
      <c r="G153" s="124"/>
      <c r="H153" s="123"/>
      <c r="I153" s="123"/>
      <c r="J153" s="97"/>
      <c r="K153" s="127"/>
      <c r="L153" s="127"/>
      <c r="M153" s="123"/>
      <c r="N153" s="123"/>
      <c r="O153" s="123"/>
      <c r="P153" s="123"/>
      <c r="Q153" s="123"/>
      <c r="R153" s="123"/>
      <c r="S153" s="123"/>
      <c r="T153" s="123"/>
      <c r="U153" s="123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</row>
    <row r="154" spans="3:38" s="116" customFormat="1" ht="12">
      <c r="C154" s="129"/>
      <c r="D154" s="130"/>
      <c r="E154" s="123"/>
      <c r="F154" s="123"/>
      <c r="G154" s="124"/>
      <c r="H154" s="123"/>
      <c r="I154" s="131"/>
      <c r="J154" s="97"/>
      <c r="K154" s="127"/>
      <c r="L154" s="127"/>
      <c r="M154" s="123"/>
      <c r="N154" s="123"/>
      <c r="O154" s="123"/>
      <c r="P154" s="123"/>
      <c r="Q154" s="123"/>
      <c r="R154" s="123"/>
      <c r="S154" s="123"/>
      <c r="T154" s="123"/>
      <c r="U154" s="123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</row>
    <row r="155" spans="1:38" s="65" customFormat="1" ht="12">
      <c r="A155" s="18"/>
      <c r="B155" s="18"/>
      <c r="C155" s="129"/>
      <c r="D155" s="130"/>
      <c r="E155" s="105"/>
      <c r="F155" s="105"/>
      <c r="G155" s="130"/>
      <c r="H155" s="105"/>
      <c r="I155" s="131"/>
      <c r="J155" s="97"/>
      <c r="K155" s="127"/>
      <c r="L155" s="127"/>
      <c r="M155" s="67"/>
      <c r="N155" s="67"/>
      <c r="O155" s="67"/>
      <c r="P155" s="67"/>
      <c r="Q155" s="67"/>
      <c r="R155" s="132"/>
      <c r="S155" s="67"/>
      <c r="T155" s="67"/>
      <c r="U155" s="67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</row>
    <row r="156" spans="1:38" s="65" customFormat="1" ht="12">
      <c r="A156" s="18"/>
      <c r="B156" s="18"/>
      <c r="C156" s="129"/>
      <c r="D156" s="130"/>
      <c r="E156" s="105"/>
      <c r="F156" s="105"/>
      <c r="G156" s="130"/>
      <c r="H156" s="105"/>
      <c r="I156" s="131"/>
      <c r="J156" s="97"/>
      <c r="K156" s="127"/>
      <c r="L156" s="127"/>
      <c r="M156" s="67"/>
      <c r="N156" s="67"/>
      <c r="O156" s="67"/>
      <c r="P156" s="67"/>
      <c r="Q156" s="67"/>
      <c r="R156" s="69"/>
      <c r="S156" s="67"/>
      <c r="T156" s="67"/>
      <c r="U156" s="67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</row>
    <row r="157" spans="3:38" s="65" customFormat="1" ht="12">
      <c r="C157" s="129"/>
      <c r="D157" s="130"/>
      <c r="E157" s="67"/>
      <c r="F157" s="67"/>
      <c r="G157" s="130"/>
      <c r="H157" s="67"/>
      <c r="I157" s="131"/>
      <c r="J157" s="97"/>
      <c r="K157" s="127"/>
      <c r="L157" s="127"/>
      <c r="M157" s="67"/>
      <c r="N157" s="67"/>
      <c r="O157" s="67"/>
      <c r="P157" s="67"/>
      <c r="Q157" s="67"/>
      <c r="R157" s="69"/>
      <c r="S157" s="67"/>
      <c r="T157" s="67"/>
      <c r="U157" s="67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</row>
    <row r="158" spans="3:38" s="65" customFormat="1" ht="12">
      <c r="C158" s="129"/>
      <c r="D158" s="130"/>
      <c r="E158" s="67"/>
      <c r="F158" s="67"/>
      <c r="G158" s="130"/>
      <c r="H158" s="67"/>
      <c r="I158" s="131"/>
      <c r="J158" s="97"/>
      <c r="K158" s="127"/>
      <c r="L158" s="127"/>
      <c r="M158" s="67"/>
      <c r="N158" s="67"/>
      <c r="O158" s="67"/>
      <c r="P158" s="67"/>
      <c r="Q158" s="67"/>
      <c r="R158" s="69"/>
      <c r="S158" s="67"/>
      <c r="T158" s="67"/>
      <c r="U158" s="67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</row>
    <row r="159" spans="3:38" s="65" customFormat="1" ht="12">
      <c r="C159" s="129"/>
      <c r="D159" s="67"/>
      <c r="E159" s="67"/>
      <c r="F159" s="67"/>
      <c r="G159" s="130"/>
      <c r="H159" s="67"/>
      <c r="I159" s="67"/>
      <c r="J159" s="97"/>
      <c r="K159" s="67"/>
      <c r="L159" s="67"/>
      <c r="M159" s="67"/>
      <c r="N159" s="67"/>
      <c r="O159" s="67"/>
      <c r="P159" s="67"/>
      <c r="Q159" s="67"/>
      <c r="R159" s="69"/>
      <c r="S159" s="67"/>
      <c r="T159" s="67"/>
      <c r="U159" s="67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</row>
    <row r="160" spans="3:38" s="65" customFormat="1" ht="12">
      <c r="C160" s="66"/>
      <c r="D160" s="67"/>
      <c r="E160" s="67"/>
      <c r="F160" s="67"/>
      <c r="G160" s="68"/>
      <c r="H160" s="67"/>
      <c r="I160" s="67"/>
      <c r="J160" s="9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</row>
    <row r="161" spans="3:38" s="65" customFormat="1" ht="12">
      <c r="C161" s="66"/>
      <c r="D161" s="67"/>
      <c r="E161" s="67"/>
      <c r="F161" s="67"/>
      <c r="G161" s="68"/>
      <c r="H161" s="67"/>
      <c r="I161" s="67"/>
      <c r="J161" s="9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</row>
    <row r="162" spans="3:38" s="65" customFormat="1" ht="12">
      <c r="C162" s="66"/>
      <c r="D162" s="67"/>
      <c r="E162" s="67"/>
      <c r="F162" s="67"/>
      <c r="G162" s="68"/>
      <c r="H162" s="67"/>
      <c r="I162" s="67"/>
      <c r="J162" s="9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</row>
    <row r="163" spans="3:38" s="65" customFormat="1" ht="12">
      <c r="C163" s="66"/>
      <c r="D163" s="67"/>
      <c r="E163" s="67"/>
      <c r="F163" s="67"/>
      <c r="G163" s="68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</row>
    <row r="164" spans="3:38" s="65" customFormat="1" ht="12">
      <c r="C164" s="66"/>
      <c r="D164" s="67"/>
      <c r="E164" s="67"/>
      <c r="F164" s="67"/>
      <c r="G164" s="68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</row>
    <row r="165" spans="3:38" s="65" customFormat="1" ht="12">
      <c r="C165" s="66"/>
      <c r="D165" s="67"/>
      <c r="E165" s="67"/>
      <c r="F165" s="67"/>
      <c r="G165" s="68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</row>
    <row r="166" spans="3:38" s="65" customFormat="1" ht="12">
      <c r="C166" s="66"/>
      <c r="D166" s="67"/>
      <c r="E166" s="67"/>
      <c r="F166" s="67"/>
      <c r="G166" s="68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</row>
    <row r="167" spans="3:38" s="65" customFormat="1" ht="12">
      <c r="C167" s="66"/>
      <c r="D167" s="67"/>
      <c r="E167" s="67"/>
      <c r="F167" s="67"/>
      <c r="G167" s="68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</row>
    <row r="168" spans="3:38" s="65" customFormat="1" ht="12">
      <c r="C168" s="66"/>
      <c r="D168" s="67"/>
      <c r="E168" s="67"/>
      <c r="F168" s="67"/>
      <c r="G168" s="68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</row>
    <row r="169" spans="3:38" s="65" customFormat="1" ht="12">
      <c r="C169" s="66"/>
      <c r="D169" s="67"/>
      <c r="E169" s="67"/>
      <c r="F169" s="67"/>
      <c r="G169" s="68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</row>
    <row r="170" spans="3:38" s="65" customFormat="1" ht="12">
      <c r="C170" s="66"/>
      <c r="D170" s="67"/>
      <c r="E170" s="67"/>
      <c r="F170" s="67"/>
      <c r="G170" s="68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</row>
    <row r="171" spans="3:38" s="65" customFormat="1" ht="12">
      <c r="C171" s="66"/>
      <c r="D171" s="67"/>
      <c r="E171" s="67"/>
      <c r="F171" s="67"/>
      <c r="G171" s="68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</row>
    <row r="172" spans="3:38" s="65" customFormat="1" ht="12">
      <c r="C172" s="66"/>
      <c r="D172" s="67"/>
      <c r="E172" s="67"/>
      <c r="F172" s="67"/>
      <c r="G172" s="68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</row>
    <row r="173" spans="3:38" s="65" customFormat="1" ht="12">
      <c r="C173" s="66"/>
      <c r="D173" s="67"/>
      <c r="E173" s="67"/>
      <c r="F173" s="67"/>
      <c r="G173" s="68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</row>
    <row r="174" spans="3:38" s="65" customFormat="1" ht="12">
      <c r="C174" s="66"/>
      <c r="D174" s="67"/>
      <c r="E174" s="67"/>
      <c r="F174" s="67"/>
      <c r="G174" s="68"/>
      <c r="H174" s="67"/>
      <c r="I174" s="67"/>
      <c r="J174" s="67"/>
      <c r="K174" s="67"/>
      <c r="L174" s="67"/>
      <c r="M174" s="67"/>
      <c r="N174" s="67"/>
      <c r="O174" s="67"/>
      <c r="P174" s="67"/>
      <c r="Q174" s="69"/>
      <c r="R174" s="67"/>
      <c r="S174" s="67"/>
      <c r="T174" s="67"/>
      <c r="U174" s="67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</row>
    <row r="175" spans="3:38" s="65" customFormat="1" ht="12">
      <c r="C175" s="66"/>
      <c r="D175" s="67"/>
      <c r="E175" s="67"/>
      <c r="F175" s="67"/>
      <c r="G175" s="68"/>
      <c r="H175" s="67"/>
      <c r="I175" s="67"/>
      <c r="J175" s="67"/>
      <c r="K175" s="67"/>
      <c r="L175" s="67"/>
      <c r="M175" s="67"/>
      <c r="N175" s="67"/>
      <c r="O175" s="67"/>
      <c r="P175" s="67"/>
      <c r="Q175" s="69"/>
      <c r="R175" s="67"/>
      <c r="S175" s="67"/>
      <c r="T175" s="67"/>
      <c r="U175" s="67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</row>
    <row r="176" spans="3:38" s="65" customFormat="1" ht="12">
      <c r="C176" s="66"/>
      <c r="D176" s="67"/>
      <c r="E176" s="67"/>
      <c r="F176" s="67"/>
      <c r="G176" s="68"/>
      <c r="H176" s="67"/>
      <c r="I176" s="67"/>
      <c r="J176" s="67"/>
      <c r="K176" s="67"/>
      <c r="L176" s="67"/>
      <c r="M176" s="67"/>
      <c r="N176" s="67"/>
      <c r="O176" s="67"/>
      <c r="P176" s="67"/>
      <c r="Q176" s="69"/>
      <c r="R176" s="67"/>
      <c r="S176" s="67"/>
      <c r="T176" s="67"/>
      <c r="U176" s="67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</row>
    <row r="177" spans="3:38" s="65" customFormat="1" ht="12">
      <c r="C177" s="66"/>
      <c r="D177" s="67"/>
      <c r="E177" s="67"/>
      <c r="F177" s="67"/>
      <c r="G177" s="68"/>
      <c r="H177" s="67"/>
      <c r="I177" s="67"/>
      <c r="J177" s="67"/>
      <c r="K177" s="67"/>
      <c r="L177" s="67"/>
      <c r="M177" s="67"/>
      <c r="N177" s="67"/>
      <c r="O177" s="67"/>
      <c r="P177" s="67"/>
      <c r="Q177" s="69"/>
      <c r="R177" s="67"/>
      <c r="S177" s="67"/>
      <c r="T177" s="67"/>
      <c r="U177" s="67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</row>
    <row r="178" spans="3:38" s="65" customFormat="1" ht="12">
      <c r="C178" s="66"/>
      <c r="D178" s="67"/>
      <c r="E178" s="67"/>
      <c r="F178" s="67"/>
      <c r="G178" s="68"/>
      <c r="H178" s="67"/>
      <c r="I178" s="67"/>
      <c r="J178" s="67"/>
      <c r="K178" s="67"/>
      <c r="L178" s="67"/>
      <c r="M178" s="67"/>
      <c r="N178" s="67"/>
      <c r="O178" s="67"/>
      <c r="P178" s="67"/>
      <c r="Q178" s="69"/>
      <c r="R178" s="67"/>
      <c r="S178" s="67"/>
      <c r="T178" s="67"/>
      <c r="U178" s="67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</row>
    <row r="179" spans="3:38" s="65" customFormat="1" ht="12">
      <c r="C179" s="66"/>
      <c r="D179" s="67"/>
      <c r="E179" s="67"/>
      <c r="F179" s="67"/>
      <c r="G179" s="68"/>
      <c r="H179" s="67"/>
      <c r="I179" s="67"/>
      <c r="J179" s="67"/>
      <c r="K179" s="67"/>
      <c r="L179" s="67"/>
      <c r="M179" s="67"/>
      <c r="N179" s="67"/>
      <c r="O179" s="67"/>
      <c r="P179" s="67"/>
      <c r="Q179" s="69"/>
      <c r="R179" s="67"/>
      <c r="S179" s="67"/>
      <c r="T179" s="67"/>
      <c r="U179" s="67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</row>
    <row r="180" spans="3:38" s="65" customFormat="1" ht="12">
      <c r="C180" s="66"/>
      <c r="D180" s="67"/>
      <c r="E180" s="67"/>
      <c r="F180" s="67"/>
      <c r="G180" s="68"/>
      <c r="H180" s="67"/>
      <c r="I180" s="67"/>
      <c r="J180" s="67"/>
      <c r="K180" s="67"/>
      <c r="L180" s="67"/>
      <c r="M180" s="67"/>
      <c r="N180" s="67"/>
      <c r="O180" s="67"/>
      <c r="P180" s="67"/>
      <c r="Q180" s="69"/>
      <c r="R180" s="67"/>
      <c r="S180" s="67"/>
      <c r="T180" s="67"/>
      <c r="U180" s="67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</row>
    <row r="181" spans="3:38" s="65" customFormat="1" ht="12">
      <c r="C181" s="66"/>
      <c r="D181" s="67"/>
      <c r="E181" s="67"/>
      <c r="F181" s="67"/>
      <c r="G181" s="68"/>
      <c r="H181" s="67"/>
      <c r="I181" s="67"/>
      <c r="J181" s="67"/>
      <c r="K181" s="67"/>
      <c r="L181" s="67"/>
      <c r="M181" s="67"/>
      <c r="N181" s="67"/>
      <c r="O181" s="67"/>
      <c r="P181" s="67"/>
      <c r="Q181" s="69"/>
      <c r="R181" s="67"/>
      <c r="S181" s="67"/>
      <c r="T181" s="67"/>
      <c r="U181" s="67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</row>
    <row r="182" spans="3:38" s="65" customFormat="1" ht="12">
      <c r="C182" s="66"/>
      <c r="D182" s="67"/>
      <c r="E182" s="67"/>
      <c r="F182" s="67"/>
      <c r="G182" s="68"/>
      <c r="H182" s="67"/>
      <c r="I182" s="67"/>
      <c r="J182" s="67"/>
      <c r="K182" s="67"/>
      <c r="L182" s="67"/>
      <c r="M182" s="67"/>
      <c r="N182" s="67"/>
      <c r="O182" s="67"/>
      <c r="P182" s="67"/>
      <c r="Q182" s="69"/>
      <c r="R182" s="67"/>
      <c r="S182" s="67"/>
      <c r="T182" s="67"/>
      <c r="U182" s="67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</row>
    <row r="183" spans="3:38" s="65" customFormat="1" ht="12">
      <c r="C183" s="66"/>
      <c r="D183" s="67"/>
      <c r="E183" s="67"/>
      <c r="F183" s="67"/>
      <c r="G183" s="68"/>
      <c r="H183" s="67"/>
      <c r="I183" s="67"/>
      <c r="J183" s="67"/>
      <c r="K183" s="67"/>
      <c r="L183" s="67"/>
      <c r="M183" s="67"/>
      <c r="N183" s="67"/>
      <c r="O183" s="67"/>
      <c r="P183" s="67"/>
      <c r="Q183" s="69"/>
      <c r="R183" s="67"/>
      <c r="S183" s="67"/>
      <c r="T183" s="67"/>
      <c r="U183" s="67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</row>
    <row r="184" spans="3:38" s="65" customFormat="1" ht="12">
      <c r="C184" s="66"/>
      <c r="D184" s="67"/>
      <c r="E184" s="67"/>
      <c r="F184" s="67"/>
      <c r="G184" s="68"/>
      <c r="H184" s="67"/>
      <c r="I184" s="67"/>
      <c r="J184" s="67"/>
      <c r="K184" s="67"/>
      <c r="L184" s="67"/>
      <c r="M184" s="67"/>
      <c r="N184" s="67"/>
      <c r="O184" s="67"/>
      <c r="P184" s="67"/>
      <c r="Q184" s="69"/>
      <c r="R184" s="67"/>
      <c r="S184" s="67"/>
      <c r="T184" s="67"/>
      <c r="U184" s="67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</row>
    <row r="185" spans="3:38" s="65" customFormat="1" ht="12">
      <c r="C185" s="66"/>
      <c r="D185" s="67"/>
      <c r="E185" s="67"/>
      <c r="F185" s="67"/>
      <c r="G185" s="68"/>
      <c r="H185" s="67"/>
      <c r="I185" s="67"/>
      <c r="J185" s="67"/>
      <c r="K185" s="67"/>
      <c r="L185" s="67"/>
      <c r="M185" s="67"/>
      <c r="N185" s="67"/>
      <c r="O185" s="67"/>
      <c r="P185" s="67"/>
      <c r="Q185" s="69"/>
      <c r="R185" s="67"/>
      <c r="S185" s="67"/>
      <c r="T185" s="67"/>
      <c r="U185" s="67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</row>
    <row r="186" spans="3:38" s="65" customFormat="1" ht="12">
      <c r="C186" s="66"/>
      <c r="D186" s="67"/>
      <c r="E186" s="67"/>
      <c r="F186" s="67"/>
      <c r="G186" s="68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</row>
    <row r="187" spans="3:38" s="65" customFormat="1" ht="12">
      <c r="C187" s="66"/>
      <c r="D187" s="67"/>
      <c r="E187" s="67"/>
      <c r="F187" s="67"/>
      <c r="G187" s="68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</row>
    <row r="188" spans="3:38" s="65" customFormat="1" ht="12">
      <c r="C188" s="66"/>
      <c r="D188" s="67"/>
      <c r="E188" s="67"/>
      <c r="F188" s="67"/>
      <c r="G188" s="68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</row>
    <row r="189" spans="3:38" s="65" customFormat="1" ht="12">
      <c r="C189" s="66"/>
      <c r="D189" s="67"/>
      <c r="E189" s="67"/>
      <c r="F189" s="67"/>
      <c r="G189" s="68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</row>
    <row r="190" spans="3:38" s="65" customFormat="1" ht="12">
      <c r="C190" s="66"/>
      <c r="D190" s="67"/>
      <c r="E190" s="67"/>
      <c r="F190" s="67"/>
      <c r="G190" s="68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</row>
    <row r="191" spans="3:38" s="65" customFormat="1" ht="12">
      <c r="C191" s="66"/>
      <c r="D191" s="67"/>
      <c r="E191" s="67"/>
      <c r="F191" s="67"/>
      <c r="G191" s="68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</row>
    <row r="192" spans="3:38" s="65" customFormat="1" ht="12">
      <c r="C192" s="66"/>
      <c r="D192" s="67"/>
      <c r="E192" s="67"/>
      <c r="F192" s="67"/>
      <c r="G192" s="68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</row>
    <row r="193" spans="3:38" s="65" customFormat="1" ht="12">
      <c r="C193" s="66"/>
      <c r="D193" s="67"/>
      <c r="E193" s="67"/>
      <c r="F193" s="67"/>
      <c r="G193" s="68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</row>
    <row r="194" spans="3:38" s="65" customFormat="1" ht="12">
      <c r="C194" s="66"/>
      <c r="D194" s="67"/>
      <c r="E194" s="67"/>
      <c r="F194" s="67"/>
      <c r="G194" s="68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</row>
    <row r="195" spans="3:38" s="65" customFormat="1" ht="12">
      <c r="C195" s="66"/>
      <c r="D195" s="67"/>
      <c r="E195" s="67"/>
      <c r="F195" s="67"/>
      <c r="G195" s="68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</row>
    <row r="196" spans="3:38" s="65" customFormat="1" ht="12">
      <c r="C196" s="66"/>
      <c r="D196" s="67"/>
      <c r="E196" s="67"/>
      <c r="F196" s="67"/>
      <c r="G196" s="68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</row>
    <row r="197" spans="3:38" s="65" customFormat="1" ht="12">
      <c r="C197" s="66"/>
      <c r="D197" s="67"/>
      <c r="E197" s="67"/>
      <c r="F197" s="67"/>
      <c r="G197" s="68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</row>
    <row r="198" spans="3:38" s="65" customFormat="1" ht="12">
      <c r="C198" s="66"/>
      <c r="D198" s="67"/>
      <c r="E198" s="67"/>
      <c r="F198" s="67"/>
      <c r="G198" s="68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</row>
    <row r="199" spans="3:38" s="65" customFormat="1" ht="12">
      <c r="C199" s="66"/>
      <c r="D199" s="67"/>
      <c r="E199" s="67"/>
      <c r="F199" s="67"/>
      <c r="G199" s="68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</row>
    <row r="200" spans="3:38" s="65" customFormat="1" ht="12">
      <c r="C200" s="66"/>
      <c r="D200" s="67"/>
      <c r="E200" s="67"/>
      <c r="F200" s="67"/>
      <c r="G200" s="68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</row>
    <row r="201" spans="3:38" s="65" customFormat="1" ht="12">
      <c r="C201" s="66"/>
      <c r="D201" s="67"/>
      <c r="E201" s="67"/>
      <c r="F201" s="67"/>
      <c r="G201" s="68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</row>
    <row r="202" spans="3:38" s="65" customFormat="1" ht="12">
      <c r="C202" s="66"/>
      <c r="D202" s="67"/>
      <c r="E202" s="67"/>
      <c r="F202" s="67"/>
      <c r="G202" s="68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</row>
    <row r="203" spans="3:38" s="65" customFormat="1" ht="12">
      <c r="C203" s="66"/>
      <c r="D203" s="67"/>
      <c r="E203" s="67"/>
      <c r="F203" s="67"/>
      <c r="G203" s="68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</row>
    <row r="204" spans="3:38" s="65" customFormat="1" ht="12">
      <c r="C204" s="66"/>
      <c r="D204" s="67"/>
      <c r="E204" s="67"/>
      <c r="F204" s="67"/>
      <c r="G204" s="68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</row>
    <row r="205" spans="3:38" s="65" customFormat="1" ht="12">
      <c r="C205" s="66"/>
      <c r="D205" s="67"/>
      <c r="E205" s="67"/>
      <c r="F205" s="67"/>
      <c r="G205" s="68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</row>
    <row r="206" spans="3:38" s="65" customFormat="1" ht="12">
      <c r="C206" s="66"/>
      <c r="D206" s="67"/>
      <c r="E206" s="67"/>
      <c r="F206" s="67"/>
      <c r="G206" s="68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</row>
    <row r="207" spans="3:38" s="65" customFormat="1" ht="12">
      <c r="C207" s="66"/>
      <c r="D207" s="67"/>
      <c r="E207" s="67"/>
      <c r="F207" s="67"/>
      <c r="G207" s="68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</row>
    <row r="208" spans="3:38" s="65" customFormat="1" ht="12">
      <c r="C208" s="66"/>
      <c r="D208" s="67"/>
      <c r="E208" s="67"/>
      <c r="F208" s="67"/>
      <c r="G208" s="68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</row>
    <row r="209" spans="3:38" s="65" customFormat="1" ht="12">
      <c r="C209" s="66"/>
      <c r="D209" s="67"/>
      <c r="E209" s="67"/>
      <c r="F209" s="67"/>
      <c r="G209" s="68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</row>
    <row r="210" spans="3:38" s="65" customFormat="1" ht="12">
      <c r="C210" s="66"/>
      <c r="D210" s="67"/>
      <c r="E210" s="67"/>
      <c r="F210" s="67"/>
      <c r="G210" s="68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</row>
    <row r="211" spans="3:38" s="65" customFormat="1" ht="12">
      <c r="C211" s="66"/>
      <c r="D211" s="67"/>
      <c r="E211" s="67"/>
      <c r="F211" s="67"/>
      <c r="G211" s="68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</row>
    <row r="212" spans="3:38" s="65" customFormat="1" ht="12">
      <c r="C212" s="66"/>
      <c r="D212" s="67"/>
      <c r="E212" s="67"/>
      <c r="F212" s="67"/>
      <c r="G212" s="68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</row>
    <row r="213" spans="3:38" s="65" customFormat="1" ht="12">
      <c r="C213" s="66"/>
      <c r="D213" s="67"/>
      <c r="E213" s="67"/>
      <c r="F213" s="67"/>
      <c r="G213" s="68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</row>
    <row r="214" spans="3:38" s="65" customFormat="1" ht="12">
      <c r="C214" s="66"/>
      <c r="D214" s="67"/>
      <c r="E214" s="67"/>
      <c r="F214" s="67"/>
      <c r="G214" s="68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</row>
    <row r="215" spans="3:38" s="65" customFormat="1" ht="12">
      <c r="C215" s="66"/>
      <c r="D215" s="67"/>
      <c r="E215" s="67"/>
      <c r="F215" s="67"/>
      <c r="G215" s="68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</row>
    <row r="216" spans="3:38" s="65" customFormat="1" ht="12">
      <c r="C216" s="66"/>
      <c r="D216" s="67"/>
      <c r="E216" s="67"/>
      <c r="F216" s="67"/>
      <c r="G216" s="68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</row>
    <row r="217" spans="3:38" s="65" customFormat="1" ht="12">
      <c r="C217" s="66"/>
      <c r="D217" s="67"/>
      <c r="E217" s="67"/>
      <c r="F217" s="67"/>
      <c r="G217" s="68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</row>
    <row r="218" spans="3:38" s="65" customFormat="1" ht="12">
      <c r="C218" s="66"/>
      <c r="D218" s="67"/>
      <c r="E218" s="67"/>
      <c r="F218" s="67"/>
      <c r="G218" s="68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</row>
    <row r="219" spans="3:38" s="65" customFormat="1" ht="12">
      <c r="C219" s="66"/>
      <c r="D219" s="67"/>
      <c r="E219" s="67"/>
      <c r="F219" s="67"/>
      <c r="G219" s="68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</row>
    <row r="220" spans="3:38" s="65" customFormat="1" ht="12">
      <c r="C220" s="66"/>
      <c r="D220" s="67"/>
      <c r="E220" s="67"/>
      <c r="F220" s="67"/>
      <c r="G220" s="68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</row>
    <row r="221" spans="3:38" s="65" customFormat="1" ht="12">
      <c r="C221" s="66"/>
      <c r="D221" s="67"/>
      <c r="E221" s="67"/>
      <c r="F221" s="67"/>
      <c r="G221" s="68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</row>
    <row r="222" spans="3:38" s="65" customFormat="1" ht="12">
      <c r="C222" s="66"/>
      <c r="D222" s="67"/>
      <c r="E222" s="67"/>
      <c r="F222" s="67"/>
      <c r="G222" s="68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</row>
    <row r="223" spans="3:38" s="65" customFormat="1" ht="12">
      <c r="C223" s="66"/>
      <c r="D223" s="67"/>
      <c r="E223" s="67"/>
      <c r="F223" s="67"/>
      <c r="G223" s="68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</row>
    <row r="224" spans="3:38" s="65" customFormat="1" ht="12">
      <c r="C224" s="66"/>
      <c r="D224" s="67"/>
      <c r="E224" s="67"/>
      <c r="F224" s="67"/>
      <c r="G224" s="68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</row>
    <row r="225" spans="3:38" s="65" customFormat="1" ht="12">
      <c r="C225" s="66"/>
      <c r="D225" s="67"/>
      <c r="E225" s="67"/>
      <c r="F225" s="67"/>
      <c r="G225" s="68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</row>
    <row r="226" spans="3:38" s="65" customFormat="1" ht="12">
      <c r="C226" s="66"/>
      <c r="D226" s="67"/>
      <c r="E226" s="67"/>
      <c r="F226" s="67"/>
      <c r="G226" s="68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</row>
    <row r="227" spans="3:38" s="65" customFormat="1" ht="12">
      <c r="C227" s="66"/>
      <c r="D227" s="67"/>
      <c r="E227" s="67"/>
      <c r="F227" s="67"/>
      <c r="G227" s="68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</row>
    <row r="228" spans="3:38" s="65" customFormat="1" ht="12">
      <c r="C228" s="66"/>
      <c r="D228" s="67"/>
      <c r="E228" s="67"/>
      <c r="F228" s="67"/>
      <c r="G228" s="68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</row>
    <row r="229" spans="3:38" s="65" customFormat="1" ht="12">
      <c r="C229" s="66"/>
      <c r="D229" s="67"/>
      <c r="E229" s="67"/>
      <c r="F229" s="67"/>
      <c r="G229" s="68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</row>
    <row r="230" spans="3:38" s="65" customFormat="1" ht="12">
      <c r="C230" s="66"/>
      <c r="D230" s="67"/>
      <c r="E230" s="67"/>
      <c r="F230" s="67"/>
      <c r="G230" s="68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</row>
    <row r="231" spans="3:38" s="65" customFormat="1" ht="12">
      <c r="C231" s="66"/>
      <c r="D231" s="67"/>
      <c r="E231" s="67"/>
      <c r="F231" s="67"/>
      <c r="G231" s="68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</row>
    <row r="232" spans="3:38" s="65" customFormat="1" ht="12">
      <c r="C232" s="66"/>
      <c r="D232" s="67"/>
      <c r="E232" s="67"/>
      <c r="F232" s="67"/>
      <c r="G232" s="68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</row>
    <row r="233" spans="3:38" s="65" customFormat="1" ht="12">
      <c r="C233" s="66"/>
      <c r="D233" s="67"/>
      <c r="E233" s="67"/>
      <c r="F233" s="67"/>
      <c r="G233" s="68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</row>
    <row r="234" spans="3:38" s="65" customFormat="1" ht="12">
      <c r="C234" s="66"/>
      <c r="D234" s="67"/>
      <c r="E234" s="67"/>
      <c r="F234" s="67"/>
      <c r="G234" s="68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</row>
    <row r="235" spans="3:38" s="65" customFormat="1" ht="12">
      <c r="C235" s="66"/>
      <c r="D235" s="67"/>
      <c r="E235" s="67"/>
      <c r="F235" s="67"/>
      <c r="G235" s="68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</row>
    <row r="236" spans="3:38" s="65" customFormat="1" ht="12">
      <c r="C236" s="66"/>
      <c r="D236" s="67"/>
      <c r="E236" s="67"/>
      <c r="F236" s="67"/>
      <c r="G236" s="68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</row>
    <row r="237" spans="3:38" s="65" customFormat="1" ht="12">
      <c r="C237" s="66"/>
      <c r="D237" s="67"/>
      <c r="E237" s="67"/>
      <c r="F237" s="67"/>
      <c r="G237" s="68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</row>
    <row r="238" spans="3:38" s="65" customFormat="1" ht="12">
      <c r="C238" s="66"/>
      <c r="D238" s="67"/>
      <c r="E238" s="67"/>
      <c r="F238" s="67"/>
      <c r="G238" s="68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</row>
    <row r="239" spans="3:38" s="65" customFormat="1" ht="12">
      <c r="C239" s="66"/>
      <c r="D239" s="67"/>
      <c r="E239" s="67"/>
      <c r="F239" s="67"/>
      <c r="G239" s="68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</row>
    <row r="240" spans="3:38" s="65" customFormat="1" ht="12">
      <c r="C240" s="66"/>
      <c r="D240" s="67"/>
      <c r="E240" s="67"/>
      <c r="F240" s="67"/>
      <c r="G240" s="68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</row>
    <row r="241" spans="3:38" s="65" customFormat="1" ht="12">
      <c r="C241" s="66"/>
      <c r="D241" s="67"/>
      <c r="E241" s="67"/>
      <c r="F241" s="67"/>
      <c r="G241" s="68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</row>
    <row r="242" spans="3:38" s="65" customFormat="1" ht="12">
      <c r="C242" s="66"/>
      <c r="D242" s="67"/>
      <c r="E242" s="67"/>
      <c r="F242" s="67"/>
      <c r="G242" s="68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</row>
    <row r="243" spans="3:38" s="65" customFormat="1" ht="12">
      <c r="C243" s="66"/>
      <c r="D243" s="67"/>
      <c r="E243" s="67"/>
      <c r="F243" s="67"/>
      <c r="G243" s="68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</row>
    <row r="244" spans="3:38" s="65" customFormat="1" ht="12">
      <c r="C244" s="66"/>
      <c r="D244" s="67"/>
      <c r="E244" s="67"/>
      <c r="F244" s="67"/>
      <c r="G244" s="68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</row>
    <row r="245" spans="3:38" s="65" customFormat="1" ht="12">
      <c r="C245" s="66"/>
      <c r="D245" s="67"/>
      <c r="E245" s="67"/>
      <c r="F245" s="67"/>
      <c r="G245" s="68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</row>
    <row r="246" spans="3:38" s="65" customFormat="1" ht="12">
      <c r="C246" s="66"/>
      <c r="D246" s="67"/>
      <c r="E246" s="67"/>
      <c r="F246" s="67"/>
      <c r="G246" s="68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</row>
    <row r="247" spans="3:38" s="65" customFormat="1" ht="12">
      <c r="C247" s="66"/>
      <c r="D247" s="67"/>
      <c r="E247" s="67"/>
      <c r="F247" s="67"/>
      <c r="G247" s="68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</row>
    <row r="248" spans="3:38" s="65" customFormat="1" ht="12">
      <c r="C248" s="66"/>
      <c r="D248" s="67"/>
      <c r="E248" s="67"/>
      <c r="F248" s="67"/>
      <c r="G248" s="68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</row>
    <row r="249" spans="2:10" s="72" customFormat="1" ht="12">
      <c r="B249" s="66"/>
      <c r="C249" s="70"/>
      <c r="D249" s="70"/>
      <c r="E249" s="71"/>
      <c r="F249" s="71"/>
      <c r="G249" s="71"/>
      <c r="H249" s="71"/>
      <c r="I249" s="65"/>
      <c r="J249" s="65"/>
    </row>
    <row r="250" spans="2:10" s="72" customFormat="1" ht="12">
      <c r="B250" s="66"/>
      <c r="C250" s="70"/>
      <c r="D250" s="70"/>
      <c r="E250" s="71"/>
      <c r="F250" s="71"/>
      <c r="G250" s="71"/>
      <c r="H250" s="71"/>
      <c r="I250" s="65"/>
      <c r="J250" s="65"/>
    </row>
    <row r="251" spans="3:38" s="65" customFormat="1" ht="12">
      <c r="C251" s="66"/>
      <c r="D251" s="67"/>
      <c r="E251" s="67"/>
      <c r="F251" s="67"/>
      <c r="G251" s="68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</row>
    <row r="252" spans="3:38" s="65" customFormat="1" ht="12">
      <c r="C252" s="66"/>
      <c r="D252" s="67"/>
      <c r="E252" s="67"/>
      <c r="F252" s="67"/>
      <c r="G252" s="68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</row>
    <row r="253" spans="3:38" s="65" customFormat="1" ht="12">
      <c r="C253" s="66"/>
      <c r="D253" s="67"/>
      <c r="E253" s="67"/>
      <c r="F253" s="67"/>
      <c r="G253" s="68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</row>
  </sheetData>
  <sheetProtection/>
  <mergeCells count="22">
    <mergeCell ref="J39:L39"/>
    <mergeCell ref="J40:L40"/>
    <mergeCell ref="J41:L41"/>
    <mergeCell ref="J42:L42"/>
    <mergeCell ref="J43:L43"/>
    <mergeCell ref="J44:L44"/>
    <mergeCell ref="J56:L56"/>
    <mergeCell ref="J48:L48"/>
    <mergeCell ref="J49:L49"/>
    <mergeCell ref="J50:L50"/>
    <mergeCell ref="J55:L55"/>
    <mergeCell ref="J57:L57"/>
    <mergeCell ref="J18:L18"/>
    <mergeCell ref="J19:L19"/>
    <mergeCell ref="J51:L51"/>
    <mergeCell ref="J52:L52"/>
    <mergeCell ref="J53:L53"/>
    <mergeCell ref="J54:L54"/>
    <mergeCell ref="J47:L47"/>
    <mergeCell ref="J45:L45"/>
    <mergeCell ref="J38:L38"/>
    <mergeCell ref="J46:L46"/>
  </mergeCells>
  <printOptions headings="1"/>
  <pageMargins left="0.41" right="0.34" top="0.54" bottom="0.55" header="0.31" footer="0.32"/>
  <pageSetup fitToHeight="3" fitToWidth="1" horizontalDpi="600" verticalDpi="600" orientation="landscape" paperSize="9" scale="60" r:id="rId1"/>
  <headerFooter alignWithMargins="0">
    <oddFooter>&amp;C&amp;A</oddFooter>
  </headerFooter>
  <ignoredErrors>
    <ignoredError sqref="B8:S8 A57:A106 A108:A137" numberStoredAsText="1"/>
    <ignoredError sqref="K20:K25 G20:G25 H20:H25 B20:B25 C20:C25 D20:D25 E20:E25 F20:F25 R22:R25 J20:J25 Q22:Q25 I21:I25 L85:L91 G26 I26 M26:P26 B26:F26 Q26:R26 J26:L26 H26" formulaRange="1"/>
    <ignoredError sqref="I20" formula="1" formulaRange="1"/>
    <ignoredError sqref="N33 E44 E49 G52 E55 G58 J67 J69 K62 P43 P63:Q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B1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0.8515625" style="0" customWidth="1"/>
  </cols>
  <sheetData>
    <row r="2" ht="15">
      <c r="A2" s="49" t="s">
        <v>64</v>
      </c>
    </row>
    <row r="3" ht="15">
      <c r="A3" s="49"/>
    </row>
    <row r="4" ht="15">
      <c r="A4" s="25" t="s">
        <v>431</v>
      </c>
    </row>
    <row r="5" s="117" customFormat="1" ht="12">
      <c r="A5" s="18" t="s">
        <v>72</v>
      </c>
    </row>
    <row r="6" s="117" customFormat="1" ht="12">
      <c r="A6" s="18" t="s">
        <v>73</v>
      </c>
    </row>
    <row r="7" s="117" customFormat="1" ht="12">
      <c r="A7" s="18" t="s">
        <v>297</v>
      </c>
    </row>
    <row r="8" s="117" customFormat="1" ht="12">
      <c r="A8" s="18" t="s">
        <v>366</v>
      </c>
    </row>
    <row r="9" s="116" customFormat="1" ht="12">
      <c r="A9" s="18" t="s">
        <v>298</v>
      </c>
    </row>
    <row r="10" s="117" customFormat="1" ht="12">
      <c r="A10" s="18" t="s">
        <v>78</v>
      </c>
    </row>
    <row r="11" s="117" customFormat="1" ht="12">
      <c r="A11" s="18" t="s">
        <v>79</v>
      </c>
    </row>
    <row r="12" s="117" customFormat="1" ht="12">
      <c r="A12" s="18" t="s">
        <v>80</v>
      </c>
    </row>
    <row r="13" s="117" customFormat="1" ht="12">
      <c r="A13" s="18" t="s">
        <v>81</v>
      </c>
    </row>
    <row r="14" s="117" customFormat="1" ht="12">
      <c r="A14" s="18" t="s">
        <v>82</v>
      </c>
    </row>
    <row r="15" s="117" customFormat="1" ht="12">
      <c r="A15" s="18" t="s">
        <v>83</v>
      </c>
    </row>
    <row r="16" s="117" customFormat="1" ht="12">
      <c r="A16" s="18" t="s">
        <v>84</v>
      </c>
    </row>
    <row r="17" s="117" customFormat="1" ht="12">
      <c r="A17" s="18" t="s">
        <v>85</v>
      </c>
    </row>
    <row r="18" s="117" customFormat="1" ht="12">
      <c r="A18" s="18" t="s">
        <v>86</v>
      </c>
    </row>
    <row r="19" s="117" customFormat="1" ht="12">
      <c r="A19" s="18" t="s">
        <v>339</v>
      </c>
    </row>
    <row r="20" s="117" customFormat="1" ht="12">
      <c r="A20" s="18" t="s">
        <v>349</v>
      </c>
    </row>
    <row r="21" s="117" customFormat="1" ht="12">
      <c r="A21" s="18" t="s">
        <v>352</v>
      </c>
    </row>
    <row r="22" s="117" customFormat="1" ht="12">
      <c r="A22" s="18" t="s">
        <v>355</v>
      </c>
    </row>
    <row r="23" s="117" customFormat="1" ht="12">
      <c r="A23" s="18" t="s">
        <v>367</v>
      </c>
    </row>
    <row r="24" s="117" customFormat="1" ht="12">
      <c r="A24" s="18" t="s">
        <v>381</v>
      </c>
    </row>
    <row r="25" s="117" customFormat="1" ht="12">
      <c r="A25" s="18" t="s">
        <v>383</v>
      </c>
    </row>
    <row r="26" s="117" customFormat="1" ht="12">
      <c r="A26" s="18" t="s">
        <v>386</v>
      </c>
    </row>
    <row r="27" s="117" customFormat="1" ht="12">
      <c r="A27" s="18" t="s">
        <v>411</v>
      </c>
    </row>
    <row r="28" s="117" customFormat="1" ht="12">
      <c r="A28" s="18" t="s">
        <v>414</v>
      </c>
    </row>
    <row r="29" s="117" customFormat="1" ht="12">
      <c r="A29" s="18" t="s">
        <v>417</v>
      </c>
    </row>
    <row r="30" s="117" customFormat="1" ht="12">
      <c r="A30" s="18" t="s">
        <v>421</v>
      </c>
    </row>
    <row r="31" s="117" customFormat="1" ht="12">
      <c r="A31" s="18" t="s">
        <v>424</v>
      </c>
    </row>
    <row r="32" s="117" customFormat="1" ht="12">
      <c r="A32" s="18" t="s">
        <v>432</v>
      </c>
    </row>
    <row r="33" s="117" customFormat="1" ht="12">
      <c r="A33" s="18"/>
    </row>
    <row r="34" s="117" customFormat="1" ht="12">
      <c r="A34" s="18" t="s">
        <v>299</v>
      </c>
    </row>
    <row r="35" s="117" customFormat="1" ht="12">
      <c r="A35" s="18" t="s">
        <v>300</v>
      </c>
    </row>
    <row r="36" s="117" customFormat="1" ht="12">
      <c r="A36" s="18" t="s">
        <v>301</v>
      </c>
    </row>
    <row r="37" s="117" customFormat="1" ht="12">
      <c r="A37" s="18" t="s">
        <v>292</v>
      </c>
    </row>
    <row r="38" s="117" customFormat="1" ht="12">
      <c r="A38" s="18" t="s">
        <v>74</v>
      </c>
    </row>
    <row r="39" s="117" customFormat="1" ht="12">
      <c r="A39" s="18" t="s">
        <v>75</v>
      </c>
    </row>
    <row r="40" s="117" customFormat="1" ht="12">
      <c r="A40" s="18" t="s">
        <v>302</v>
      </c>
    </row>
    <row r="41" s="117" customFormat="1" ht="12">
      <c r="A41" s="18" t="s">
        <v>303</v>
      </c>
    </row>
    <row r="42" s="117" customFormat="1" ht="12">
      <c r="A42" s="18" t="s">
        <v>304</v>
      </c>
    </row>
    <row r="43" s="117" customFormat="1" ht="12">
      <c r="A43" s="18" t="s">
        <v>305</v>
      </c>
    </row>
    <row r="44" s="117" customFormat="1" ht="12">
      <c r="A44" s="18" t="s">
        <v>293</v>
      </c>
    </row>
    <row r="45" s="117" customFormat="1" ht="12">
      <c r="A45" s="18" t="s">
        <v>87</v>
      </c>
    </row>
    <row r="46" s="117" customFormat="1" ht="12">
      <c r="A46" s="18" t="s">
        <v>88</v>
      </c>
    </row>
    <row r="47" s="117" customFormat="1" ht="12">
      <c r="A47" s="18" t="s">
        <v>89</v>
      </c>
    </row>
    <row r="48" s="117" customFormat="1" ht="12">
      <c r="A48" s="18" t="s">
        <v>90</v>
      </c>
    </row>
    <row r="49" s="117" customFormat="1" ht="12">
      <c r="A49" s="18" t="s">
        <v>91</v>
      </c>
    </row>
    <row r="50" s="117" customFormat="1" ht="12">
      <c r="A50" s="18" t="s">
        <v>92</v>
      </c>
    </row>
    <row r="51" s="117" customFormat="1" ht="12">
      <c r="A51" s="18" t="s">
        <v>93</v>
      </c>
    </row>
    <row r="52" s="117" customFormat="1" ht="12">
      <c r="A52" s="18" t="s">
        <v>341</v>
      </c>
    </row>
    <row r="53" s="117" customFormat="1" ht="12">
      <c r="A53" s="18" t="s">
        <v>340</v>
      </c>
    </row>
    <row r="54" s="117" customFormat="1" ht="12">
      <c r="A54" s="18" t="s">
        <v>350</v>
      </c>
    </row>
    <row r="55" s="117" customFormat="1" ht="12">
      <c r="A55" s="18" t="s">
        <v>353</v>
      </c>
    </row>
    <row r="56" s="117" customFormat="1" ht="12">
      <c r="A56" s="18" t="s">
        <v>356</v>
      </c>
    </row>
    <row r="57" s="117" customFormat="1" ht="12">
      <c r="A57" s="18" t="s">
        <v>359</v>
      </c>
    </row>
    <row r="58" s="117" customFormat="1" ht="12">
      <c r="A58" s="18" t="s">
        <v>380</v>
      </c>
    </row>
    <row r="59" s="117" customFormat="1" ht="12">
      <c r="A59" s="18" t="s">
        <v>384</v>
      </c>
    </row>
    <row r="60" s="117" customFormat="1" ht="12">
      <c r="A60" s="18" t="s">
        <v>387</v>
      </c>
    </row>
    <row r="61" s="117" customFormat="1" ht="12">
      <c r="A61" s="18" t="s">
        <v>412</v>
      </c>
    </row>
    <row r="62" s="117" customFormat="1" ht="12">
      <c r="A62" s="18" t="s">
        <v>415</v>
      </c>
    </row>
    <row r="63" s="117" customFormat="1" ht="12">
      <c r="A63" s="18" t="s">
        <v>418</v>
      </c>
    </row>
    <row r="64" s="117" customFormat="1" ht="12">
      <c r="A64" s="18" t="s">
        <v>422</v>
      </c>
    </row>
    <row r="65" s="117" customFormat="1" ht="12">
      <c r="A65" s="18" t="s">
        <v>425</v>
      </c>
    </row>
    <row r="66" s="117" customFormat="1" ht="12">
      <c r="A66" s="18" t="s">
        <v>433</v>
      </c>
    </row>
    <row r="67" s="117" customFormat="1" ht="12">
      <c r="A67" s="18"/>
    </row>
    <row r="68" s="117" customFormat="1" ht="12">
      <c r="A68" s="18" t="s">
        <v>94</v>
      </c>
    </row>
    <row r="69" s="117" customFormat="1" ht="12">
      <c r="A69" s="18" t="s">
        <v>294</v>
      </c>
    </row>
    <row r="70" s="117" customFormat="1" ht="12">
      <c r="A70" s="18" t="s">
        <v>95</v>
      </c>
    </row>
    <row r="71" s="117" customFormat="1" ht="12">
      <c r="A71" s="18" t="s">
        <v>306</v>
      </c>
    </row>
    <row r="72" s="117" customFormat="1" ht="12">
      <c r="A72" s="18" t="s">
        <v>307</v>
      </c>
    </row>
    <row r="73" s="117" customFormat="1" ht="12">
      <c r="A73" s="18" t="s">
        <v>96</v>
      </c>
    </row>
    <row r="74" s="117" customFormat="1" ht="12">
      <c r="A74" s="18" t="s">
        <v>435</v>
      </c>
    </row>
    <row r="75" s="117" customFormat="1" ht="12">
      <c r="A75" s="18" t="s">
        <v>308</v>
      </c>
    </row>
    <row r="76" s="117" customFormat="1" ht="12">
      <c r="A76" s="18" t="s">
        <v>309</v>
      </c>
    </row>
    <row r="77" s="117" customFormat="1" ht="12">
      <c r="A77" s="18" t="s">
        <v>295</v>
      </c>
    </row>
    <row r="78" s="117" customFormat="1" ht="12">
      <c r="A78" s="18" t="s">
        <v>97</v>
      </c>
    </row>
    <row r="79" s="117" customFormat="1" ht="12">
      <c r="A79" s="18" t="s">
        <v>436</v>
      </c>
    </row>
    <row r="80" s="117" customFormat="1" ht="12">
      <c r="A80" s="18" t="s">
        <v>98</v>
      </c>
    </row>
    <row r="81" s="117" customFormat="1" ht="12">
      <c r="A81" s="50" t="s">
        <v>434</v>
      </c>
    </row>
    <row r="82" s="117" customFormat="1" ht="12">
      <c r="A82" s="18" t="s">
        <v>437</v>
      </c>
    </row>
    <row r="83" s="117" customFormat="1" ht="12">
      <c r="A83" s="18" t="s">
        <v>99</v>
      </c>
    </row>
    <row r="84" s="117" customFormat="1" ht="12">
      <c r="A84" s="18" t="s">
        <v>101</v>
      </c>
    </row>
    <row r="85" s="117" customFormat="1" ht="12">
      <c r="A85" s="18" t="s">
        <v>100</v>
      </c>
    </row>
    <row r="86" s="117" customFormat="1" ht="12">
      <c r="A86" s="18" t="s">
        <v>102</v>
      </c>
    </row>
    <row r="87" s="117" customFormat="1" ht="12">
      <c r="A87" s="18" t="s">
        <v>368</v>
      </c>
    </row>
    <row r="88" s="117" customFormat="1" ht="12">
      <c r="A88" s="18" t="s">
        <v>104</v>
      </c>
    </row>
    <row r="89" s="117" customFormat="1" ht="12">
      <c r="A89" s="18" t="s">
        <v>103</v>
      </c>
    </row>
    <row r="90" s="117" customFormat="1" ht="12">
      <c r="A90" s="18" t="s">
        <v>438</v>
      </c>
    </row>
    <row r="92" ht="15">
      <c r="A92" s="25" t="s">
        <v>439</v>
      </c>
    </row>
    <row r="93" s="117" customFormat="1" ht="12">
      <c r="A93" s="18" t="s">
        <v>105</v>
      </c>
    </row>
    <row r="94" s="117" customFormat="1" ht="12">
      <c r="A94" s="18" t="s">
        <v>310</v>
      </c>
    </row>
    <row r="95" s="117" customFormat="1" ht="12">
      <c r="A95" s="18" t="s">
        <v>311</v>
      </c>
    </row>
    <row r="96" s="117" customFormat="1" ht="12">
      <c r="A96" s="18" t="s">
        <v>342</v>
      </c>
    </row>
    <row r="97" s="117" customFormat="1" ht="12">
      <c r="A97" s="18" t="s">
        <v>357</v>
      </c>
    </row>
    <row r="98" s="116" customFormat="1" ht="12">
      <c r="A98" s="18" t="s">
        <v>378</v>
      </c>
    </row>
    <row r="99" s="117" customFormat="1" ht="12">
      <c r="A99" s="18" t="s">
        <v>377</v>
      </c>
    </row>
    <row r="100" s="117" customFormat="1" ht="12">
      <c r="A100" s="18" t="s">
        <v>376</v>
      </c>
    </row>
    <row r="101" s="117" customFormat="1" ht="12">
      <c r="A101" s="18" t="s">
        <v>375</v>
      </c>
    </row>
    <row r="102" s="117" customFormat="1" ht="12">
      <c r="A102" s="18" t="s">
        <v>374</v>
      </c>
    </row>
    <row r="103" s="117" customFormat="1" ht="12">
      <c r="A103" s="18" t="s">
        <v>426</v>
      </c>
    </row>
    <row r="104" s="117" customFormat="1" ht="12">
      <c r="A104" s="18" t="s">
        <v>440</v>
      </c>
    </row>
    <row r="105" s="117" customFormat="1" ht="12">
      <c r="A105" s="18" t="s">
        <v>312</v>
      </c>
    </row>
    <row r="106" s="117" customFormat="1" ht="12">
      <c r="A106" s="18" t="s">
        <v>313</v>
      </c>
    </row>
    <row r="107" s="117" customFormat="1" ht="12">
      <c r="A107" s="18" t="s">
        <v>314</v>
      </c>
    </row>
    <row r="108" s="117" customFormat="1" ht="12">
      <c r="A108" s="18" t="s">
        <v>343</v>
      </c>
    </row>
    <row r="109" s="117" customFormat="1" ht="12">
      <c r="A109" s="18" t="s">
        <v>360</v>
      </c>
    </row>
    <row r="110" s="117" customFormat="1" ht="12">
      <c r="A110" s="18" t="s">
        <v>427</v>
      </c>
    </row>
    <row r="111" s="117" customFormat="1" ht="12">
      <c r="A111" s="18" t="s">
        <v>441</v>
      </c>
    </row>
    <row r="112" s="117" customFormat="1" ht="12">
      <c r="A112" s="18" t="s">
        <v>315</v>
      </c>
    </row>
    <row r="113" s="117" customFormat="1" ht="12">
      <c r="A113" s="18" t="s">
        <v>316</v>
      </c>
    </row>
    <row r="114" s="117" customFormat="1" ht="12">
      <c r="A114" s="18" t="s">
        <v>344</v>
      </c>
    </row>
    <row r="115" spans="1:2" s="117" customFormat="1" ht="12">
      <c r="A115" s="18" t="s">
        <v>361</v>
      </c>
      <c r="B115" s="116"/>
    </row>
    <row r="116" spans="1:2" s="117" customFormat="1" ht="12">
      <c r="A116" s="18" t="s">
        <v>442</v>
      </c>
      <c r="B116" s="116"/>
    </row>
    <row r="117" s="117" customFormat="1" ht="12">
      <c r="A117" s="18" t="s">
        <v>106</v>
      </c>
    </row>
    <row r="118" s="117" customFormat="1" ht="12">
      <c r="A118" s="18" t="s">
        <v>317</v>
      </c>
    </row>
    <row r="119" s="117" customFormat="1" ht="12">
      <c r="A119" s="18" t="s">
        <v>318</v>
      </c>
    </row>
    <row r="120" s="117" customFormat="1" ht="12">
      <c r="A120" s="18" t="s">
        <v>107</v>
      </c>
    </row>
    <row r="121" s="117" customFormat="1" ht="12">
      <c r="A121" s="18" t="s">
        <v>443</v>
      </c>
    </row>
    <row r="122" s="117" customFormat="1" ht="12">
      <c r="A122" s="18" t="s">
        <v>319</v>
      </c>
    </row>
    <row r="123" s="117" customFormat="1" ht="12">
      <c r="A123" s="18" t="s">
        <v>320</v>
      </c>
    </row>
    <row r="124" s="117" customFormat="1" ht="12">
      <c r="A124" s="18" t="s">
        <v>108</v>
      </c>
    </row>
    <row r="125" s="117" customFormat="1" ht="12">
      <c r="A125" s="18" t="s">
        <v>109</v>
      </c>
    </row>
    <row r="126" s="117" customFormat="1" ht="12">
      <c r="A126" s="18" t="s">
        <v>444</v>
      </c>
    </row>
    <row r="127" s="117" customFormat="1" ht="12">
      <c r="A127" s="18" t="s">
        <v>321</v>
      </c>
    </row>
    <row r="128" s="117" customFormat="1" ht="12">
      <c r="A128" s="18" t="s">
        <v>322</v>
      </c>
    </row>
    <row r="129" s="117" customFormat="1" ht="12">
      <c r="A129" s="18" t="s">
        <v>296</v>
      </c>
    </row>
    <row r="130" s="117" customFormat="1" ht="12">
      <c r="A130" s="18" t="s">
        <v>445</v>
      </c>
    </row>
    <row r="131" s="117" customFormat="1" ht="12">
      <c r="A131" s="18" t="s">
        <v>323</v>
      </c>
    </row>
    <row r="132" s="117" customFormat="1" ht="12">
      <c r="A132" s="18" t="s">
        <v>324</v>
      </c>
    </row>
    <row r="133" s="117" customFormat="1" ht="12">
      <c r="A133" s="18" t="s">
        <v>111</v>
      </c>
    </row>
    <row r="134" s="117" customFormat="1" ht="12">
      <c r="A134" s="18" t="s">
        <v>110</v>
      </c>
    </row>
    <row r="135" s="117" customFormat="1" ht="12">
      <c r="A135" s="18" t="s">
        <v>112</v>
      </c>
    </row>
    <row r="136" s="117" customFormat="1" ht="12">
      <c r="A136" s="18" t="s">
        <v>113</v>
      </c>
    </row>
    <row r="137" s="117" customFormat="1" ht="12">
      <c r="A137" s="18" t="s">
        <v>446</v>
      </c>
    </row>
    <row r="138" s="117" customFormat="1" ht="12">
      <c r="A138" s="18" t="s">
        <v>325</v>
      </c>
    </row>
    <row r="139" s="117" customFormat="1" ht="12">
      <c r="A139" s="18" t="s">
        <v>371</v>
      </c>
    </row>
    <row r="140" s="117" customFormat="1" ht="12">
      <c r="A140" s="18" t="s">
        <v>114</v>
      </c>
    </row>
    <row r="141" s="117" customFormat="1" ht="12">
      <c r="A141" s="18" t="s">
        <v>115</v>
      </c>
    </row>
    <row r="142" s="117" customFormat="1" ht="12">
      <c r="A142" s="18" t="s">
        <v>116</v>
      </c>
    </row>
    <row r="143" s="117" customFormat="1" ht="12">
      <c r="A143" s="18" t="s">
        <v>117</v>
      </c>
    </row>
    <row r="144" s="117" customFormat="1" ht="12">
      <c r="A144" s="18" t="s">
        <v>118</v>
      </c>
    </row>
    <row r="145" s="117" customFormat="1" ht="12">
      <c r="A145" s="18" t="s">
        <v>0</v>
      </c>
    </row>
    <row r="146" s="117" customFormat="1" ht="12">
      <c r="A146" s="18" t="s">
        <v>1</v>
      </c>
    </row>
    <row r="147" s="117" customFormat="1" ht="12">
      <c r="A147" s="18" t="s">
        <v>447</v>
      </c>
    </row>
    <row r="148" s="117" customFormat="1" ht="12">
      <c r="A148" s="18" t="s">
        <v>326</v>
      </c>
    </row>
    <row r="149" s="117" customFormat="1" ht="12">
      <c r="A149" s="18" t="s">
        <v>2</v>
      </c>
    </row>
    <row r="150" s="117" customFormat="1" ht="12">
      <c r="A150" s="18" t="s">
        <v>448</v>
      </c>
    </row>
    <row r="151" s="117" customFormat="1" ht="12">
      <c r="A151" s="18" t="s">
        <v>327</v>
      </c>
    </row>
    <row r="152" s="117" customFormat="1" ht="12">
      <c r="A152" s="18" t="s">
        <v>3</v>
      </c>
    </row>
    <row r="153" s="117" customFormat="1" ht="12">
      <c r="A153" s="18" t="s">
        <v>449</v>
      </c>
    </row>
    <row r="154" s="117" customFormat="1" ht="12">
      <c r="A154" s="18" t="s">
        <v>450</v>
      </c>
    </row>
    <row r="155" s="117" customFormat="1" ht="12">
      <c r="A155" s="18" t="s">
        <v>4</v>
      </c>
    </row>
    <row r="156" s="117" customFormat="1" ht="12">
      <c r="A156" s="18" t="s">
        <v>328</v>
      </c>
    </row>
    <row r="157" s="117" customFormat="1" ht="12">
      <c r="A157" s="18" t="s">
        <v>329</v>
      </c>
    </row>
    <row r="158" s="117" customFormat="1" ht="12">
      <c r="A158" s="18" t="s">
        <v>330</v>
      </c>
    </row>
    <row r="159" s="117" customFormat="1" ht="12">
      <c r="A159" s="18" t="s">
        <v>331</v>
      </c>
    </row>
    <row r="160" s="117" customFormat="1" ht="12">
      <c r="A160" s="18" t="s">
        <v>5</v>
      </c>
    </row>
    <row r="161" s="117" customFormat="1" ht="12">
      <c r="A161" s="18" t="s">
        <v>332</v>
      </c>
    </row>
    <row r="162" s="117" customFormat="1" ht="12">
      <c r="A162" s="18" t="s">
        <v>333</v>
      </c>
    </row>
    <row r="163" s="117" customFormat="1" ht="12">
      <c r="A163" s="18" t="s">
        <v>6</v>
      </c>
    </row>
    <row r="164" s="117" customFormat="1" ht="12">
      <c r="A164" s="18" t="s">
        <v>451</v>
      </c>
    </row>
    <row r="165" s="117" customFormat="1" ht="12">
      <c r="A165" s="18" t="s">
        <v>7</v>
      </c>
    </row>
    <row r="166" s="117" customFormat="1" ht="12">
      <c r="A166" s="18" t="s">
        <v>334</v>
      </c>
    </row>
    <row r="167" s="117" customFormat="1" ht="12">
      <c r="A167" s="18" t="s">
        <v>335</v>
      </c>
    </row>
    <row r="168" s="117" customFormat="1" ht="12">
      <c r="A168" s="18" t="s">
        <v>8</v>
      </c>
    </row>
    <row r="169" s="117" customFormat="1" ht="12">
      <c r="A169" s="18" t="s">
        <v>9</v>
      </c>
    </row>
    <row r="170" s="117" customFormat="1" ht="12">
      <c r="A170" s="18" t="s">
        <v>10</v>
      </c>
    </row>
    <row r="171" s="117" customFormat="1" ht="12">
      <c r="A171" s="18" t="s">
        <v>11</v>
      </c>
    </row>
    <row r="172" s="117" customFormat="1" ht="12">
      <c r="A172" s="18" t="s">
        <v>12</v>
      </c>
    </row>
    <row r="173" s="117" customFormat="1" ht="12">
      <c r="A173" s="18" t="s">
        <v>13</v>
      </c>
    </row>
    <row r="174" s="117" customFormat="1" ht="12">
      <c r="A174" s="18" t="s">
        <v>14</v>
      </c>
    </row>
    <row r="175" s="117" customFormat="1" ht="12">
      <c r="A175" s="18" t="s">
        <v>15</v>
      </c>
    </row>
    <row r="176" s="117" customFormat="1" ht="12">
      <c r="A176" s="18" t="s">
        <v>16</v>
      </c>
    </row>
    <row r="177" s="117" customFormat="1" ht="12">
      <c r="A177" s="18" t="s">
        <v>17</v>
      </c>
    </row>
    <row r="178" s="117" customFormat="1" ht="12">
      <c r="A178" s="18" t="s">
        <v>18</v>
      </c>
    </row>
    <row r="179" s="117" customFormat="1" ht="12">
      <c r="A179" s="18" t="s">
        <v>19</v>
      </c>
    </row>
    <row r="180" s="117" customFormat="1" ht="12">
      <c r="A180" s="18" t="s">
        <v>20</v>
      </c>
    </row>
    <row r="181" s="117" customFormat="1" ht="12">
      <c r="A181" s="18" t="s">
        <v>345</v>
      </c>
    </row>
    <row r="182" s="117" customFormat="1" ht="12">
      <c r="A182" s="18" t="s">
        <v>362</v>
      </c>
    </row>
    <row r="183" s="117" customFormat="1" ht="12">
      <c r="A183" s="18" t="s">
        <v>452</v>
      </c>
    </row>
    <row r="184" s="117" customFormat="1" ht="12">
      <c r="A184" s="18" t="s">
        <v>453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 Enriques</dc:creator>
  <cp:keywords/>
  <dc:description/>
  <cp:lastModifiedBy>Harris, Kevin (Analysis Directorate)</cp:lastModifiedBy>
  <cp:lastPrinted>2017-07-04T16:13:00Z</cp:lastPrinted>
  <dcterms:created xsi:type="dcterms:W3CDTF">2001-07-24T10:05:24Z</dcterms:created>
  <dcterms:modified xsi:type="dcterms:W3CDTF">2023-07-26T11:27:12Z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2020-01-15T15:14:41Z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b6c40f5c-a53a-4db8-a162-000098ba76a1</vt:lpwstr>
  </property>
  <property fmtid="{D5CDD505-2E9C-101B-9397-08002B2CF9AE}" pid="8" name="MSIP_Label_ba62f585-b40f-4ab9-bafe-39150f03d124_ContentBits">
    <vt:lpwstr>0</vt:lpwstr>
  </property>
</Properties>
</file>