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fileSharing readOnlyRecommended="1"/>
  <workbookPr/>
  <mc:AlternateContent xmlns:mc="http://schemas.openxmlformats.org/markup-compatibility/2006">
    <mc:Choice Requires="x15">
      <x15ac:absPath xmlns:x15ac="http://schemas.microsoft.com/office/spreadsheetml/2010/11/ac" url="https://wsponline.sharepoint.com/sites/GB-BEISCCUSFwork/Shared Documents/02 T&amp;S/10 Update to DECC 2012/WIP/FINAL VERSION Jan 2023/"/>
    </mc:Choice>
  </mc:AlternateContent>
  <xr:revisionPtr revIDLastSave="1078" documentId="8_{B136BC9F-D5C6-4369-8850-13B0C33BF82F}" xr6:coauthVersionLast="47" xr6:coauthVersionMax="47" xr10:uidLastSave="{1DDCF4AD-B99A-4755-BC83-90C4B9A93F24}"/>
  <bookViews>
    <workbookView xWindow="38280" yWindow="-120" windowWidth="38640" windowHeight="24240" tabRatio="493" xr2:uid="{00000000-000D-0000-FFFF-FFFF00000000}"/>
  </bookViews>
  <sheets>
    <sheet name="Document Control" sheetId="46" r:id="rId1"/>
    <sheet name="References" sheetId="1" r:id="rId2"/>
    <sheet name="Comparison Sheet" sheetId="26" r:id="rId3"/>
    <sheet name="Data Analysis (SEEP)" sheetId="40" r:id="rId4"/>
    <sheet name="Data Analysis (1-50)" sheetId="41" r:id="rId5"/>
    <sheet name="Data Analysis (50-1000)" sheetId="42" r:id="rId6"/>
    <sheet name="Data Analysis (&gt;1000)" sheetId="43" r:id="rId7"/>
    <sheet name="Jewell &amp; Senior 2012" sheetId="5" r:id="rId8"/>
    <sheet name="ZEP Report Nov 2019" sheetId="4" r:id="rId9"/>
    <sheet name="IOGP" sheetId="6" r:id="rId10"/>
    <sheet name="Alcalde, Flude et al " sheetId="3" r:id="rId11"/>
    <sheet name="HSE 1992_2015" sheetId="45" r:id="rId12"/>
    <sheet name="Schultz 2019" sheetId="44" r:id="rId13"/>
    <sheet name="Scandpower Johansen Fm" sheetId="16" r:id="rId14"/>
    <sheet name="Le Guen " sheetId="10" r:id="rId15"/>
    <sheet name="Lewicki 2006" sheetId="24" r:id="rId16"/>
    <sheet name="HSE Safety Lab" sheetId="22" r:id="rId17"/>
    <sheet name="Lindeburg" sheetId="13" r:id="rId18"/>
    <sheet name="Conley et al 2016" sheetId="27" r:id="rId19"/>
    <sheet name="Davies 2014" sheetId="20" r:id="rId20"/>
    <sheet name="PSA 2020 Rpt" sheetId="15" r:id="rId21"/>
    <sheet name="Doherty" sheetId="11" r:id="rId22"/>
    <sheet name="Vielstade" sheetId="18" r:id="rId23"/>
    <sheet name="Bai et al" sheetId="19" r:id="rId24"/>
    <sheet name="Bachu_Watson" sheetId="8" r:id="rId25"/>
    <sheet name="Jordon &amp; Carey" sheetId="28" r:id="rId26"/>
    <sheet name="Sandl et. al." sheetId="30" r:id="rId27"/>
    <sheet name="Marlow1989" sheetId="32" r:id="rId28"/>
    <sheet name="King&amp;King" sheetId="33" r:id="rId29"/>
    <sheet name="Duncan" sheetId="36" r:id="rId30"/>
    <sheet name="Blackford" sheetId="37" r:id="rId31"/>
    <sheet name="Harp Num Model" sheetId="38" r:id="rId32"/>
    <sheet name="IEA R&amp;D Natural CO2" sheetId="39" r:id="rId33"/>
  </sheets>
  <definedNames>
    <definedName name="_xlnm._FilterDatabase" localSheetId="1" hidden="1">References!$A$1:$F$1</definedName>
    <definedName name="ExternalData_1" localSheetId="21" hidden="1">Doherty!#REF!</definedName>
    <definedName name="ExternalData_1" localSheetId="17" hidden="1">Lindeburg!$C$7:$F$18</definedName>
    <definedName name="ExternalData_2" localSheetId="21" hidden="1">Doherty!#REF!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44" l="1"/>
  <c r="P12" i="33"/>
  <c r="Q12" i="33" s="1"/>
  <c r="P9" i="33"/>
  <c r="Q10" i="33" s="1"/>
  <c r="Q13" i="33" s="1"/>
  <c r="F9" i="33"/>
  <c r="F8" i="33"/>
  <c r="F11" i="33" s="1"/>
  <c r="U7" i="33"/>
  <c r="L7" i="33"/>
  <c r="F7" i="33"/>
  <c r="E5" i="30"/>
  <c r="O31" i="19"/>
  <c r="O19" i="15"/>
  <c r="O20" i="15"/>
  <c r="O21" i="15"/>
  <c r="O22" i="15"/>
  <c r="O23" i="15"/>
  <c r="O24" i="15"/>
  <c r="O25" i="15"/>
  <c r="O26" i="15"/>
  <c r="O27" i="15"/>
  <c r="O28" i="15"/>
  <c r="O29" i="15"/>
  <c r="O30" i="15"/>
  <c r="O31" i="15"/>
  <c r="O32" i="15"/>
  <c r="O33" i="15"/>
  <c r="O34" i="15"/>
  <c r="K35" i="15"/>
  <c r="G13" i="24"/>
  <c r="G7" i="24"/>
  <c r="O28" i="3"/>
  <c r="F102" i="1" l="1"/>
  <c r="D15" i="18"/>
  <c r="K12" i="3" l="1"/>
  <c r="K29" i="39" l="1"/>
  <c r="K20" i="39" l="1"/>
  <c r="D7" i="4"/>
  <c r="C18" i="5" l="1"/>
  <c r="D21" i="44" l="1"/>
  <c r="E21" i="44" s="1"/>
  <c r="D22" i="44"/>
  <c r="E22" i="44" s="1"/>
  <c r="D19" i="44"/>
  <c r="E19" i="44" s="1"/>
  <c r="D20" i="44"/>
  <c r="E20" i="44" s="1"/>
  <c r="D18" i="44"/>
  <c r="E18" i="44" s="1"/>
  <c r="E17" i="44"/>
  <c r="L12" i="3"/>
  <c r="F15" i="32"/>
  <c r="D8" i="32"/>
  <c r="E8" i="36"/>
  <c r="E6" i="30"/>
  <c r="D22" i="28"/>
  <c r="D21" i="28"/>
  <c r="D17" i="28"/>
  <c r="D16" i="28"/>
  <c r="D8" i="28"/>
  <c r="O33" i="19"/>
  <c r="O32" i="19"/>
  <c r="D16" i="18"/>
  <c r="C9" i="27"/>
  <c r="C63" i="3"/>
  <c r="C60" i="3"/>
  <c r="C62" i="3" s="1"/>
  <c r="C25" i="3"/>
  <c r="N39" i="3"/>
  <c r="C34" i="3"/>
  <c r="J14" i="3"/>
  <c r="K22" i="3"/>
  <c r="F12" i="3"/>
  <c r="J7" i="4"/>
  <c r="E54" i="5"/>
  <c r="E51" i="5"/>
  <c r="F47" i="5"/>
  <c r="E47" i="5"/>
  <c r="F40" i="5"/>
  <c r="F39" i="5"/>
  <c r="F37" i="5"/>
  <c r="F36" i="5"/>
  <c r="F28" i="5"/>
  <c r="F27" i="5"/>
  <c r="F26" i="5"/>
  <c r="G26" i="5" s="1"/>
  <c r="F25" i="5"/>
  <c r="L11" i="5"/>
  <c r="F8" i="30" l="1"/>
  <c r="H17" i="5"/>
  <c r="D26" i="28"/>
  <c r="H50" i="26"/>
  <c r="H48" i="26"/>
  <c r="H49" i="26"/>
  <c r="H41" i="26"/>
  <c r="H40" i="26"/>
  <c r="H39" i="26"/>
  <c r="D25" i="20"/>
  <c r="N35" i="15" l="1"/>
  <c r="N36" i="15" s="1"/>
  <c r="N37" i="15" s="1"/>
  <c r="M35" i="15"/>
  <c r="M36" i="15" s="1"/>
  <c r="M37" i="15" s="1"/>
  <c r="L35" i="15"/>
  <c r="L36" i="15" s="1"/>
  <c r="L37" i="15" s="1"/>
  <c r="E40" i="10"/>
  <c r="E39" i="10"/>
  <c r="H5" i="11"/>
  <c r="K10" i="13"/>
  <c r="I10" i="13"/>
  <c r="H10" i="13"/>
  <c r="G10" i="24" l="1"/>
  <c r="D41" i="3"/>
  <c r="D33" i="3"/>
  <c r="H14" i="5"/>
  <c r="C14" i="5"/>
  <c r="D18" i="4"/>
  <c r="D16" i="4"/>
  <c r="H16" i="4" s="1"/>
  <c r="D14" i="4"/>
  <c r="H14" i="4" s="1"/>
  <c r="D13" i="4"/>
  <c r="H13" i="4" s="1"/>
  <c r="D9" i="4"/>
  <c r="D8" i="4"/>
  <c r="D6" i="4"/>
  <c r="J6" i="4" s="1"/>
  <c r="D5" i="4"/>
  <c r="J5" i="4" s="1"/>
  <c r="D4" i="4"/>
  <c r="J4" i="4" s="1"/>
  <c r="C28"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B647070-ED58-439E-89E3-23DA69EE0505}" keepAlive="1" name="Query - Table004 (Page 6)" description="Connection to the 'Table004 (Page 6)' query in the workbook." type="5" refreshedVersion="0" background="1" saveData="1">
    <dbPr connection="Provider=Microsoft.Mashup.OleDb.1;Data Source=$Workbook$;Location=&quot;Table004 (Page 6)&quot;;Extended Properties=&quot;&quot;" command="SELECT * FROM [Table004 (Page 6)]"/>
  </connection>
  <connection id="2" xr16:uid="{A8843E61-7881-43AC-84B3-1F78B78E2237}" keepAlive="1" name="Query - Table004 (Page 6) (2)" description="Connection to the 'Table004 (Page 6) (2)' query in the workbook." type="5" refreshedVersion="7" background="1" saveData="1">
    <dbPr connection="Provider=Microsoft.Mashup.OleDb.1;Data Source=$Workbook$;Location=&quot;Table004 (Page 6) (2)&quot;;Extended Properties=&quot;&quot;" command="SELECT * FROM [Table004 (Page 6) (2)]"/>
  </connection>
  <connection id="3" xr16:uid="{AB7E45FC-1E78-42A4-8450-A76303716B2D}" keepAlive="1" name="Query - Table004 (Page 7)" description="Connection to the 'Table004 (Page 7)' query in the workbook." type="5" refreshedVersion="0" background="1" saveData="1">
    <dbPr connection="Provider=Microsoft.Mashup.OleDb.1;Data Source=$Workbook$;Location=&quot;Table004 (Page 7)&quot;;Extended Properties=&quot;&quot;" command="SELECT * FROM [Table004 (Page 7)]"/>
  </connection>
  <connection id="4" xr16:uid="{B0969E5E-EA7B-46EE-8998-170E18DDFBB8}" keepAlive="1" name="Query - Table004 (Page 7) (2)" description="Connection to the 'Table004 (Page 7) (2)' query in the workbook." type="5" refreshedVersion="7" background="1" saveData="1">
    <dbPr connection="Provider=Microsoft.Mashup.OleDb.1;Data Source=$Workbook$;Location=&quot;Table004 (Page 7) (2)&quot;;Extended Properties=&quot;&quot;" command="SELECT * FROM [Table004 (Page 7) (2)]"/>
  </connection>
  <connection id="5" xr16:uid="{7C5A9716-37DA-4FAE-95F3-8827EFAE1082}" keepAlive="1" name="Query - Table006 (Page 8)" description="Connection to the 'Table006 (Page 8)' query in the workbook." type="5" refreshedVersion="7" background="1" saveData="1">
    <dbPr connection="Provider=Microsoft.Mashup.OleDb.1;Data Source=$Workbook$;Location=&quot;Table006 (Page 8)&quot;;Extended Properties=&quot;&quot;" command="SELECT * FROM [Table006 (Page 8)]"/>
  </connection>
</connections>
</file>

<file path=xl/sharedStrings.xml><?xml version="1.0" encoding="utf-8"?>
<sst xmlns="http://schemas.openxmlformats.org/spreadsheetml/2006/main" count="2754" uniqueCount="1031">
  <si>
    <r>
      <t>Supplementary Note E: Deep Geological Storage of CO</t>
    </r>
    <r>
      <rPr>
        <vertAlign val="subscript"/>
        <sz val="20.5"/>
        <color rgb="FF041E42"/>
        <rFont val="Arial"/>
        <family val="2"/>
      </rPr>
      <t>2</t>
    </r>
    <r>
      <rPr>
        <sz val="26"/>
        <color rgb="FF041E42"/>
        <rFont val="Arial"/>
        <family val="2"/>
      </rPr>
      <t xml:space="preserve"> Containment Certainty Wells References and Source Data</t>
    </r>
  </si>
  <si>
    <r>
      <t>Issue/revision </t>
    </r>
    <r>
      <rPr>
        <sz val="12"/>
        <rFont val="Arial"/>
        <family val="2"/>
      </rPr>
      <t> </t>
    </r>
  </si>
  <si>
    <t>V1</t>
  </si>
  <si>
    <t>Remarks  </t>
  </si>
  <si>
    <t>First issue</t>
  </si>
  <si>
    <t>Date  </t>
  </si>
  <si>
    <t>Prepared by  </t>
  </si>
  <si>
    <t>L Hardiman </t>
  </si>
  <si>
    <t>D Hartgill </t>
  </si>
  <si>
    <t>N Robertson </t>
  </si>
  <si>
    <t>Reviewed by  </t>
  </si>
  <si>
    <t>D Cook
WSP</t>
  </si>
  <si>
    <t>J Gluyas 
Geoenergy Durham</t>
  </si>
  <si>
    <t>C Vincent
British Geological Survey </t>
  </si>
  <si>
    <t>E McKay
Heriot-Watt University </t>
  </si>
  <si>
    <t>D Buchmiller
DNV </t>
  </si>
  <si>
    <t>This publication is available from:</t>
  </si>
  <si>
    <t xml:space="preserve">https://www.gov.uk/government/publications/deep-geological-storage-of-carbon-dioxide-co2-offshore-uk-containment-certainty </t>
  </si>
  <si>
    <t>If you need a version of this document in a more accessible format, please email alt.formats@beis.gov.uk. Please tell us what format you need. It will help us if you say what assistive technology you use.</t>
  </si>
  <si>
    <t>Author</t>
  </si>
  <si>
    <t>Journal/Conference/Report</t>
  </si>
  <si>
    <t>Type</t>
  </si>
  <si>
    <t>Title</t>
  </si>
  <si>
    <t>Year</t>
  </si>
  <si>
    <t>Captured in Data Comparison</t>
  </si>
  <si>
    <t>Alcalde et al</t>
  </si>
  <si>
    <t>Nature Communications 9 Article number: 2201 (2018)</t>
  </si>
  <si>
    <t>paper (peer-reviewed)</t>
  </si>
  <si>
    <t>Estimating geological CO2 storage security to deliver on climate mitigation</t>
  </si>
  <si>
    <t xml:space="preserve">Alcalde et al 2018 </t>
  </si>
  <si>
    <t>Nature Communications 9 Article number: 2201 (2018) suppl</t>
  </si>
  <si>
    <t>Supplementary Information for “Estimating geological CO2 storage security to deliver on climate mitigation”, by Alcalde, Flude et al. (2018)</t>
  </si>
  <si>
    <t xml:space="preserve">Alesio et al </t>
  </si>
  <si>
    <t>SPE 133056 SPE ATCE, Florence, Italy, 20-22 September 2010</t>
  </si>
  <si>
    <t>Well integrity for 3 italian CO2 stores</t>
  </si>
  <si>
    <t>Anne-Kari Furrea, Ola Eikenb, Håvard Alnesa, Jonas Nesland Vevatnea, Anders Fredrik Kiæra</t>
  </si>
  <si>
    <t>Energy Procedia 114 (2017) pages 3916-3926
13th International Conference on Greenhouse Gas Control Technologies, GHGT-13, 14-18 November 2016, Lausanne, Switzerland</t>
  </si>
  <si>
    <t>Paper</t>
  </si>
  <si>
    <t>20 years of monitoring CO2-injection at Sleipner</t>
  </si>
  <si>
    <t>Auld 2018</t>
  </si>
  <si>
    <t>Adapting Digital Future conference, Aberdeen, 1st November 2018</t>
  </si>
  <si>
    <t>presentation slides</t>
  </si>
  <si>
    <t>Wide Area Hydrocarbon Leak Monitoring, Offshore Papua New Guinea</t>
  </si>
  <si>
    <t xml:space="preserve">Bachu &amp; Watson 2009 </t>
  </si>
  <si>
    <t xml:space="preserve">Energy Procedia vol 1 issue 1 (2009) pages 3531-3537 Greenhouse Gas Control Technologies 9
</t>
  </si>
  <si>
    <t>Review of failures for wells used for CO2 and acid gas injection in Alberta, Canada</t>
  </si>
  <si>
    <t>Bai et al</t>
  </si>
  <si>
    <t>SPE 173000</t>
  </si>
  <si>
    <t>Development of a Novel Method To Evaluate Well Integrity During CO2 Underground Storage</t>
  </si>
  <si>
    <t>Barbara G. Kutchko, Brain R. Strazizar, David A. Dzombak, Gregory V. Lowry, Niels Thaulow</t>
  </si>
  <si>
    <t>Environmental Science &amp; Technology, American Chemical Society Publications, 2007, 41, 13, 4787-4792</t>
  </si>
  <si>
    <t>Degradation of Well Cement by CO2 under Geologic Sequestration Conditions</t>
  </si>
  <si>
    <t>Blackford, Jerry &amp; Stahl, John &amp; Bull, Jonathan &amp; Berges, Benoit &amp; Cevatoglu Bayrakli, Melis &amp; Lichtschlag, Anna &amp; Connelly, Douglas &amp; James, Rachael &amp; Kita, Jun &amp; Long, David &amp; Naylor, Mark &amp; Shitashima, Kiminori &amp; Smith, D. &amp; Taylor, Peter &amp; Wright, I. &amp; Akhurst, Maxine &amp; Chen, Baixin &amp; Gernon, Thomas &amp; Hauton, Chris &amp; Widdicombe, Steve.</t>
  </si>
  <si>
    <t>Nature Climate Change, 4, 1011-1016 (2014)</t>
  </si>
  <si>
    <t>Detection and impacts of leakage from sub-seafloor deep geological carbon dioxide storage.</t>
  </si>
  <si>
    <t>Bourgoyne et al 1999</t>
  </si>
  <si>
    <t>OTC-11029 1999 Offshore Technology Conference held in Houston, Texas, 3–6 May 1999.</t>
  </si>
  <si>
    <t>conference paper</t>
  </si>
  <si>
    <t>Sustained Casing Pressure in Offshore Producing Wells</t>
  </si>
  <si>
    <t xml:space="preserve">Burnside et al 2013 </t>
  </si>
  <si>
    <t>Geology Volume 41 Number 4: 471-474</t>
  </si>
  <si>
    <t>Man-made versus natural CO2 leakage: A 400 k.y. history of an analogue for engineered geological storage of CO2</t>
  </si>
  <si>
    <t>Carroll et al</t>
  </si>
  <si>
    <t>International Journal of Greenhouse Gas Control, Volume 49, June 2016, Pages 149-160</t>
  </si>
  <si>
    <t>Review: Role of chemistry, mechanics, and transport on well integrity in CO2 storage environments</t>
  </si>
  <si>
    <t>Conley et al 2016</t>
  </si>
  <si>
    <t>Science volume 351 issue 6279 page 1317</t>
  </si>
  <si>
    <t>Methane emissions from the 2015 Aliso Canyon blowout in Los Angeles, CA</t>
  </si>
  <si>
    <t xml:space="preserve">Davies et al 2014 </t>
  </si>
  <si>
    <t>Marine and Petroleum Geology  volume 56 (2014) pages 239-254</t>
  </si>
  <si>
    <t>Oil and gas wells and their integrity: Implications for shale and unconventional resource exploitation</t>
  </si>
  <si>
    <t>Davies et al 2015</t>
  </si>
  <si>
    <t>Marine and Petroleum Geology  volume 59 (2015) pages 674-675</t>
  </si>
  <si>
    <t>Reply: “Oil and gas wells and their integrity: Implications for shale and unconventional resource exploitation”</t>
  </si>
  <si>
    <t>Deborah Keeley, HSE</t>
  </si>
  <si>
    <t>RR671 Research Report</t>
  </si>
  <si>
    <t>Report</t>
  </si>
  <si>
    <t>Health and Safety Laboratory. Failure rates for underground gas storage</t>
  </si>
  <si>
    <t>DJ Evans, HSE</t>
  </si>
  <si>
    <t>RR605 Research Report</t>
  </si>
  <si>
    <t>An appraisal of underground gas storage technologies and incidents BGS</t>
  </si>
  <si>
    <t>DNV</t>
  </si>
  <si>
    <t>DNV-RP-J203</t>
  </si>
  <si>
    <t>regulatory/industry guidance</t>
  </si>
  <si>
    <t xml:space="preserve">Geological Storage of Carbon Dioxide: Recommended Practice DNV-RP=J203 </t>
  </si>
  <si>
    <t xml:space="preserve">Doherty et al 2017 </t>
  </si>
  <si>
    <t>Energy Procedia 114 (2017) pages 5151-5172
13th International Conference on Greenhouse Gas Control Technologies, GHGT-13, 14-18 November 2016, Lausanne, Switzerland</t>
  </si>
  <si>
    <t>Estimating the leakage along wells during geologic CO2 storage: Application of the Well Leakage Assessment Tool to a hypothetical storage scenario in Natrona County, Wyoming</t>
  </si>
  <si>
    <t>Drew R Michanowicz</t>
  </si>
  <si>
    <t>Environmental Research Letters, Volume 12, Number 6</t>
  </si>
  <si>
    <t>A national assessment of underground natural gas storage: identifying wells with designs likely vulnerable to a single-point-of-failure</t>
  </si>
  <si>
    <t xml:space="preserve">Duguid et al 2017 </t>
  </si>
  <si>
    <t xml:space="preserve">Energy Procedia  114 (2017) pages 5118-5138
13th International Conference on Greenhouse Gas Control Technologies </t>
  </si>
  <si>
    <t>Well integrity assessment of monitoring wells at an active CO2-EOR flood</t>
  </si>
  <si>
    <t xml:space="preserve">Duncan &amp; Wang 2014 </t>
  </si>
  <si>
    <t>Energy Procedia 1 (2009) pages 2037-2042, Greenhouse Gasl Technologies-9</t>
  </si>
  <si>
    <t>Estimating the likelihood of pipeline failure in CO2 transmission pipelines: New insights on risks of carbon capture and storage</t>
  </si>
  <si>
    <t>Duncan et al</t>
  </si>
  <si>
    <t>Energy Procedia 1 (2009) pages 2037-2042, Greenhouse Gas Technologies-9</t>
  </si>
  <si>
    <t>Risk assessment for future CO2 Sequestration Projects Based CO2 Enhanced Oil Recovery in the U.S.</t>
  </si>
  <si>
    <t xml:space="preserve">Dussealt &amp; Jackson 2014 </t>
  </si>
  <si>
    <t>EnvGeosci 21_107</t>
  </si>
  <si>
    <t>Seepage pathway assessment for natural gas to shallow groundwater during well stimulation, in production, and after abandonment</t>
  </si>
  <si>
    <t>EU</t>
  </si>
  <si>
    <t>EU 2011 ML3011901ENN 2009-31-EC geol storage CO2 - GD1</t>
  </si>
  <si>
    <t>Implementation of Directive 2009/31/EC on the Geological Storage of Carbon Dioxide. Guidance Document 1: CO2 Storage Life Cycle Risk Management Framework</t>
  </si>
  <si>
    <t>EU 2011 ML3011902ENN 2009-31-EC geol storage CO2 - GD2</t>
  </si>
  <si>
    <t>Implementation of Directive 2009/31/EC on the Geological Storage of Carbon Dioxide. Guidance Document 2: Characterisation of the Storage Complex, CO2 Stream Composition, Monitoring and Corrective Measures</t>
  </si>
  <si>
    <t>EU 2011 ML3011903ENN 2009-31-EC geol storage CO2 - GD3</t>
  </si>
  <si>
    <t>Implementation of Directive 2009/31/EC on the Geological Storage of Carbon Dioxide. Guidance Document 3: Criteria for Transfer of Responsibility to the Competent Authority</t>
  </si>
  <si>
    <t>EU 2011 ML3011904ENN 2009-31-EC geol storage CO2 - GD4</t>
  </si>
  <si>
    <t>Implementation of Directive 2009/31/EC on the Geological Storage of Carbon Dioxide. Guidance Document 4: Article 19 Financial Security and Article 20 Financial Mechanism</t>
  </si>
  <si>
    <t>EU 2015 ML0415852ENN Support Review Eval of 2009-31-EC</t>
  </si>
  <si>
    <t>Study to support the review and evaluation of Directive 2009/31/EC on the geological storage of carbon dioxide (CCS Directive)</t>
  </si>
  <si>
    <t>Finn Carlsen, PSA</t>
  </si>
  <si>
    <t>PSA</t>
  </si>
  <si>
    <t xml:space="preserve">Summary Report 2020 The Norwegian Continetental Shelf Trends in risk level in the petroleum activity </t>
  </si>
  <si>
    <t>Freifeld, Barry M., Oldenburg, Curtis M., Jordan, Preston, Pan, Lehua, Perfect, Scott, Morris, Joseph, White, Joshua, Bauer, Stephen, Blankenship, Douglas, Roberts, Barry, Bromhal, Grant, Glosser, Deborah, Wyatt, Douglas, &amp; Rose, Kelly</t>
  </si>
  <si>
    <t>US Department of Energy, Office of Fossil Energy LBNL-1006165, NETL-TRS-15-2016</t>
  </si>
  <si>
    <t>Well Integrity for Natural Gas Storage in Depleted Reservoirs and Aquifers</t>
  </si>
  <si>
    <t>Gasada et al</t>
  </si>
  <si>
    <t>Environmental Geology volume 46, pages 707-720 (2004)</t>
  </si>
  <si>
    <t>Spatial  characterizationof  the  location  of  potentially  leakywells  penetrating  a  deep  salineaquifer  in  a  maturesedimentary  basin</t>
  </si>
  <si>
    <t xml:space="preserve">Hansen 2012 </t>
  </si>
  <si>
    <t>CSLF workshop on Risk and Liability, Paris 2012</t>
  </si>
  <si>
    <t>Liabilities related to saline aquifer storage of CO2: An example from the North Sea and the Johansen Formation</t>
  </si>
  <si>
    <t>Harp et al</t>
  </si>
  <si>
    <t>Energy Procedia vol 63 (2014) pages 3532-3543, Greenhouse Gas Technologies-12</t>
  </si>
  <si>
    <t>paper</t>
  </si>
  <si>
    <t>Numerical modeling of cemented wellbore leakage from storage reservoirs with secondary capture due to thief zones</t>
  </si>
  <si>
    <t>International Journal of Greenhouse Gas Control volume 45 (2016) pages 150-162</t>
  </si>
  <si>
    <t>Reduced Order Models of Transient CO2 and Brine Leakage Along Abandoned Wellbores from Geologic Carbon Sequestration</t>
  </si>
  <si>
    <t xml:space="preserve">Hoydalsvik et al </t>
  </si>
  <si>
    <t xml:space="preserve">2021 GHGT-15, 15th International Conference on Greenhouse Gas Technologies </t>
  </si>
  <si>
    <t>CO2 Storage Safety in the North Sea: implications of the CO2 storage Directive</t>
  </si>
  <si>
    <t>HSE</t>
  </si>
  <si>
    <t>data</t>
  </si>
  <si>
    <t>Statistics/Offshore Hydrocarbon Releases 1992 - 2016 (.xls)</t>
  </si>
  <si>
    <t>Ian J. Duncan, Jean-Philippe Nicot, Jong-Won Choi</t>
  </si>
  <si>
    <t>Risk Assessment for future CO2 sequestration project based CO2 enhanced oil recovery in the US</t>
  </si>
  <si>
    <t>IEA 2008 Report 2008/06 Wellbore Integrity</t>
  </si>
  <si>
    <t>IEA 2008/06</t>
  </si>
  <si>
    <t>conference report</t>
  </si>
  <si>
    <t>4th Wellbore Integrity Workshop, August 2008</t>
  </si>
  <si>
    <t>IEA Greenhouse Gas R&amp;D Programme (IEA GHG)</t>
  </si>
  <si>
    <t>IEA 2006/2, January 2006</t>
  </si>
  <si>
    <t>Safe Storage of CO2: Experience from the Natural Gas Storage Industry</t>
  </si>
  <si>
    <t>Ingjerd Bergfjord-Kitterod, Yngve Borgan, Ann Oygard, Karin Hallen, Fabrice Cuisiat, Manzar Fawad, Tore Bjornar</t>
  </si>
  <si>
    <t>Scandpower Report for Gassnova </t>
  </si>
  <si>
    <t>Hazard Identification and Risk Analysis of CO2 storage at Lower Jurassic Johansen Formation</t>
  </si>
  <si>
    <t>IOGP 2019 Report 434-02 Blowout Frequencies</t>
  </si>
  <si>
    <t>Report 434-02</t>
  </si>
  <si>
    <t>Risk Assessment Data Directory: Blowout Frequencies</t>
  </si>
  <si>
    <t>Iyer et al 2021 US Department of Energy</t>
  </si>
  <si>
    <t>DOE.NETL-2021.2649</t>
  </si>
  <si>
    <t>A Review of International Field Experience with Well Integrity at Carbon Utilization and Storage Sites</t>
  </si>
  <si>
    <t xml:space="preserve">J. William Carey, Marus Wigand, Steve J. Chipera, Giday WoldeGabriel, Rajesh Pawar, Peter C. Lichtner, Scott C. Wehner, Michael A. Raines, George D. Guthrie Jr. </t>
  </si>
  <si>
    <t>International Journal of Greenhouse Gas Control volume 1 (2007) pages 75-85</t>
  </si>
  <si>
    <t>Analysis and Performance of oil well cement with 30 years of CO2 exposure from the SACROC, West Texas USA</t>
  </si>
  <si>
    <t xml:space="preserve">Jackson 2014 </t>
  </si>
  <si>
    <t>Proceeding of the National Academy of Sciences of the United States of America vol 111 pages 10902-10903</t>
  </si>
  <si>
    <t>technical editorial/commentary (not peer reviewed?)</t>
  </si>
  <si>
    <t>The integrity of oil and gas wells</t>
  </si>
  <si>
    <t>James Meyer API</t>
  </si>
  <si>
    <t>Report for the American Petroleum Institute</t>
  </si>
  <si>
    <t>Summary of Carbon dioxide Enhanced Oil Recovery (CO2EOR) Injection Well Technology</t>
  </si>
  <si>
    <t>Jerry Blackford, Guttorm Alendal, Helge Avlesen, Ashley Brereton, Pierre W. Cazenave, Bazixin Chen, Marius Dewar, Jason Holt, Jack Phelps</t>
  </si>
  <si>
    <t>International Journal of Greenhouse Gas Control Vol 95 (2020) 102949</t>
  </si>
  <si>
    <t xml:space="preserve">Impact and detectability of hypothetical CCS offshore seep scenarios as an aid to storage assurance and risk assessment </t>
  </si>
  <si>
    <t>Jerry Blackford, Katherine Romanak, Veerle A.I. Huvenne, Anna Lichtschlag, James Asa Strong, Guttorm Alendal, Sigrid Eskeland Schütz, Anna Oleynik, Dorothy J. Dankel</t>
  </si>
  <si>
    <t>International Journal of Greenhouse Gas Control Vol 109 (2021) 103388</t>
  </si>
  <si>
    <t>Efficient marine environmental characterisation to support monitoring of geological CO2 storage</t>
  </si>
  <si>
    <t>Jewell &amp; Senior, DECC 2012  Main Report</t>
  </si>
  <si>
    <t>Gov.uk</t>
  </si>
  <si>
    <t>CO2 Storage Liabilities in the North Sea: An Assessment of Risks and Financial Consequences</t>
  </si>
  <si>
    <t>Jewell Well P&amp;A for CO2 Stores</t>
  </si>
  <si>
    <t>SPE Aberdeen CCUS Conference 2020 </t>
  </si>
  <si>
    <t>Well Plugging &amp; Abandonment for CO2 Stores – Current Best Practices</t>
  </si>
  <si>
    <t>??</t>
  </si>
  <si>
    <t xml:space="preserve">Jewell, DECC 2012 Annex A1 Well Risks </t>
  </si>
  <si>
    <t>Annex A1 - Well Risks</t>
  </si>
  <si>
    <t>Jordan &amp; Carey 2016 pre-print</t>
  </si>
  <si>
    <t>Final Paper appears in International Journal of Greenhouse Gas Control Volume 51 (August 2016), pages 36-47</t>
  </si>
  <si>
    <t>pre-print of paper</t>
  </si>
  <si>
    <t>Well integrity defects due to aging versus initial defects: steam-driven blowout rates in California Oil and Gas District 4</t>
  </si>
  <si>
    <t>Kaj van der Valk</t>
  </si>
  <si>
    <t>SPE Aberdeen CCUS Conference 2022</t>
  </si>
  <si>
    <t>Presentation</t>
  </si>
  <si>
    <t xml:space="preserve">Development &amp; Application of REX-CO2 Tool for CCS Well Re-iuse assessment </t>
  </si>
  <si>
    <t xml:space="preserve">Kang et al 2019 </t>
  </si>
  <si>
    <t>Environmental Research  Communications vol 1 (2019) 121004</t>
  </si>
  <si>
    <t>Potential increase in oil and gas well leakage due to earthquakes</t>
  </si>
  <si>
    <t xml:space="preserve">Karin Halen, Erik Odgaard, Elin Skurtveit </t>
  </si>
  <si>
    <t>Risikoanalyse av CO2 lagring i Utsira Syd</t>
  </si>
  <si>
    <t>King&amp;King</t>
  </si>
  <si>
    <t xml:space="preserve">SPE 166142 2013 SPE ATCE, New Orleans  </t>
  </si>
  <si>
    <t>Environmental  risk from well construction failure</t>
  </si>
  <si>
    <t>Kristy J. Kroeker, et al</t>
  </si>
  <si>
    <t>Global Change Biology, volume 19, Issue 6 Pages 1884-1896</t>
  </si>
  <si>
    <t>Impacts of ocean acidification on marine organisms: quantifying sensitivities and interaction with warming</t>
  </si>
  <si>
    <t>Laumb et al 2017</t>
  </si>
  <si>
    <t xml:space="preserve">Energy Procedia 114 (2017) pages 5173-5181
13th International Conference on Greenhouse Gas Control Technologies, GHGT-13, 14-18 November 2016, Lausanne, Switzerland
</t>
  </si>
  <si>
    <t>Corrosion and failure assessment for CO2 EOR and associated storage in the Weyburn Field</t>
  </si>
  <si>
    <t>Le Guen et al 2009</t>
  </si>
  <si>
    <t xml:space="preserve">SPE 122510, 2009 SPE Asia Pacific Oil and Gas Conference and Exhibition held in Jakarta, Indonesia, 4–6 August 2009. </t>
  </si>
  <si>
    <t>A Risk-Based Approach for Well Integrity Management Over Long Term in a CO2 Geological Storage Project</t>
  </si>
  <si>
    <t xml:space="preserve">Lewicki et al </t>
  </si>
  <si>
    <t xml:space="preserve"> US Department of Energy DE-AC02-05CH11231</t>
  </si>
  <si>
    <t>Natural and Industrial Analogues for Release of CO2 from Storage Reservoirs: Identification of Features, Events, and Processes and Lessons Learned</t>
  </si>
  <si>
    <t xml:space="preserve">Lindeberg et al 2017 </t>
  </si>
  <si>
    <t>Energy Procedia 114 (2017) pages 4279-4286
13th International Conference on Greenhouse Gas Control Technologies, GHGT-13, 14-18 November 2016, Lausanne, Switzerland</t>
  </si>
  <si>
    <t>Aliso Canyon leakage as an analogue for worst case CO2 leakage and quantification of acceptable storage loss</t>
  </si>
  <si>
    <t>Marlow 1989</t>
  </si>
  <si>
    <t xml:space="preserve"> JPT November 1989 1146-1153 SPE17121</t>
  </si>
  <si>
    <t>Cement Bonding Characteristics in Gas Wells</t>
  </si>
  <si>
    <t>Moenickia et al</t>
  </si>
  <si>
    <t>SPE 185890 SPE Production &amp; Operations 33 (04): 790-801</t>
  </si>
  <si>
    <t>Leakage calculator for P&amp;Aed wells</t>
  </si>
  <si>
    <t>Nils Opedal, Erica Greenhalgh, Kaj van der Valk</t>
  </si>
  <si>
    <t>Research Council of Norway (RCN)/305342</t>
  </si>
  <si>
    <t>Current state-of-the-art assessments and technical approach for assessment of well re-use potential and CO2/brine leakage risk</t>
  </si>
  <si>
    <t>Oil &amp; Gas Journal 2005</t>
  </si>
  <si>
    <t>media article</t>
  </si>
  <si>
    <t>OTC: Aging UK wells have structural integrity problems</t>
  </si>
  <si>
    <t>Oldenburg&amp;Pan</t>
  </si>
  <si>
    <t>OTC 29461 Offshire Technology Conference, Houston, Texas, 2019</t>
  </si>
  <si>
    <t>Conference Paper</t>
  </si>
  <si>
    <t>Simulation offshore cf onshore CO2 well blowouts</t>
  </si>
  <si>
    <t xml:space="preserve">Oleynik et al 2018 </t>
  </si>
  <si>
    <t>14th International Conference on Greenhouse Gas Control Technologies, GHGT-14, 21st-25th October 2018, Melbourne, Australia</t>
  </si>
  <si>
    <t>Simplified modeling as a tool to locate and quantify fluxes from CO2 seep to marine waters</t>
  </si>
  <si>
    <t>Patil et al</t>
  </si>
  <si>
    <t xml:space="preserve">SPE 205537 2021 SPE/IATMI Asia Pacific Oil &amp; Gas Conference </t>
  </si>
  <si>
    <t>Well bore leakage rate modelling in depleted field Sarawak</t>
  </si>
  <si>
    <t>Patil et al 2017</t>
  </si>
  <si>
    <t>Greenhouse Gases: Science &amp; Technology 7(2)</t>
  </si>
  <si>
    <t>Factors affecting self-sealing of geological faults due to CO2-leakage</t>
  </si>
  <si>
    <t xml:space="preserve">Pawar et al 2015 </t>
  </si>
  <si>
    <t>International Journal of Greenhouse Gas Control vol 40 (2015) pages 292-311</t>
  </si>
  <si>
    <t>Recent advances in risk assessment and risk management of geologic CO2 storage</t>
  </si>
  <si>
    <t>Per Holand, ExproSoft for the Bureau of Safety and Environmental Enforcement</t>
  </si>
  <si>
    <t>ES201471/2</t>
  </si>
  <si>
    <t>Loss of Well Control Occurrence and Size Estimators, Phase I and II</t>
  </si>
  <si>
    <t>PSA Norway 2020 CO2 Guidelines</t>
  </si>
  <si>
    <t>Guidelines regarding the CO2 safety regulations</t>
  </si>
  <si>
    <t>PSA Norway 2020 CO2 Regulations</t>
  </si>
  <si>
    <t>Regulations relating to safety and working environment for transport and injection of CO2 on the continental shelf (the CO2 safety regulations)</t>
  </si>
  <si>
    <t>Rajesh Pawar (LANL), Kaj van der Valk, Logan Brunner, Lonneke van Bijsterveldt (all TNO), Bailian Chen, Dylan Harp (both LANL)</t>
  </si>
  <si>
    <t>ERA-NET ACT: Re-using Existing Wells for CO2 Storage Operations WP2 - Well reuse and leakage assessment tool development Deliverable D2.3</t>
  </si>
  <si>
    <t>Report on the REX-CO2 well screening tool</t>
  </si>
  <si>
    <t xml:space="preserve">Ranhol &amp; Carlsen 2008 </t>
  </si>
  <si>
    <t>2008 SINTEF Well Integrity</t>
  </si>
  <si>
    <t>Assessment of sustained well integrity on the Norwegian continental shelf</t>
  </si>
  <si>
    <t xml:space="preserve">Réveillère et al 2012 </t>
  </si>
  <si>
    <t>International Journal of Greenhouse Gas Control vol 9 (2012) pages 62-71</t>
  </si>
  <si>
    <t>Hydraulic barrier design and applicability for managing the risk of CO2 leakage from deep saline aquifers</t>
  </si>
  <si>
    <t>Richard A.Schultz, Douglas W.Hubbard, David J.Evans, and Sam L. Savage</t>
  </si>
  <si>
    <t>Risk Analysis, Vol 40, No3, 2020</t>
  </si>
  <si>
    <t>Characterization of Historical Methane Occurrence Frequencies from U.S. Underground Natural Gas Storage Facilities with Implications for Risk Management, Operations, and Regulatory Policy</t>
  </si>
  <si>
    <t>Roberts &amp; Stalker 2017</t>
  </si>
  <si>
    <t>Energy Procedia, Volume 114, July 2017, Pages 5711-5731, 13th International Conference on Greenhouse Gas Control Technologies, GHGT-13, 14-18 November, 2016, Lausanne, Switzerland</t>
  </si>
  <si>
    <t>What have we learned about CO2 leakage from field injection tests?</t>
  </si>
  <si>
    <t xml:space="preserve">Roberts et al </t>
  </si>
  <si>
    <t>What have we learnt about CO2 leakage in the context of commercial scale CCS</t>
  </si>
  <si>
    <t>Saint-Vincent et al</t>
  </si>
  <si>
    <t xml:space="preserve">Geophysical Research Letters, Vol 47, Issue 23 </t>
  </si>
  <si>
    <t>An Analysis of Abandoned Oil Well Characteristics Affecting Methane Emissions 2 Estimatesin the Cherokee Platform in Eastern Oklahoma</t>
  </si>
  <si>
    <t xml:space="preserve">Sandl et al </t>
  </si>
  <si>
    <t>Science of the Total Environment, Volume 769, (15 May 2021), 144678</t>
  </si>
  <si>
    <t>Characterising Oil and Gas Wells With Fugitive Gas Migration Through Bayesian Multilevel Logostic Regression</t>
  </si>
  <si>
    <t>Shadravan et al</t>
  </si>
  <si>
    <t xml:space="preserve">SPE 168321 SPE Drilling &amp; Completion  </t>
  </si>
  <si>
    <t>Fatigue failure envelope for cement sheath evaluation</t>
  </si>
  <si>
    <t xml:space="preserve">Shukla et al 2010 </t>
  </si>
  <si>
    <t>Fuel Volume 89 Issue 10, pages 2651-2664</t>
  </si>
  <si>
    <t>A review of studies on CO2 sequestration and caprock integrity</t>
  </si>
  <si>
    <t>Snipp, Jeroen R, Bisdom, Kevin, Tambach</t>
  </si>
  <si>
    <t>SRN-02136, Shell Global Solutions International B.V.</t>
  </si>
  <si>
    <t>Detect Fault/Fracture Leakage Modelling for CO2 Storage - Merhodology &amp; Cas study</t>
  </si>
  <si>
    <t>Sonardyne asset monitoring</t>
  </si>
  <si>
    <t>marketing article</t>
  </si>
  <si>
    <t>Tracking bubbles on the frontier</t>
  </si>
  <si>
    <t xml:space="preserve">Thorogood &amp; Younger </t>
  </si>
  <si>
    <t>Marine and Petroleum Geology 59:671-673</t>
  </si>
  <si>
    <t>Discussion of “Oil and gas wells and their integrity: Implications for shale and unconventional resource exploitation” by R.J. Davies et al</t>
  </si>
  <si>
    <t>Tim Wolterbeek</t>
  </si>
  <si>
    <t>NETL Well Integrity Workshop, 25 May 2021</t>
  </si>
  <si>
    <t>Impact of reactive flow of CO2 -rich fluids on the transport properties of micro-annuli and other defects in cemented wellbores:</t>
  </si>
  <si>
    <t>Ting Xiao, Brian McPherson, Amanda Bordelon, Hari Viswanathan, Zhenuxe Dai, Hailong Tian, Rich Esser, Wei Jia, William Carey</t>
  </si>
  <si>
    <t>International Journal of Greenhouse Gas Control, Volume 63, August 2017, Pages 126-140</t>
  </si>
  <si>
    <t>Quantification of CO2-Cement-rock Interactions at Well Caprock-Reservoir, Interface and Implication for Geological CO2 Storage</t>
  </si>
  <si>
    <t>US Department of Energy</t>
  </si>
  <si>
    <t>NETL-2017-1846</t>
  </si>
  <si>
    <t>Best Practices: Risk Management and Simulation for Geologic Storage Projects</t>
  </si>
  <si>
    <t>Vielstädte et al</t>
  </si>
  <si>
    <t>Marine and Petroleum Geology Vol 68 (2015) pages 848-860</t>
  </si>
  <si>
    <t>Quantification of methane emissions at abandoned gas wells in the Central North Sea</t>
  </si>
  <si>
    <t xml:space="preserve">Vignes et al </t>
  </si>
  <si>
    <t>PSA Well Integrity Survey (Phase 1), Summary Report</t>
  </si>
  <si>
    <t>Vignes</t>
  </si>
  <si>
    <t>OTC 20724 Offshore Technology Conference, Houston, Texas, 3-6 May 2010</t>
  </si>
  <si>
    <t>CO2 injection and storage - qualification of well barriers and adjacent wells</t>
  </si>
  <si>
    <t xml:space="preserve">Vignes &amp; Aadnoy </t>
  </si>
  <si>
    <t xml:space="preserve">SPE112535 2008 SPE/IADC Drilling Conference, Orlando, Florida </t>
  </si>
  <si>
    <t>Well-Integrity Issues Offshore Norway</t>
  </si>
  <si>
    <t xml:space="preserve">Vinca et al 2018 </t>
  </si>
  <si>
    <t>Frontiers in Energy Research volume 6 article 40</t>
  </si>
  <si>
    <t>Bearing the Cost of Stored Carbon Leakage</t>
  </si>
  <si>
    <t xml:space="preserve">Watson &amp; Bachu 2009 </t>
  </si>
  <si>
    <t xml:space="preserve">SPE106817 E&amp;P Environmental and Safety Conference, Galveston Texas </t>
  </si>
  <si>
    <t>Evaluation of the Potential for Gas and CO2 Leakage Along Wellbores</t>
  </si>
  <si>
    <t xml:space="preserve">Williams et al </t>
  </si>
  <si>
    <t>Environmental Science &amp; Technology, American Chemical Society Publications 2021, 55, 1, 6563</t>
  </si>
  <si>
    <t>Methane Emissions from Abandoned Oil and Gas Wells in Canada and the United States</t>
  </si>
  <si>
    <t xml:space="preserve">Wolterbeek &amp; Raoof </t>
  </si>
  <si>
    <t>Environmental Science &amp; Technology volume 52, pages 3786-3795</t>
  </si>
  <si>
    <t>Meter-Scale Reactive Transport Modeling of CO2-Rich Fluid Flow along Debonded Wellbore Casing-Cement Interfaces</t>
  </si>
  <si>
    <t>Zero Emissions Platform (ZEP) 2019 Workstream 1 Report</t>
  </si>
  <si>
    <t>Zero Emissions Platform</t>
  </si>
  <si>
    <t xml:space="preserve">
Green cells indicate primary data for comparison
Other cells only used where the data source provides subset data only.</t>
  </si>
  <si>
    <t>Report/Data Source</t>
  </si>
  <si>
    <t>Peloton data Analysis</t>
  </si>
  <si>
    <t>HSE HC Release Information
1992-2015</t>
  </si>
  <si>
    <t>CO2 Storage Liabilities in the North Sea: An Assessment of Risks and Financial Consequences, A Summary Report for DECC 2012
Annex A1 - Well Risks</t>
  </si>
  <si>
    <t>CO2 Storage safety in North Sea: Implication of the CO2 storage directive. Workstream 1 report</t>
  </si>
  <si>
    <t xml:space="preserve">Risk Assessment Data Directory: Blowout Frequencies
</t>
  </si>
  <si>
    <t>Hazard identification and risk analysis of CO2 storage at Lower Jurassic Johansen Formation</t>
  </si>
  <si>
    <t>Failure rates for underground gas storage</t>
  </si>
  <si>
    <t>Aliso Canyon leakage as an analogue for worst case CO2 leakage 
and quantification of acceptable storage loss</t>
  </si>
  <si>
    <t>Summary Report 2020</t>
  </si>
  <si>
    <t>Quantification of Methane Emissions at Abandoned Gas Wells in the Central North Sea</t>
  </si>
  <si>
    <t>Development of a Novel Method ToEvaluate Well Integrity During CO2Underground Storage</t>
  </si>
  <si>
    <t>Review of failures for wells used for CO2 and acid gas injection in 
Alberta, Canada</t>
  </si>
  <si>
    <t>CHARACTERISING OIL AND GAS WELLS WITH FUGITIVE GAS MIGRATION THROUGH BAYESIAN MULTILEVEL LOGOSTIC REGRESSION</t>
  </si>
  <si>
    <t xml:space="preserve">Environmental Risk Arising From Well Construction Failure: Difference </t>
  </si>
  <si>
    <t>Risk Assessment for future CO2 Sequestration Projects Based CO2 Enhanced Oil Recovery in the U.S.</t>
  </si>
  <si>
    <t>Impact and detectability of hypothetical CCS offshore seep scenarios as an aid to storage assurance and risk assessment</t>
  </si>
  <si>
    <t>Safe Storage of CO2
Experience from the Natural Gas Storage Industry</t>
  </si>
  <si>
    <t>David Hartgill, Peloton Data Analysis</t>
  </si>
  <si>
    <t>Laura Hardiman Analysis for this work</t>
  </si>
  <si>
    <t>Stephen Jewell and William Senior, 2012</t>
  </si>
  <si>
    <t>Zero Emissions Platform (ZEP), 2019</t>
  </si>
  <si>
    <t>IOGP Blowout Frequencies, 2019</t>
  </si>
  <si>
    <t>Alcalde, Flude et al, 2018</t>
  </si>
  <si>
    <t>Richard A.Schultz, Douglas W.Hubbard, David J.Evans, and Sam L. Savage, 2020</t>
  </si>
  <si>
    <t>Scandpower A/S</t>
  </si>
  <si>
    <t>Y. Le Guen, V. Meyer, O. Poupard, E. Houdu, and R. Chammas, Oxand S.A., 2009</t>
  </si>
  <si>
    <t>Lewicki et al, 2006</t>
  </si>
  <si>
    <t>HSE Health and Safety Laboratory, Deborah Keeley, 2008</t>
  </si>
  <si>
    <t>Erik Lindeberg, Per Bergmo, Malin Torsæter and Alv-Arne Grimstad, 2017</t>
  </si>
  <si>
    <t>Conley et al, 2016</t>
  </si>
  <si>
    <t>Davies et al, 2014</t>
  </si>
  <si>
    <t>Finn Carlsen, PSA, 2020</t>
  </si>
  <si>
    <t>Brenna Doherty, Veronika Vasylkivska, Nicolas J. Huerta, Robert Dilmore. 2017</t>
  </si>
  <si>
    <t>Vielstadte et al, 2015</t>
  </si>
  <si>
    <t>Bai et al, 2015</t>
  </si>
  <si>
    <t>Stefan Bachu, Theresa L. Watson, 2009</t>
  </si>
  <si>
    <t>Sandl et al, 2021</t>
  </si>
  <si>
    <t>Marlow, 1989</t>
  </si>
  <si>
    <t>George E. King &amp; Daniel E. King, 2013</t>
  </si>
  <si>
    <t>Duncan et al, 2009</t>
  </si>
  <si>
    <t>Blackford et al, 2020</t>
  </si>
  <si>
    <t>Harp et al, 2014</t>
  </si>
  <si>
    <t>IEA Greenhouse Gas R&amp;D Programme</t>
  </si>
  <si>
    <t>Data (summarised for comparison - see individual tabs for original form)</t>
  </si>
  <si>
    <t>Probability per well/annum</t>
  </si>
  <si>
    <t>Leak Rate 
(Tonnes CO2/day)</t>
  </si>
  <si>
    <t>Duration 
(days)</t>
  </si>
  <si>
    <t>Active Wells</t>
  </si>
  <si>
    <t>Overall Well Data</t>
  </si>
  <si>
    <t>Total - Seep  (&lt; 1 t/d)</t>
  </si>
  <si>
    <t>&lt;1.1</t>
  </si>
  <si>
    <t>Negligible</t>
  </si>
  <si>
    <t>Continuous</t>
  </si>
  <si>
    <t>Offhore wells in North Sea 10-30% have 1 barrier failure. Probability 0.1-0.3</t>
  </si>
  <si>
    <t>Gas migration/well</t>
  </si>
  <si>
    <t>?</t>
  </si>
  <si>
    <t>Not reported</t>
  </si>
  <si>
    <t>(1) 18% wells single barrier issues NOR
(2) 34% wells single barrier issues UK</t>
  </si>
  <si>
    <t>0.47 min</t>
  </si>
  <si>
    <t>Total - Minor Leak  (1-50 t/d)</t>
  </si>
  <si>
    <t xml:space="preserve">  </t>
  </si>
  <si>
    <t>1 to 50</t>
  </si>
  <si>
    <t>&lt;1</t>
  </si>
  <si>
    <t>4 to 8</t>
  </si>
  <si>
    <t>ALL</t>
  </si>
  <si>
    <t>Development wells (infill drilling)</t>
  </si>
  <si>
    <t>1.3E-4 (DOGF)
5.9E-4 (SA)</t>
  </si>
  <si>
    <t>Corroded casing leak up side of casing to surface</t>
  </si>
  <si>
    <t>8.64 - 86</t>
  </si>
  <si>
    <t>Active injectors</t>
  </si>
  <si>
    <t>10.4 max</t>
  </si>
  <si>
    <t>5.1E10-5</t>
  </si>
  <si>
    <t>average</t>
  </si>
  <si>
    <t>Total - Moderate Leak (50-1000 t/d)</t>
  </si>
  <si>
    <t>50 to 1000</t>
  </si>
  <si>
    <t>&lt;1 hour</t>
  </si>
  <si>
    <t>No info - probability refers to active wells (producers)</t>
  </si>
  <si>
    <t>1.6E-5 (DOGF)</t>
  </si>
  <si>
    <t>Blowout event (CH4)</t>
  </si>
  <si>
    <t>86.4 - 864</t>
  </si>
  <si>
    <t>N/A</t>
  </si>
  <si>
    <t>Continuous to shallow aquifer</t>
  </si>
  <si>
    <t>Refered to as blowout</t>
  </si>
  <si>
    <t>50-500</t>
  </si>
  <si>
    <t>Total  - Major Leak (1000-5000 t/d)</t>
  </si>
  <si>
    <t>&gt;1000</t>
  </si>
  <si>
    <t>&lt;1 minute</t>
  </si>
  <si>
    <t>0.000148 as per Alcade
0.0000782 using same method but updated data</t>
  </si>
  <si>
    <t>2.4E-6 (DOGF)</t>
  </si>
  <si>
    <t>(1) 1.1E10-4
(2) 4.5E10-5</t>
  </si>
  <si>
    <t>(1) 2160
(2) 8640</t>
  </si>
  <si>
    <t>both- 62.66</t>
  </si>
  <si>
    <t>CO2 blowout in geothermal well</t>
  </si>
  <si>
    <t>(1) 6.5E10-6 (Low Estimate)
(2) 1.2E10-5 (High Estimate)</t>
  </si>
  <si>
    <t>Blowout event</t>
  </si>
  <si>
    <t>&gt; 864</t>
  </si>
  <si>
    <t>Oil producers</t>
  </si>
  <si>
    <t>blowout</t>
  </si>
  <si>
    <t>2.02E10-5</t>
  </si>
  <si>
    <t>significant</t>
  </si>
  <si>
    <t>Data Subsets (if no total available)</t>
  </si>
  <si>
    <t>Mechanical -  Seep (&lt; 1 t/d)</t>
  </si>
  <si>
    <t>843 tonnes gas; CO2 equivalent rate for same event is 60% of gas escape rate.</t>
  </si>
  <si>
    <t>No data - expect &lt;1 T/d</t>
  </si>
  <si>
    <t>single barrier failure rate (Low)</t>
  </si>
  <si>
    <t>0.9 per well single barrier failure,  wells drilled since 1994, annual prob not known</t>
  </si>
  <si>
    <t>Single barrier Failure (so not necessarily a leak)
(1) 7.4E-03 Avg NS
(2) 1.27E-02 GOM 
(3) 4.64E-03 Nor
(4) 3.64E-03 Unknown location</t>
  </si>
  <si>
    <t>Mechanical - Minor Leak (1-50 t/d)</t>
  </si>
  <si>
    <t>Mechanical - Moderate Leak (50-1000 t/d)</t>
  </si>
  <si>
    <t>Mechanical - Major Leak (1000-5000 t/d)</t>
  </si>
  <si>
    <t>single barrier failure rate (High)</t>
  </si>
  <si>
    <t>Cement-  Seep (&lt; 1 t/day)</t>
  </si>
  <si>
    <t>6.4E-04 Norway (not necessarily causing a leak)</t>
  </si>
  <si>
    <t>Cement - Minor Leak (1-50 t/d)</t>
  </si>
  <si>
    <t xml:space="preserve"> </t>
  </si>
  <si>
    <t>Cement - Moderate Leak (50-1000 t/d)</t>
  </si>
  <si>
    <t>Cement - Major Leak (1000-5000 t/d)</t>
  </si>
  <si>
    <t>Decommisioned (Abandoned) Wells</t>
  </si>
  <si>
    <t>&lt;50</t>
  </si>
  <si>
    <t>continuous</t>
  </si>
  <si>
    <t>0.21-0.41</t>
  </si>
  <si>
    <t>To seabed: 2.74E-3 (low) 5.21E-2 (high)
To Atmosphere: 4.1E-5 (low) 6.1E-4 (high)</t>
  </si>
  <si>
    <t>Continuous
1-2% reaching atmosphere; Comparable with natural seepage</t>
  </si>
  <si>
    <t>Fugitive emissions (per well)</t>
  </si>
  <si>
    <t>(1) 3E10-6 min
(2) 0.14 max</t>
  </si>
  <si>
    <t>no leakage at all if 10E-16m2 cement plug installed</t>
  </si>
  <si>
    <t>5E-05 SA
4E-06 DOGF</t>
  </si>
  <si>
    <t>1.03-12.33</t>
  </si>
  <si>
    <t>Actual CO2 leak rate from an abandoned exploration well</t>
  </si>
  <si>
    <t>per well</t>
  </si>
  <si>
    <t>No info.</t>
  </si>
  <si>
    <t>very high rates if permeability is 10E-12m2</t>
  </si>
  <si>
    <t>Mechanical -  Seep (&lt; 1 t/day)</t>
  </si>
  <si>
    <t>Comparable with natural seepage</t>
  </si>
  <si>
    <t>1.19E-6(good)
6.97E-4 (poor)
6.82E-2 (defective)</t>
  </si>
  <si>
    <t>continuous 
(450bar driving pressure). Good/poor &amp; Defective cement</t>
  </si>
  <si>
    <t>Leak category</t>
  </si>
  <si>
    <t>Leak rate (t/d)</t>
  </si>
  <si>
    <t xml:space="preserve">Probability of occurrence /well </t>
  </si>
  <si>
    <t>Duration (days)</t>
  </si>
  <si>
    <t>max</t>
  </si>
  <si>
    <t>min</t>
  </si>
  <si>
    <t>Seep</t>
  </si>
  <si>
    <t>Probability of occurrence /well/annum</t>
  </si>
  <si>
    <t>Minor</t>
  </si>
  <si>
    <t xml:space="preserve"> 1 - 50</t>
  </si>
  <si>
    <t>Moderate</t>
  </si>
  <si>
    <t xml:space="preserve"> 50 - 1000</t>
  </si>
  <si>
    <t>Major</t>
  </si>
  <si>
    <t>1000-5000</t>
  </si>
  <si>
    <t>Inactive Wells</t>
  </si>
  <si>
    <t>SEEP Leakage</t>
  </si>
  <si>
    <t>Seep &lt;1t/d probability Active wells (per well)</t>
  </si>
  <si>
    <t>Probability between 1E-3 to 1E-1?</t>
  </si>
  <si>
    <t>Leak rate specifically linked to probability (t/d)</t>
  </si>
  <si>
    <t>Seep &lt;1t/d probability Inactive wells (per well)</t>
  </si>
  <si>
    <t>Comments</t>
  </si>
  <si>
    <t>YES</t>
  </si>
  <si>
    <t xml:space="preserve">Flow rates are at the lower end of the leak rate range (1.1 t/d); close to Seep. </t>
  </si>
  <si>
    <t>Jewell et al, 2012</t>
  </si>
  <si>
    <t>LOWER</t>
  </si>
  <si>
    <t>No data</t>
  </si>
  <si>
    <t>Active probability is a per well/per annum based on anecdotal estimates of poor cement. Assumes a period of 20 years, but should perhaps be a per well value as cement is either good or bad and doesn't develop a failure over time. If this were the case, result would be 1.00E-3, which is more consistent with other sources.
Inactive probability is based on Le Guen results but only a small proportion so exculded in favour of Le Guen modified data below.</t>
  </si>
  <si>
    <t>Alcalde, Flude et al. (2018)</t>
  </si>
  <si>
    <t>HIGHER</t>
  </si>
  <si>
    <r>
      <rPr>
        <sz val="11"/>
        <color rgb="FFCD2026"/>
        <rFont val="Calibri"/>
        <family val="2"/>
        <scheme val="minor"/>
      </rPr>
      <t xml:space="preserve">Active - Mainly GoM from survey used for report, may include single barrier failures and sustained casing pressure incidents. </t>
    </r>
    <r>
      <rPr>
        <sz val="11"/>
        <color rgb="FF00B050"/>
        <rFont val="Calibri"/>
        <family val="2"/>
        <scheme val="minor"/>
      </rPr>
      <t xml:space="preserve">
</t>
    </r>
    <r>
      <rPr>
        <sz val="11"/>
        <color rgb="FF4C2C92"/>
        <rFont val="Calibri"/>
        <family val="2"/>
        <scheme val="minor"/>
      </rPr>
      <t>Inactive based on Marlow (which is active wells) but assumes seepage through cement would be a common mechanism.As inactive wells could be old, could be representative.</t>
    </r>
  </si>
  <si>
    <t>Y. Le Guen, V. Meyer, O. Poupard, E. Houdu, and R. Chammas, Oxand S.A.</t>
  </si>
  <si>
    <t>0.21 - 0.41</t>
  </si>
  <si>
    <t xml:space="preserve">Modelled, not observed, may be overly conservative based on actual observed leakage from other papers. Probability is calculated using same methodoogy as DECC 2012 but using all seep leak rates. This is % well leaking after 1000 years, so conservative as assumes all seeps start early. Could multiply by 125/1000 (5.6E-02) for a different approximation if assume leak paths start leaking at a constant rate over time. </t>
  </si>
  <si>
    <t>Davies etal 2014 MarinePetrolGeol 56_239-254</t>
  </si>
  <si>
    <t>Active well probability is higher, but source data does not relate to a leak, but a single barrier failure.
Probability to both barriers failing would be an order lower and so should be consistent.</t>
  </si>
  <si>
    <t>Sandl etal 2021</t>
  </si>
  <si>
    <t>Data for gas migration from 25,000 wells in BC, Canada. GM studied from shallow gas pockets; unlikely to come from reservior as sealing cement usually of better quality. So, leak rates from reservior would be lower still.</t>
  </si>
  <si>
    <t>Marlow 1989 JPT 1146-1153 SPE17121</t>
  </si>
  <si>
    <t>Gas storage wells 1960's to 1989; wells drilled before 1965. Paper suggests known cementing techniques to improve leak rate were not being used, but have been used since - so should be conservative for wells drilled today.</t>
  </si>
  <si>
    <t>George E. King, Apache Corporation Daniel E. King, WG Consulting</t>
  </si>
  <si>
    <t>Does not relate to a leak - single barrier failure.
Probability to both barriers failing would be an order lower and so is consistent.</t>
  </si>
  <si>
    <t>Harp et. al.</t>
  </si>
  <si>
    <t>no leakage at all if cement plug installed with permeability &lt; 1.01mD</t>
  </si>
  <si>
    <t>Shows leak probability dependent on cement quality and if quality can be verified, probability of leaking will be very low. This is consistent as range chosen reflects a % poor cement accepted.</t>
  </si>
  <si>
    <t>Minor Leakage</t>
  </si>
  <si>
    <t>Total - Minor Leak  (1-50 t/d) probability Active wells per well per annum</t>
  </si>
  <si>
    <t>Probability between 1E-5 to 1E-3?</t>
  </si>
  <si>
    <t>Total - Minor Leak  (1-50 t/d) probability Inactive wells per well per annum</t>
  </si>
  <si>
    <t>Probability between 1E-4 to 1E-3?</t>
  </si>
  <si>
    <t>Crondall analysis of HSE gas release data 1992 - 2015. All well loss of containment with leak rate of 1 - 50 t/d. All releases were contained within 1 day.</t>
  </si>
  <si>
    <t xml:space="preserve"> 4-8</t>
  </si>
  <si>
    <t>Active wells: Refers to a combination of double barrier leaks through the well bore. Arguably could have added in the cement failure probability making the total closer to 1E-4.</t>
  </si>
  <si>
    <t>ZEP-Report-CO2-Storage-Safety-in-NS</t>
  </si>
  <si>
    <t>Data refers to saline Aquifer well; for Depleted oil and gas field probability is 4E-06</t>
  </si>
  <si>
    <t xml:space="preserve">Inactive data comes from Jordon &amp; Carey related to abandoned well near steam injection; flow rates representative of minor leak. </t>
  </si>
  <si>
    <t xml:space="preserve">IOGP Blowout Frequencies </t>
  </si>
  <si>
    <t>(Yes, if rounded up) Probability refers to active producer failure one barrier - no leak rate provided</t>
  </si>
  <si>
    <t>Richard A.Schultz, et. al.</t>
  </si>
  <si>
    <t>Data refers to saline Aquifer well; for Depleted oil and gas field probability is 1.3E-4</t>
  </si>
  <si>
    <t xml:space="preserve">Active well higher probability, but data includes wells with 1 barrier failed and degraded second barrier (not actually leaking), so a conservative number for leaks </t>
  </si>
  <si>
    <t>Categorised for an average loss (could be 50 - 1000 Te/d) which would then be consistent with our probability bands.</t>
  </si>
  <si>
    <t>Moderate Leakage</t>
  </si>
  <si>
    <t>Total - Moderate Leak  (50 -1000 t/d) probability Active wells per well per annum</t>
  </si>
  <si>
    <t>Probability between 1E-5 to 1E-4?</t>
  </si>
  <si>
    <t>Total - Moderate Leak  (50 - 1000 t/d) probability Inactive wells per well per annum</t>
  </si>
  <si>
    <t>NO</t>
  </si>
  <si>
    <t>50 - 1000</t>
  </si>
  <si>
    <t>Crondall analysis of HSE gas release data 1992 - 2015. All well loss of containment with leak rate of 50 - 1000 te/day. All but one releases were contained within 1 hour.</t>
  </si>
  <si>
    <t>Depleted oil and gas field</t>
  </si>
  <si>
    <t>Includes primary barrier failed and secondary barrier compromised so may be an over estimate for leakage to surface.</t>
  </si>
  <si>
    <t>Major Leakage</t>
  </si>
  <si>
    <t>Total - Major Leak  (1000 - 5000 t/d) probability Active wells per well per annum</t>
  </si>
  <si>
    <t>Probability between 1E-6 to 1E-5?</t>
  </si>
  <si>
    <t>Total - Major Leak  (1000 - 5000 t/d) probability Inactive wells per well per annum</t>
  </si>
  <si>
    <t>Crondall analysis of HSE gas release data 1992 - 2015. All well loss of containment with leak rate of &gt;1000 t/d. All releases were contained within 1 minute.</t>
  </si>
  <si>
    <t>Probability calculated from an average of GOM data and 2010 IOGP. Using the same methodology but substituting UK data and latest IOGP figures, gives a revised probability of 7.82E-05. Quotes a leak range of between 25 t/d and 19,440 t/d</t>
  </si>
  <si>
    <t xml:space="preserve">Norwegian sector data and includes drilling and workover, so will be an over-estimate for production/injection wells. Higher probability is related to 2000t/d, lower probability for higher release (8000t/d). </t>
  </si>
  <si>
    <t>HSE Health and Safety Laboratory, Deborah Keeley</t>
  </si>
  <si>
    <t>Norwegian data. Includes primary barrier failed and secondary barrier compromised so likely to be an over estimate of probability of a major leak.</t>
  </si>
  <si>
    <r>
      <rPr>
        <sz val="11"/>
        <color rgb="FFCD2026"/>
        <rFont val="Calibri"/>
        <family val="2"/>
        <scheme val="minor"/>
      </rPr>
      <t>The figure of 2.02e-5 is based on incidents including non-well related ones, if well related only are included there are 7 incidents in 791,547 well years, a probability of 8.8E-06</t>
    </r>
    <r>
      <rPr>
        <sz val="11"/>
        <color rgb="FFFF0000"/>
        <rFont val="Calibri"/>
        <family val="2"/>
        <scheme val="minor"/>
      </rPr>
      <t xml:space="preserve">. </t>
    </r>
    <r>
      <rPr>
        <sz val="11"/>
        <color rgb="FF4C2C92"/>
        <rFont val="Calibri"/>
        <family val="2"/>
        <scheme val="minor"/>
      </rPr>
      <t xml:space="preserve">Analysis of inactive significant leak showed 1 event in 791547 well years, 1.3E-06. </t>
    </r>
  </si>
  <si>
    <t>"CO2 Storage Liabilities in the North Sea An Assessment of Risks and Financial Consequences" DECC 2012</t>
  </si>
  <si>
    <t>"CO2 Storage Liabilities in the North Sea: An Assessment of Risks and Financial Consequences, A Summary Report for DECC 2012"</t>
  </si>
  <si>
    <t>Jewell &amp; Senior</t>
  </si>
  <si>
    <t>Active Well leakage</t>
  </si>
  <si>
    <t>Probability per well per year</t>
  </si>
  <si>
    <t>Active Well: Tubing to Annulus Leak</t>
  </si>
  <si>
    <t>Following Sources used by DECC</t>
  </si>
  <si>
    <t xml:space="preserve">P. Randhol and I Carlsen “Assessment of Sustained Well Integrity on the Norwegian Continental Shelf” 30% of leaks are annulus leaks, </t>
  </si>
  <si>
    <t>Active Well: Secondary Barrier (Casing)</t>
  </si>
  <si>
    <t>SPE 112535 Well Integrity Issues Offshore Norway Vignes et al</t>
  </si>
  <si>
    <t>Active Well: Primary Barrier ( DHSV)</t>
  </si>
  <si>
    <t>PSA well integrity survey phase 1 summary Report 2006</t>
  </si>
  <si>
    <t>Active Well: Secondary Barrier (Wellhead/XT)</t>
  </si>
  <si>
    <t>Active Well: Migration Vertically through Cement Adjacent to Cap Rock</t>
  </si>
  <si>
    <r>
      <rPr>
        <sz val="11"/>
        <color rgb="FF000000"/>
        <rFont val="Calibri"/>
        <family val="2"/>
      </rPr>
      <t xml:space="preserve">Based on assuming 1% of cement jobs are poor enough to cause this and 10% are not diagnosed from CBL, for a 20yr injection period.
</t>
    </r>
    <r>
      <rPr>
        <sz val="11"/>
        <color rgb="FFFF0000"/>
        <rFont val="Calibri"/>
        <family val="2"/>
      </rPr>
      <t>Authors: We have modified this calculation as this is a % of wells likely to be affected, rather than a per annum figure, and the likely leak rate is linked to a seep that we have also considered on a per well basis rather than a per well per annum basis. Therefore, prob = 0.1*0.01=1E-3 per well (not per annum) and would be a seep &lt;1 Tonne/day. Duration not 20*365=7300 but just continuou</t>
    </r>
    <r>
      <rPr>
        <sz val="11"/>
        <color rgb="FF000000"/>
        <rFont val="Calibri"/>
        <family val="2"/>
      </rPr>
      <t xml:space="preserve">s
</t>
    </r>
  </si>
  <si>
    <t>Active Well: Primary (Tubing) followed by Secondary Barrier Failure (Casing)</t>
  </si>
  <si>
    <t>Based on anticipated exposure duration of secondary barriers following a primary barrier failure. 
Primary well failure of 0.5%/well/yr= MTTF of ~200yrs. If Remediation takes 4 months then the time during operational life in which a secondary barrier has chance to fail is 0.3333/200.33=0.0016.
So the Secondary barrier (casing failure)= 0.15% * 0.0016 = 0.00024%/well/yr</t>
  </si>
  <si>
    <t>Active Well: Secondary Barrier Failure (Casing) followed by Primary Barrier Failure (Tubing)</t>
  </si>
  <si>
    <t>Based on anticipated exposure following a secondary barrier failure, upto 6 months for detection and remediation taking up to 6 months.
Secondary well failure of 0.15%/well/yr= MTTF of ~667yrs. If Detection from pressure testing is done every 6 months and remediation takes 6 months then the time during operational life in which a primary barrier has chance to fail is 1/668=0.0015.
So the Primary Barrier (tubing  failure)= 0.5% * 0.0015 = 0.00075%/well/yr</t>
  </si>
  <si>
    <t>Active Well: Total Failure Rate for Migration from Wellbore</t>
  </si>
  <si>
    <t>Based on summing the two Active well Failure rates above</t>
  </si>
  <si>
    <t>Active Well: DHSV failure followed by XT</t>
  </si>
  <si>
    <t>Based on anticipated exposure following DHSV failure, 3 months max to detection and remediation within 3months. Assume fails midway between detection, therefore 4.5mths to remediation from failure.
DHSV failure rate of 0.9%=MTTF of 111yrs. 0.375/111=0.00338 of the time the DHSV has failed.
XT failure of 0.9%/well/yr gives 0.9%*0.00338=0.003% failure rate</t>
  </si>
  <si>
    <t>Active Well: XT failure followed by DHSV</t>
  </si>
  <si>
    <t>Based on anticipated exposure following XT  failure, assuming almost immediate detection and 1 month to plug well.
XT failure rate of 0.9%=MTTF of 111yrs. 0.08333/111=0.00075 of the time the XT has failed and not isolated from wellbore by a plug, i.e. only isolated by DHSV.
DHSV failure of 0.9%/well/yr gives 0.9%*0.00075=0.00068% failure rate</t>
  </si>
  <si>
    <t>Active Well: Total Failure rate for Migration Vertically through the tubing</t>
  </si>
  <si>
    <t>Total Active Well Failure Rate</t>
  </si>
  <si>
    <t>per welll/annum</t>
  </si>
  <si>
    <t>Leak rates</t>
  </si>
  <si>
    <t>Tonne/day</t>
  </si>
  <si>
    <t>Deep tubing leak</t>
  </si>
  <si>
    <t>8.3 t/d</t>
  </si>
  <si>
    <t>Based on 3000m deep tubing leak and max flow rate of 4.5sm3/d up annulus (between 5.5" tubing and 9 5/8" Casing)</t>
  </si>
  <si>
    <t>Shallow Tubing Leak</t>
  </si>
  <si>
    <t>4.5 t/d</t>
  </si>
  <si>
    <t>Based on leak through 5.5" tubing of 2.5sm3/d</t>
  </si>
  <si>
    <t>Leak where flow through formation occurs</t>
  </si>
  <si>
    <t>neglible-250t/d</t>
  </si>
  <si>
    <t>If the flow is through the formation after a leak from the wellbore, then the flow is negligible, if through existing  faults then 1-250t/d</t>
  </si>
  <si>
    <t>Leak durations</t>
  </si>
  <si>
    <t>months</t>
  </si>
  <si>
    <t>Days</t>
  </si>
  <si>
    <t>Primary well barrier leak</t>
  </si>
  <si>
    <t>Shut in within 1 day</t>
  </si>
  <si>
    <t>Secondary well barrier leak (below the SCSSV)</t>
  </si>
  <si>
    <t>6 months test interval + 6 months to repair. Could install a temporary plug to reduce leak duration</t>
  </si>
  <si>
    <t>Complete loss of well integrity: kill well and workover repair</t>
  </si>
  <si>
    <t>Average for loss integrity</t>
  </si>
  <si>
    <t>Complete loss of well integrity where wellhead is not accessable: relief well</t>
  </si>
  <si>
    <t>Up to 6 months to plan and execute (with top kill, 1 month) average 3.5 months</t>
  </si>
  <si>
    <t>Migration through cement: kill well, mill casing and set new plug against rock</t>
  </si>
  <si>
    <t>Abandoned  Well leakage</t>
  </si>
  <si>
    <t>References SPE122510 Le Guen et al, A risk-Based Approach for Well Integrity Management Over Long Term in a CO" Geological Storage Project</t>
  </si>
  <si>
    <t>P&amp;A Well: Saline Aquifer (over-pressured) &amp; &gt;1% of store Released</t>
  </si>
  <si>
    <t>Based on analysis by Le Guen of leak paths modelled in a moderate practice abandoned well, with the most severe leak rate cases (50 cases) all showing frequencies of between  0.001 &amp; 0.01. Taking mid-point of 0.005 per migration pathway and 50 pathways equates to probability of 22% over 1000 years (1-(1-0.005)^50)</t>
  </si>
  <si>
    <t>P&amp;A Well: Saline Aquifer (over-pressured) &amp; &lt;0.05% of store Released</t>
  </si>
  <si>
    <t>Using same methodology as Jewell &amp; Senior in DECC Report:
Based on analysis by Le Guen of leak paths modelled in a moderate practice abandoned well, with the most severe leak rate cases (368 cases) all showing frequencies of between  0.0001 &amp; 0.001. Taking mid-point of 0.0005 per migration pathway and 368 pathways equates to probability of 17% over 1000 years (1-(1-0.0005)^368)</t>
  </si>
  <si>
    <t>P&amp;A Well: Depleted O&amp;G Field (under-pressured) &amp; &gt;0.1% of store Released</t>
  </si>
  <si>
    <r>
      <t xml:space="preserve">Jewell assumes a factor of 10 reduction in probability versus a Saline Aquifer Store </t>
    </r>
    <r>
      <rPr>
        <b/>
        <sz val="11"/>
        <color theme="1"/>
        <rFont val="Calibri"/>
        <family val="2"/>
        <scheme val="minor"/>
      </rPr>
      <t>without any strong justification</t>
    </r>
  </si>
  <si>
    <t>So ignored, and kept same as Aquifer.</t>
  </si>
  <si>
    <t>P&amp;Well: Depleted O&amp;G Field (under-pressured) &amp; &lt;0.005% of store released</t>
  </si>
  <si>
    <t>Migration rates such that majority if not all migtration would be absorbed by porous formationsexternal to the wall. Migration to the surface is unlikely.</t>
  </si>
  <si>
    <t>&lt;0.05% store volume</t>
  </si>
  <si>
    <t>500MT store for 1000years</t>
  </si>
  <si>
    <t>~ 1% of store volume</t>
  </si>
  <si>
    <t>High case</t>
  </si>
  <si>
    <t>P&amp;A well very expensive to fix, assume continuous for small amounts.</t>
  </si>
  <si>
    <t>P&amp;A wells. If high leak rate could be fixed within 3-6 months</t>
  </si>
  <si>
    <t>Data used in the table highlighted above</t>
  </si>
  <si>
    <t>Data Summary for Migration to Comparison Sheet</t>
  </si>
  <si>
    <t>Title of data Source</t>
  </si>
  <si>
    <t>Comment: as we are considering seeps as per well rather than per well per annum then think 1E-3 probability per well is more appropriate, rather than the assumes 5E-5 per well per annum shown in the paper</t>
  </si>
  <si>
    <t>CO2 Storage Safety in the North Sea: ZEP Report Nov 2019</t>
  </si>
  <si>
    <t>CO2 Storage Safety in the North Sea: Implications of the CO2 Storage Directive, Zero Emissions Platform Report Nov 2019</t>
  </si>
  <si>
    <t>Data used in table</t>
  </si>
  <si>
    <t>Saline Aquifer:
Based on 100MTCO2 injected in 1 well over 50 years with 1 abandoned well</t>
  </si>
  <si>
    <t>Probability over 500yrs including lifetime of project &amp; post Closure</t>
  </si>
  <si>
    <t>Leakage Rate
tCO2/d</t>
  </si>
  <si>
    <t>Duration</t>
  </si>
  <si>
    <t>Active Well Leakage</t>
  </si>
  <si>
    <t>250 days</t>
  </si>
  <si>
    <t>Based on Engineering Judgement of DECC and Gassnova Studies to bring to scenario considered here</t>
  </si>
  <si>
    <t>Active Well Blowout</t>
  </si>
  <si>
    <t>Abandoned Well Blowout</t>
  </si>
  <si>
    <t>1 year</t>
  </si>
  <si>
    <t>Seepage in Abandoned well</t>
  </si>
  <si>
    <t>Severe well Problem, no repair successful</t>
  </si>
  <si>
    <t>2 years</t>
  </si>
  <si>
    <t>Leak from Installation</t>
  </si>
  <si>
    <t>5 days</t>
  </si>
  <si>
    <t>Have assumed 100years is effectively a continuous leak as others have described.</t>
  </si>
  <si>
    <t>DOGF:
Based on 20MTCO2 injected in 1 well over 10 years with 1 abandoned well, max pressure 80-90% of Initial Pressure</t>
  </si>
  <si>
    <t>Based on consideration of SA cases as appropriate for a DOGF</t>
  </si>
  <si>
    <t>Well  leakage rates- Gassnova Study recorded in Appendix of ZEP Report</t>
  </si>
  <si>
    <t>CO2 Storage Safety in the North Sea</t>
  </si>
  <si>
    <t>ZEP Report Nov 2019</t>
  </si>
  <si>
    <t>"IOGP Risk Assessment Data Directory Blowout Frequencies Report 434-02 Sept2019"</t>
  </si>
  <si>
    <t>IOGP Risk Assessment Data Directory Blowout Frequencies Report 434-02 Sept2019</t>
  </si>
  <si>
    <t>Copyright Interantional Association of Oil &amp; Gas Producers</t>
  </si>
  <si>
    <t>Probability per well Drilled</t>
  </si>
  <si>
    <t>Development drilling deep, normal wells.</t>
  </si>
  <si>
    <t>Blowout</t>
  </si>
  <si>
    <t>Gas well data</t>
  </si>
  <si>
    <t>Based on Table 2-1 Blowout and Well Release Frequencies for Offshore Operations of North Sea Standard, Development drilling, Deep, Normal Wells, UK data</t>
  </si>
  <si>
    <t>Well Release</t>
  </si>
  <si>
    <t>Based on Table 2-1 Blowout and Well Release Frequencies for Offshore Operations of North Sea Standard, Deep, Normal Wells Norway Data</t>
  </si>
  <si>
    <t>Gas Injection Wells</t>
  </si>
  <si>
    <t>Gas injection well data.</t>
  </si>
  <si>
    <t>Based on Table 2-1 Blowout and Well Release Frequencies for Offshore Operations of North Sea Standard,  UK, Norway and US GoM data</t>
  </si>
  <si>
    <t>Abandoned wells</t>
  </si>
  <si>
    <t>Based on Table 2-1 Blowout and Well Release Frequencies for Offshore Operations of North Sea Standard, US GoM data 1994-2014</t>
  </si>
  <si>
    <t>Note the definition of a well release is not a leak and blowout covers all sizes of leak.</t>
  </si>
  <si>
    <t>Risk Assessment data Directory Blowout Frequencies Report 434-02 Sept 2019</t>
  </si>
  <si>
    <t>IOGP</t>
  </si>
  <si>
    <t>No info - probability refers to failure one barrier active wells (producers)</t>
  </si>
  <si>
    <t>No info - probability refers to active wells (producers) leak</t>
  </si>
  <si>
    <t>Calculated Data Based on Information in Source</t>
  </si>
  <si>
    <t>Calculated Data Based on Methodology in Source but with upated data source (indicated)</t>
  </si>
  <si>
    <t>“Estimating geological CO2 storage security to deliver on climate mitigation”, by Alcalde, Flude et al. (2018)</t>
  </si>
  <si>
    <t>Open Access License</t>
  </si>
  <si>
    <t>SN3: Leakage through Active (Injection) Wells</t>
  </si>
  <si>
    <t>1) Continuous, low level leakage of gas that is not considered to pose an accute hazard and may not be remediated</t>
  </si>
  <si>
    <t>Frequency</t>
  </si>
  <si>
    <t>of all wells will leak in this way (average but skewed by 1 data point)</t>
  </si>
  <si>
    <t xml:space="preserve">Modified to log normal distribution </t>
  </si>
  <si>
    <t xml:space="preserve">Frequency range </t>
  </si>
  <si>
    <t>2-60%</t>
  </si>
  <si>
    <t xml:space="preserve">Range of data from offshore sources (see Supplementary table 4) from 27 GoM, 4 Norwegian and 1 UKCS report (UWG commissioned Douglas Westwood in 2005, who interviewed 18 operators nd identified that 10% of wells has been shut-in in previous 5 years). It isn't clear if these refer only to leaks, may also include single barrier failures and sustained casing pressure increases. </t>
  </si>
  <si>
    <t>Leak Rate</t>
  </si>
  <si>
    <t>tCO2 pa</t>
  </si>
  <si>
    <t xml:space="preserve">Based on mid point of 102 tCO2 pa  and 215 tCO2 pa </t>
  </si>
  <si>
    <t>Tonnes/day</t>
  </si>
  <si>
    <t>Leak Rate low estimate</t>
  </si>
  <si>
    <t>(1) Cement Bonding Characteristics in Gas Wells JPT Nov1989 Roy S. Marlow, where &lt;5000scf/d leak rate is observed in 80.7% of leaking gas storage wells, note: only ~2% of wells were reported to have a leak)</t>
  </si>
  <si>
    <t>(2) Sustained Casing Pressure in Offshore Producing Wells, Bourgoyne et al, OTC-11029 1999</t>
  </si>
  <si>
    <t>Leak Rate high estimate</t>
  </si>
  <si>
    <t>Based on Alberta max leak rate before remediation required  Bachu &amp; Watson Evaluation of the Potential for Gas CO2 Leakage Along Wellbore, SPE Drilling &amp; Completions, Mar2009</t>
  </si>
  <si>
    <t>2) Acute events involving unplanned and uncontrolled release of the fluid from the well (blowouts) that require rapid assessment and remediation</t>
  </si>
  <si>
    <t>2.1) Minor Blowouts</t>
  </si>
  <si>
    <t>events per well pa</t>
  </si>
  <si>
    <t>Based on UK North Sea HSE Database which includes very small leaks</t>
  </si>
  <si>
    <t>Modified - see RHS on leak distribution.</t>
  </si>
  <si>
    <t>On analysing the same data source, appears a large number of non-well leaks (but on the Wellhead Platform) were included, so has not been used in analysis</t>
  </si>
  <si>
    <t>Leak rate range max</t>
  </si>
  <si>
    <t>tCO2 per event</t>
  </si>
  <si>
    <t>Based on UK North Sea HSE Database which shows only 2 leaks &gt;500 tCO2 equivalent. The volume has been increased to 750 tCO2 to account for additional difficulties in remediating CO2 wells (phase change causing large gas rates and solids deposition)</t>
  </si>
  <si>
    <t>Based on a 750t minor blowout and using durations excluding largest 3 events in Supplementary Table 7 gives average duration of 22 days, therefore a minor blowout volumes is 34tCO2 per day. As the store is abandoned remediation will require longer, e.g. 1.5yrs resulting in this volume of leak</t>
  </si>
  <si>
    <t>Leak rate</t>
  </si>
  <si>
    <t>tCO2/day</t>
  </si>
  <si>
    <t>2.2)Major Blowouts</t>
  </si>
  <si>
    <t>see SN3: Supplementary Figure 5 &amp; Supplementary Table 6  where studies with &lt;10000 wells have been excluded.</t>
  </si>
  <si>
    <t>Updated using their methodology</t>
  </si>
  <si>
    <t>Frequency min</t>
  </si>
  <si>
    <t>GoM and North Sea from 2010 IOGP Report</t>
  </si>
  <si>
    <t>--------------------------------------------------------------------------&gt;</t>
  </si>
  <si>
    <t>Latest IOGP (2019)</t>
  </si>
  <si>
    <t>Frequency max</t>
  </si>
  <si>
    <t>GoM from 1997 Book by Per Holand "Offshore Blowouts"</t>
  </si>
  <si>
    <t>Using Regulated Area data from updated version by same author, table 17.1 of "Loss of Well Control Occurrence and Size Estimators, Phase I and II, author: Per Holand, 04-May 2017, ExproSoft for the Bureau of Safety and Environmental Enforcement</t>
  </si>
  <si>
    <t>Leaked Volume Min</t>
  </si>
  <si>
    <t>tCO2</t>
  </si>
  <si>
    <t>Otherwise a Minor Blowout</t>
  </si>
  <si>
    <t>Leaked Volume Max</t>
  </si>
  <si>
    <t>Based on Macondo + 50% to account for additional difficulties remediating CO2 Wells
approx 90 days to stop well flow.</t>
  </si>
  <si>
    <t>SN4: Leakage through Abandoned Wells</t>
  </si>
  <si>
    <t>1) Leakage during Store Operation</t>
  </si>
  <si>
    <t>Continuous Leaks</t>
  </si>
  <si>
    <t>of wells leaking</t>
  </si>
  <si>
    <t>Based on information presented Cement Bonding Characteristics in Gas Wells JPT Nov1989 Roy S. Marlow</t>
  </si>
  <si>
    <t>t/day</t>
  </si>
  <si>
    <t>Discrete Events Leaks</t>
  </si>
  <si>
    <t>Frequency- Min</t>
  </si>
  <si>
    <t>Based on Jordan &amp; Carey Steam Blowouts in California Oil &amp; Gas District 2016</t>
  </si>
  <si>
    <t>2 stores</t>
  </si>
  <si>
    <t>Jordan &amp; Carey</t>
  </si>
  <si>
    <t>Frequency- Max</t>
  </si>
  <si>
    <t>Leak</t>
  </si>
  <si>
    <t>Based on Becej Field Blowout rate and assuming 1 year to rectify</t>
  </si>
  <si>
    <t>Based on Macondo + 50%</t>
  </si>
  <si>
    <t>2) Leakage Post-Storage Operations</t>
  </si>
  <si>
    <t>largest (Macondo blowout)</t>
  </si>
  <si>
    <t>Frequency- Mid Point</t>
  </si>
  <si>
    <t xml:space="preserve">Minor </t>
  </si>
  <si>
    <t>Leak- minor event (TCO2)</t>
  </si>
  <si>
    <t>Leak- mid sized event (TCO2)</t>
  </si>
  <si>
    <t>Leak- major blowout (TCO2)</t>
  </si>
  <si>
    <t>Based on Macondo + 50%; 3 months to rectify</t>
  </si>
  <si>
    <t>Duration - minor event</t>
  </si>
  <si>
    <t>days</t>
  </si>
  <si>
    <t>Duration Major blowout</t>
  </si>
  <si>
    <t>Leak rate minor event</t>
  </si>
  <si>
    <t>Note natural examples are over shorter time scales than modelled examples.</t>
  </si>
  <si>
    <t>Leak rate major blowout</t>
  </si>
  <si>
    <t>Zahasky model without active mitigation beyond cessation of injection, after 5 and 10 years of injection</t>
  </si>
  <si>
    <t>Jordan et al leak from well bores</t>
  </si>
  <si>
    <t>Reviellere work proxy for unmitigated leak from reservoir.</t>
  </si>
  <si>
    <t>Laura Hardiman (analysis for this work)</t>
  </si>
  <si>
    <t>This work was performed to sense check the Alcalde et al 2018 work which identified 6.93% of UK gas wells between 1992 and 2015 to have a release per annum. From the analysis performed the Alcalde et al data includes a large number of process leaks on a "Wellhead" facility, so compressors, pumps, flowlines, etc.
Using the same dataset the well releases from all development gas wells (including during development drilling and interventions, but excluding abandonment) were divided into the different leak rate categories and the durations of the leaks for each category plotted. The data used was the HC Release and Population Data for 1992 to 2015 downloaded from the HSE website: https://www.hse.gov.uk/offshore/statistics/index.htm</t>
  </si>
  <si>
    <t>https://www.hse.gov.uk/offshore/statistics/index.htm</t>
  </si>
  <si>
    <t>Gas Well Years</t>
  </si>
  <si>
    <t>Years of data</t>
  </si>
  <si>
    <t>Average Number of Wells during that time</t>
  </si>
  <si>
    <t>Maximum Duration</t>
  </si>
  <si>
    <t>per well (over 23.25yrs)</t>
  </si>
  <si>
    <t>per well year</t>
  </si>
  <si>
    <t>&lt;5days</t>
  </si>
  <si>
    <t>Note: Not Continuous, so not included</t>
  </si>
  <si>
    <t>&lt;1day</t>
  </si>
  <si>
    <t>&lt;100days</t>
  </si>
  <si>
    <t>G4 Incident (51 days), otherwise &lt;1hr</t>
  </si>
  <si>
    <t>G4 Incident Severity (once in 23929 Gas Well Years)</t>
  </si>
  <si>
    <t>&lt;1min</t>
  </si>
  <si>
    <t>Laura Hardiman</t>
  </si>
  <si>
    <t>Uses Information from Previous Studies and newly compiled data to predict probabilities of leakage of varying magnitude for differeing store types. Then uses Bayesian Analysis to develop against a uniform prior the frequencies of leakage for different event magnitudes and store types. All frequencies for stores where there are no events in that category are 2.86E-4 which appears to be an artefact of the analysis based on the sample size. Note: Table VII is based on frequencies per facility, not well, therefore have used Table II to calculate an average number of wells per facility
NOTE: The data in Table III and hence in Table VII seems to under-predict frequency for well &amp; facility events by a factor of 100, i.e. Evans 2009 Frequency in wells is 1131.732 not 113173.2.</t>
  </si>
  <si>
    <t>Data Used in comparison table</t>
  </si>
  <si>
    <t>Assume from Table I that occurrences equate to:</t>
  </si>
  <si>
    <t>Nuisance= Minor</t>
  </si>
  <si>
    <t>Serious= Moderate</t>
  </si>
  <si>
    <t>Catastrophic= Major</t>
  </si>
  <si>
    <t>Number of wells:</t>
  </si>
  <si>
    <t>DOGF</t>
  </si>
  <si>
    <t>SA</t>
  </si>
  <si>
    <t>Salt Cavern</t>
  </si>
  <si>
    <t>Michanowicz</t>
  </si>
  <si>
    <t>as of 2016</t>
  </si>
  <si>
    <t>Folga/Joint Ind Taskforce</t>
  </si>
  <si>
    <t>reported in 2016</t>
  </si>
  <si>
    <t>Well Occurrences from Table VII, reduced to occurrences per well year</t>
  </si>
  <si>
    <t>P50 Bayesian likelihood per facility year</t>
  </si>
  <si>
    <t>Number of wells per facility (based on Michanowicz &amp; Table II active + Inactive Wells)</t>
  </si>
  <si>
    <t>P50 Bayesian likelihood per well year</t>
  </si>
  <si>
    <t>Nuisance</t>
  </si>
  <si>
    <t>Serious</t>
  </si>
  <si>
    <t>Excluded due to no occurrences in this category</t>
  </si>
  <si>
    <t>Catastrophic</t>
  </si>
  <si>
    <t xml:space="preserve">Hazard identification and risk analysis of CO2 storage at Lower Jurassic Johansen Formation </t>
  </si>
  <si>
    <t>Paper used by Jewell for original DECC paper using modelling of well failure over thousands of years for P&amp;A well failures. This analsyis was expanded by authors to look at low leak rate events as well as the leak rates leading to &gt;1% loss of store volume. Note: Results show full range of severities, but probilities from modelling limited to range 0.001- 0.01.</t>
  </si>
  <si>
    <t>See Figure 9: Population of the 1296 scenarios in the risk matrix dedicated to well integrity (after 1000 years)</t>
  </si>
  <si>
    <t>See Figure 8: Consequences and frequency grids</t>
  </si>
  <si>
    <t>See Figure 5: Scenarios distribution according to CO2 migration amount into the aquifer (in tons after 1000 years)</t>
  </si>
  <si>
    <t>Previously in Jewell &amp; Senior</t>
  </si>
  <si>
    <t>Revised calculations including low leak rates</t>
  </si>
  <si>
    <t>&lt;1T/d</t>
  </si>
  <si>
    <t>1-50 T/d</t>
  </si>
  <si>
    <t>per well/per annum</t>
  </si>
  <si>
    <t>Green cells indicate primary data for comparison
Other cells only used where the data source provides subset data only.</t>
  </si>
  <si>
    <t>Title of Data Source</t>
  </si>
  <si>
    <t>modified to be same ranges as bands of table</t>
  </si>
  <si>
    <t>Lewicki et al 2006 US-DoE DE-AC02-05CH11231</t>
  </si>
  <si>
    <t>Page 40- CO2 leakage rates from Geyser (drilled as water well)</t>
  </si>
  <si>
    <t>Page 41- Blowout from exploration well into CO2 gas cap. Shut-in and then continued flow due to no production casing. Cemented full wellbore but still leaks to surface</t>
  </si>
  <si>
    <t>P42- Casing corrosion and average leakage rates from gas storage facility</t>
  </si>
  <si>
    <t>Utah:</t>
  </si>
  <si>
    <t>Crystal Geyser</t>
  </si>
  <si>
    <t>12000 TCO2pa</t>
  </si>
  <si>
    <t>801M Deep abandoned explo well leaking through wellbore</t>
  </si>
  <si>
    <t>Italy:</t>
  </si>
  <si>
    <t>Torre Alfina</t>
  </si>
  <si>
    <t>300 TCO2 per hour- Blowout</t>
  </si>
  <si>
    <t>663m deep geothermal well leaking due to no production casing, through cap rock and overlying volcanics</t>
  </si>
  <si>
    <t>Wyoming:</t>
  </si>
  <si>
    <t>Leroy gas storage well failed due to casing corrosion- gas migrated to another well and leaked up side of casing to surface, but only when store pressure above a threshold</t>
  </si>
  <si>
    <t>3x10^6 m3pa</t>
  </si>
  <si>
    <t>1000m depth gas storage well</t>
  </si>
  <si>
    <t>538 m3/tonne</t>
  </si>
  <si>
    <t>Lewicki etal 2006 US-DoE DE-AC02-05CH11231 regulatory/industry guidance</t>
  </si>
  <si>
    <t>HSE Health and Safety Laboratory. Failure rates for underground gas storage</t>
  </si>
  <si>
    <t>Deborah Keeley</t>
  </si>
  <si>
    <t>Table 6 Failure Rates for Oil &amp; Gas wells Europe</t>
  </si>
  <si>
    <t>Lindeberg et al 2017 EnergyProc 114_4279-4286</t>
  </si>
  <si>
    <t>Shows that using Aliso Canyon over-predicts CO2 blowout unless CO2 modelling of same blowout if performed. Loss of gas in Alison canyon of 2.8% becomes loss of CO2 of 0.37% of stored volume.
Leak was from uncemented 7" casing into surrounding formation.
When modelling CO2 flow, low temperatures would be below hydrate formation, therefore modelled flow rates will probably be further restricted due to hydrate formation in surrounding rock.</t>
  </si>
  <si>
    <t>Comparison of key data from the Aliso Canyon leakage and a similar leakage from a CO2 well</t>
  </si>
  <si>
    <t>Parameter</t>
  </si>
  <si>
    <t>Unit</t>
  </si>
  <si>
    <t>Gas well</t>
  </si>
  <si>
    <t>CO_{2} well</t>
  </si>
  <si>
    <t>Leakage rate</t>
  </si>
  <si>
    <t>Sm^{3} /s</t>
  </si>
  <si>
    <t>kg/s</t>
  </si>
  <si>
    <t>gas</t>
  </si>
  <si>
    <t>CO2</t>
  </si>
  <si>
    <t>Total loss during 112 days</t>
  </si>
  <si>
    <t>tonne</t>
  </si>
  <si>
    <t>tonnes/day</t>
  </si>
  <si>
    <t>GSm^{3}</t>
  </si>
  <si>
    <t>Total loss fraction during 112 days</t>
  </si>
  <si>
    <t>%</t>
  </si>
  <si>
    <t>Pressure at casing fracture during flow</t>
  </si>
  <si>
    <t>bar</t>
  </si>
  <si>
    <t>Total gas in formation</t>
  </si>
  <si>
    <t>million tonne</t>
  </si>
  <si>
    <t>Density at reservoir conditions</t>
  </si>
  <si>
    <t>kg/m^{3}</t>
  </si>
  <si>
    <t>Fluid temperature after constriction</t>
  </si>
  <si>
    <t>°C</t>
  </si>
  <si>
    <t>Fluid temperature at surface</t>
  </si>
  <si>
    <t>Erik Lindeberg*, Per Bergmo, Malin Torsæter and Alv-Arne Grimstad</t>
  </si>
  <si>
    <t>Conley et al 2016 Science volume 351 issue 6279 page 1317</t>
  </si>
  <si>
    <t>Data from Source used in Table</t>
  </si>
  <si>
    <t>Aliso Canyon Blowout</t>
  </si>
  <si>
    <t>Total released</t>
  </si>
  <si>
    <t>Average flow rate</t>
  </si>
  <si>
    <t>tonne/day</t>
  </si>
  <si>
    <t>Note: Lindeburg reports total released as 94500 Tonne and models same failure with dense phase CO2</t>
  </si>
  <si>
    <t>Conley etal 2016_Science_351_6279_1317</t>
  </si>
  <si>
    <t>Davies etal</t>
  </si>
  <si>
    <t xml:space="preserve">
3533 Pensylvannian wells monitored between 2008 &amp; 20122 85 examples of cement/casing failure, 4 blowouts and 2 examples of gas venting
2152 UK HC onshore wells drilled between 1902 &amp; 2013. 50-100 orphaned, of 143 active wells producing at end of 2000, 1 has well integrity failure
</t>
  </si>
  <si>
    <t>Pennsylvania:</t>
  </si>
  <si>
    <t>-Vidic: 3.4% of 6466 had well barrier leakage for shale gas wells between 2008 &amp; 2013</t>
  </si>
  <si>
    <t>-Ingraffea: 6.2% (211 or 3391 shale gas wells drilled in 2011/2 had failed)</t>
  </si>
  <si>
    <t>-Considine: 2.58% of 3533 individual wells having some form of barrier/integrity failure (0.17% blowouts, venting or gas migration and 2.71% having casing or cementing failures with measurable gas at surface for mostt of these)</t>
  </si>
  <si>
    <t xml:space="preserve">-Pennsylvania state database: 8030 Marcellus Shale wells inspected 2005-13 6.3% have well barrier infringements or integrity failure </t>
  </si>
  <si>
    <t>Gulf of Mexico:</t>
  </si>
  <si>
    <t>-US Minerals Mgmt Service/Brufatto: 15500 producing, shut-in or temporarily abandoned wells in outer CS of GoM, of which 43% (6692) have sustained casing pressure in at least one annulkus. Of these 47.1% in production strings, 26.2% in surface casing, 16.3% in intermediate, 10.4% in the conductor pipe</t>
  </si>
  <si>
    <t xml:space="preserve">Norwegian CS: </t>
  </si>
  <si>
    <t>-Vignes &amp; Aadnoy: 406 wells 18% (75) well barrier issues (Figure 7 shows cause)</t>
  </si>
  <si>
    <t>-Vignes (2011): 20% of 711 wells had integrity failures, issues or uncertainties (17% of 526 producers and 29% of 185 injectors)</t>
  </si>
  <si>
    <t>-PSA: in 2008 24% of 1677 wells had a well barrier failure, in 2009 24% of 1712 and 2010 26% of 1741</t>
  </si>
  <si>
    <t>-SINTEF: 217 wells in 8 fields, 11-73% of wells had some form of barrier failure witj injectors 2-3 times more likely to fail than producers</t>
  </si>
  <si>
    <t>Summarising majority of North Sea data: Offshore wells in North Sea 10-30% have 1 barrier failure. Probability 0.1-0.3</t>
  </si>
  <si>
    <t>Onshore Netherlands:</t>
  </si>
  <si>
    <t>-Vignes/State Supervision of Mines: in 2008 inspected 31 oo 1349 dev wells, of which 13% had well barrier problems (4% of production wells 1 oo 26, 60% of injectors 3 oo 5)</t>
  </si>
  <si>
    <t>UK Offshore &amp; Onshore:</t>
  </si>
  <si>
    <t>- Burton: Offshore wells 10% of 6137 wells shut-in as a result of structural integrity issues</t>
  </si>
  <si>
    <t>-2152 UK HC onshore wells drilled between 1902 &amp; 2013. 50-100 orphaned, of 143 active wells producing at end of 2000, 1 has well integrity failure</t>
  </si>
  <si>
    <t>PSA Summary Report 2020</t>
  </si>
  <si>
    <t>Norwegian sector - sample audit</t>
  </si>
  <si>
    <t>Summary Report 2020 and Phase 1 Summary</t>
  </si>
  <si>
    <t>The probability is likely an over-estimate for the leak rate as this is based on the assumption that the 18% of wells with well integrity issues are all leaking, from 2020 data that is not the case</t>
  </si>
  <si>
    <t>Source Data</t>
  </si>
  <si>
    <t>From Fig 5.8  0.3% have leaks/two barrier issues.</t>
  </si>
  <si>
    <t>From Fig 5.3: 74.27% of all leaks are between 0.1 and 1 kg/s (8.64 - 86.4 Tonne/day)
24.56% of all leaks are between 1 and 10 kg/s (86.4 - 864 Tonne/day)
4.68% of all leaks are &gt; 864 Tonne/day</t>
  </si>
  <si>
    <t>Overall failure probability = 0.003 /well
8-80T/d = 0.743*0.003 = 0.0022 / well/annum (as assumed fixed within year) (MINOR LEAK EQUIVALENT)
80-800 T/dmedium leaks = 0.246*0.003 = 0.00074/well/annum (MODERATE LEAK EQUIVALENT)
&gt; 800T/d large leaks = 0.05*0.003 = 0.00014/well/annum (MAJOR LEAK EQUIVALENT)</t>
  </si>
  <si>
    <t>Total</t>
  </si>
  <si>
    <t>&gt;10 kg/s</t>
  </si>
  <si>
    <t>1-10kg/s</t>
  </si>
  <si>
    <t>0.1-1kg/s</t>
  </si>
  <si>
    <t>Check</t>
  </si>
  <si>
    <t>Digitised from Fig 5.3</t>
  </si>
  <si>
    <t>&gt;864 Te/d</t>
  </si>
  <si>
    <t>86.4 - 864 Te/d</t>
  </si>
  <si>
    <t>8.64 - 86.4 Te/day</t>
  </si>
  <si>
    <t>Probability of leaked vol</t>
  </si>
  <si>
    <t>Total Prob</t>
  </si>
  <si>
    <t xml:space="preserve">Brenna Doherty, Veronika Vasylkivska, Nicolas J. Huerta, Robert Dilmore </t>
  </si>
  <si>
    <t>Example of applying DoE Well Leakage Assessment Tool (WLAT) for a particular field.</t>
  </si>
  <si>
    <t>Leak rates (Figure 3) are through cemented casing, not to surface but to higher aquifer. Flow rates relevant - no info on probabilities.</t>
  </si>
  <si>
    <t xml:space="preserve">4kg/s </t>
  </si>
  <si>
    <t>Brenna Doherty1, Veronika Vasylkivska2,3, Nicolas J. Huerta2,*, Robert Dilmore4</t>
  </si>
  <si>
    <t>Vielstädte, Lisa; Karstens, Jens; Haeckel, Matthias; Schmidt, Mark; Linke, Peter; Reimann, Susan; Liebetrau, Volker; McGinnis, Daniel F.; Wallmann, Klaus</t>
  </si>
  <si>
    <t>Authors' aim was to quantify methane leakage from three abandoned exploration wells</t>
  </si>
  <si>
    <t>Leakage from these three wells 24 MT CH4 per year is comparable to major natural seepage sites such as Tommeliten</t>
  </si>
  <si>
    <t>98% of the gas released at the seabed is dissolved in the 81 - 93 m deep water column</t>
  </si>
  <si>
    <t>Shallow gas pockets overlying the deep hydrocarbon reservoirs are likely sources for the gas emanating from these wells</t>
  </si>
  <si>
    <t>From Table 3</t>
  </si>
  <si>
    <t>Atmosphere emissions</t>
  </si>
  <si>
    <t>kg/yr</t>
  </si>
  <si>
    <t>Low=</t>
  </si>
  <si>
    <t>2 vents</t>
  </si>
  <si>
    <t>High=</t>
  </si>
  <si>
    <t>39 vents</t>
  </si>
  <si>
    <t>Vielstadte et.al.</t>
  </si>
  <si>
    <t>Bai et al SPE 173000 August 2014</t>
  </si>
  <si>
    <t xml:space="preserve"> A numerical model is presented to simulate the flow of CO2 along abandoned wellbores</t>
  </si>
  <si>
    <t>From Table 8 - past cement
Peak leak rates</t>
  </si>
  <si>
    <t>1 tonne CO2 ~ 505 m3 (1.977kg/m3)</t>
  </si>
  <si>
    <t>With 450 bar reservoir pressure</t>
  </si>
  <si>
    <t>m3/day</t>
  </si>
  <si>
    <t>Good cement</t>
  </si>
  <si>
    <t>Poor cement</t>
  </si>
  <si>
    <t>Defective cement</t>
  </si>
  <si>
    <t>worst case</t>
  </si>
  <si>
    <t>Stefan Bachu, Theresa L. Watson</t>
  </si>
  <si>
    <t>Energy Procedia vol 1 issue 1 (2009) pages 3531-3537 Greenhouse Gas Control Technologies 9</t>
  </si>
  <si>
    <t>Most relevant data for CO2 injection wells after 1994.</t>
  </si>
  <si>
    <t>Shows 0.9 failures/well; vast majority are tubing/packer failures (i.e. single barrier)</t>
  </si>
  <si>
    <t>Stefan Bachua,*, Theresa L. Watson</t>
  </si>
  <si>
    <t>0.9 per well single barrier failure,  wells drilled since 1994</t>
  </si>
  <si>
    <t>Key data:</t>
  </si>
  <si>
    <t>Inactive wells:</t>
  </si>
  <si>
    <t>Once an inactive well intersected by Steam (analagous to CO2 plume)</t>
  </si>
  <si>
    <t>Blowout rate is 1 in 5000</t>
  </si>
  <si>
    <t xml:space="preserve">Probability of blowout </t>
  </si>
  <si>
    <t>Active Injection Wells:</t>
  </si>
  <si>
    <t>1990's</t>
  </si>
  <si>
    <t>Blow out rate is 1 in several 1000 (say 3000) wells or 1 in 10,000 well-years</t>
  </si>
  <si>
    <t>from section 4.2</t>
  </si>
  <si>
    <t xml:space="preserve">Study considered failures over 9 years </t>
  </si>
  <si>
    <t>Prob. of blowout</t>
  </si>
  <si>
    <t>per well/annum</t>
  </si>
  <si>
    <t>2000's</t>
  </si>
  <si>
    <t>Blow out rate is 1 in several 10000 wells or 1 in 100,000 well-years Steam Injectors</t>
  </si>
  <si>
    <t>Prob. of failure</t>
  </si>
  <si>
    <t>Oil Producers/Observation wells</t>
  </si>
  <si>
    <t>Blow out rate is 1 in several 175,000 well-years Oil Producers/Observation Wells</t>
  </si>
  <si>
    <t>from section 4.3</t>
  </si>
  <si>
    <t>Prob. of failure (ageing)</t>
  </si>
  <si>
    <t>No information on flow rates. Although the term blowout is used, other references have shown limited volumes in abandoned well blowouts, assume minor. Active wells, assume higher flow rates, minor or moderate.
Post 2000 data most relevant to future UK storage as improved cementing practices will be deployed.</t>
  </si>
  <si>
    <t>Sandl et al 2021</t>
  </si>
  <si>
    <t>Stats on gas migration for oil &amp; gas wells in BC, USA
Provides data for gas migration from 25,000 wells in BC, Canada.</t>
  </si>
  <si>
    <t xml:space="preserve">Active wells are 86 oo 10858 </t>
  </si>
  <si>
    <t>From Fig 3</t>
  </si>
  <si>
    <t>Abandoned wells are  9 oo 7064</t>
  </si>
  <si>
    <t>Most likely shallow gas, so not from reservior</t>
  </si>
  <si>
    <t>2 out of 1456 wells in Jean Marie Area had a blow out (20 years history)</t>
  </si>
  <si>
    <t>From Section 4.5.3</t>
  </si>
  <si>
    <t>No info on flow rates; assume moderate or major.</t>
  </si>
  <si>
    <t>No wells in survey</t>
  </si>
  <si>
    <t>No wells with leaks</t>
  </si>
  <si>
    <t>Operating gas storage wells, frequency of failure</t>
  </si>
  <si>
    <t>From Fig 22
Leak Rates reported (not full sample)</t>
  </si>
  <si>
    <t>Leak rate (1000 scf/d)</t>
  </si>
  <si>
    <t>Equiv T CO2 /day</t>
  </si>
  <si>
    <t>% sample</t>
  </si>
  <si>
    <t>0-5</t>
  </si>
  <si>
    <t>0-0.26</t>
  </si>
  <si>
    <t xml:space="preserve"> 5 - 25</t>
  </si>
  <si>
    <t xml:space="preserve"> 0.26 - 1.3</t>
  </si>
  <si>
    <t xml:space="preserve"> 25 - 100</t>
  </si>
  <si>
    <t xml:space="preserve"> 1.3 - 5.2</t>
  </si>
  <si>
    <t xml:space="preserve"> 100 - 250</t>
  </si>
  <si>
    <t xml:space="preserve"> 5.2 - 13</t>
  </si>
  <si>
    <t>&gt;250</t>
  </si>
  <si>
    <t>&gt;13</t>
  </si>
  <si>
    <t>Majority</t>
  </si>
  <si>
    <t>&lt; 1 T/d</t>
  </si>
  <si>
    <t>~ 80%</t>
  </si>
  <si>
    <t>Remainder</t>
  </si>
  <si>
    <t>1 - 50 T/d</t>
  </si>
  <si>
    <t>~ 20%</t>
  </si>
  <si>
    <t>Green cells indicate primary data for comparison
Other cells only used where the data source provides subset data only.</t>
  </si>
  <si>
    <t xml:space="preserve">Environmental Risk Arising From Well Construction Failure: Difference 
Between Barrier and Well Failure, and Estimates of Failure Frequency 
Across Common Well Types, Locations and Well Age </t>
  </si>
  <si>
    <t>Single barrier probability of failure</t>
  </si>
  <si>
    <t>Mechanical leaks only</t>
  </si>
  <si>
    <t>Mechanical and cement failures</t>
  </si>
  <si>
    <t>Using information from Table 4</t>
  </si>
  <si>
    <t>Using information from Table 5</t>
  </si>
  <si>
    <t>Using information from Table 6</t>
  </si>
  <si>
    <t>Using information from Table 7</t>
  </si>
  <si>
    <t>No time period for the failures - assume 35 years (1975-2010)</t>
  </si>
  <si>
    <t>GOM</t>
  </si>
  <si>
    <t>NS NOR</t>
  </si>
  <si>
    <t>NS UK</t>
  </si>
  <si>
    <t>1. mechanical</t>
  </si>
  <si>
    <t>Total %</t>
  </si>
  <si>
    <t>Probability of failure</t>
  </si>
  <si>
    <t>Avge NS</t>
  </si>
  <si>
    <t>2. Cement/formation</t>
  </si>
  <si>
    <t>3. Overall</t>
  </si>
  <si>
    <t>Ian J. Duncan, Jean-Philippe Nicot, and Jong-Won Choi</t>
  </si>
  <si>
    <t>Discussion on CO2 blowouts</t>
  </si>
  <si>
    <t>1. World's only CO2 production blowout at Sheep Mountain CO2 production, southern Colorado facility in 1982</t>
  </si>
  <si>
    <t>Lasted from March 17 to April 3 1982 - 17 days</t>
  </si>
  <si>
    <t xml:space="preserve">Flow rate </t>
  </si>
  <si>
    <t>mmscf/d</t>
  </si>
  <si>
    <t>tonne CO2 = mmscf</t>
  </si>
  <si>
    <t xml:space="preserve">Needed special draging brine + mud to eventually kill the well. </t>
  </si>
  <si>
    <t>2. EOR CO2 injection experience (35 years experience in US)</t>
  </si>
  <si>
    <t>years</t>
  </si>
  <si>
    <t>CO2 injection well blowouts/loss of control typical flow rate 1-10 mmscf/d</t>
  </si>
  <si>
    <t>Moderate Leak</t>
  </si>
  <si>
    <t>Company A - 7 blowouts in 5 years</t>
  </si>
  <si>
    <t>Company B - 5 blowouts in 5 years</t>
  </si>
  <si>
    <t>Company C - 12 blowouts in 10 years</t>
  </si>
  <si>
    <t>In general every company experiences about 1 blowout/year. But no info on population of wells or companies.</t>
  </si>
  <si>
    <t>Duncan et. al</t>
  </si>
  <si>
    <t>Jerry Blackford, Guttorm Alendal , Helge Avlesen , Ashley Brereton , Pierre W. Cazenave , Baixin Chen , Marius Deware , Jason Holt , Jack Phelps</t>
  </si>
  <si>
    <t>Modelling impact of various sizes of CO2 leak on seabed and how easily detected by reduction in Ph.</t>
  </si>
  <si>
    <t>1 tonne/d detectable 60m away</t>
  </si>
  <si>
    <t>30 tonne/d detectable 660m away</t>
  </si>
  <si>
    <t>1MT/d detectable 7.8km away.</t>
  </si>
  <si>
    <t>Typical estimates of leak rates (from literature):</t>
  </si>
  <si>
    <t xml:space="preserve">1. CO2 leaks from abandoned wells: </t>
  </si>
  <si>
    <t>3E10-6</t>
  </si>
  <si>
    <t>tonne/d</t>
  </si>
  <si>
    <t>minimum</t>
  </si>
  <si>
    <t>maximum</t>
  </si>
  <si>
    <t>2. EOR experience injection wells:</t>
  </si>
  <si>
    <t>3. Absolute maximum possible leak rate:</t>
  </si>
  <si>
    <t>Based on Sleipner injection rate</t>
  </si>
  <si>
    <t>No information of probabilities associated with leak rates.</t>
  </si>
  <si>
    <t>Blackford et. al.</t>
  </si>
  <si>
    <t xml:space="preserve">Open Access License </t>
  </si>
  <si>
    <t>Dylan R. Harp, Rajesh Pawar, Carl W. Gable</t>
  </si>
  <si>
    <t>-Leakage to the aquifer and atmosphere are small fractions of the total injected CO2 (&lt; 0.001 after 50
years), well within acceptable limits of 0.1% per year [Pruess]
-Leakage of CO2 and brine only increases significantly if the wellbore permeability is extremely high
(10E-12 m2) and the thief zone permeability is extremely low (10E-18 m2)
- A cement seal below the thief zone with a permeability of at least 10E-16 m2 prevents any flow up the wellbore</t>
  </si>
  <si>
    <t>Safe Storage of CO2 from the Natural Gas Storage Industry</t>
  </si>
  <si>
    <t>Uses data from Natural Gas Storage Industry as analogue for CO2 
Page v: NL blow out frequency from production wells 5x10-5 per well year
Page 1: Underground gas storage leakage incident frequency 2.02x10-5
Page 3.38: 2.02x10-5 per well-yr for a significant loss of CO2/5.1x10-5 for an average CO2 loss
see table 3.11: includes reported caprock leakage</t>
  </si>
  <si>
    <t>A Review of Natural CO2 occurences and releases and their relevance to CO2 storage</t>
  </si>
  <si>
    <t>The figure of 2.02e-5 is based on incidents including non-well related ones, if well related only are included:</t>
  </si>
  <si>
    <t>incidents</t>
  </si>
  <si>
    <t>well years</t>
  </si>
  <si>
    <t xml:space="preserve">Major Leak </t>
  </si>
  <si>
    <t>incident on an abandoned well</t>
  </si>
  <si>
    <t>23rd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</si>
</sst>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0%"/>
    <numFmt numFmtId="165" formatCode="0.000%"/>
    <numFmt numFmtId="166" formatCode="0.0000%"/>
    <numFmt numFmtId="167" formatCode="0.0"/>
    <numFmt numFmtId="168" formatCode="0.000000"/>
    <numFmt numFmtId="169" formatCode="0.0%"/>
    <numFmt numFmtId="170" formatCode="0.0000"/>
    <numFmt numFmtId="171" formatCode="0.000"/>
    <numFmt numFmtId="172" formatCode="0.0E+00"/>
    <numFmt numFmtId="173" formatCode="0.0000E+00"/>
  </numFmts>
  <fonts count="41" x14ac:knownFonts="1">
    <font>
      <sz val="11"/>
      <color theme="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u/>
      <sz val="11"/>
      <color theme="10"/>
      <name val="Calibri"/>
      <family val="2"/>
      <scheme val="minor"/>
    </font>
    <font>
      <b/>
      <sz val="11"/>
      <color rgb="FFFF0000"/>
      <name val="Calibri"/>
      <family val="2"/>
      <scheme val="minor"/>
    </font>
    <font>
      <sz val="11"/>
      <color rgb="FF000000"/>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name val="Calibri"/>
      <family val="2"/>
    </font>
    <font>
      <b/>
      <sz val="11"/>
      <name val="Calibri"/>
      <family val="2"/>
      <scheme val="minor"/>
    </font>
    <font>
      <sz val="10"/>
      <color theme="1"/>
      <name val="Calibri"/>
      <family val="2"/>
      <scheme val="minor"/>
    </font>
    <font>
      <b/>
      <sz val="11"/>
      <color rgb="FF757171"/>
      <name val="Calibri"/>
      <family val="2"/>
      <scheme val="minor"/>
    </font>
    <font>
      <sz val="11"/>
      <color rgb="FF757171"/>
      <name val="Calibri"/>
      <family val="2"/>
      <scheme val="minor"/>
    </font>
    <font>
      <sz val="9"/>
      <color theme="1"/>
      <name val="Calibri"/>
      <family val="2"/>
      <scheme val="minor"/>
    </font>
    <font>
      <sz val="8"/>
      <name val="Calibri"/>
      <family val="2"/>
      <scheme val="minor"/>
    </font>
    <font>
      <b/>
      <sz val="11"/>
      <color rgb="FFAEAAAA"/>
      <name val="Calibri"/>
      <family val="2"/>
    </font>
    <font>
      <sz val="11"/>
      <color rgb="FFAEAAAA"/>
      <name val="Calibri"/>
      <family val="2"/>
    </font>
    <font>
      <sz val="14"/>
      <color theme="1"/>
      <name val="Calibri"/>
      <family val="2"/>
      <scheme val="minor"/>
    </font>
    <font>
      <sz val="16"/>
      <color theme="1"/>
      <name val="Calibri"/>
      <family val="2"/>
      <scheme val="minor"/>
    </font>
    <font>
      <b/>
      <sz val="16"/>
      <color theme="1"/>
      <name val="Calibri"/>
      <family val="2"/>
      <scheme val="minor"/>
    </font>
    <font>
      <sz val="16"/>
      <name val="Calibri"/>
      <family val="2"/>
      <scheme val="minor"/>
    </font>
    <font>
      <sz val="11"/>
      <color theme="1"/>
      <name val="Calibri"/>
      <family val="2"/>
    </font>
    <font>
      <sz val="11"/>
      <color theme="9" tint="-0.499984740745262"/>
      <name val="Calibri"/>
      <family val="2"/>
      <scheme val="minor"/>
    </font>
    <font>
      <sz val="11"/>
      <color rgb="FF00B050"/>
      <name val="Calibri"/>
      <family val="2"/>
      <scheme val="minor"/>
    </font>
    <font>
      <b/>
      <sz val="14"/>
      <color rgb="FF0070C0"/>
      <name val="Calibri"/>
      <family val="2"/>
      <scheme val="minor"/>
    </font>
    <font>
      <b/>
      <sz val="14"/>
      <color theme="1"/>
      <name val="Calibri"/>
      <family val="2"/>
      <scheme val="minor"/>
    </font>
    <font>
      <sz val="11"/>
      <color rgb="FFE31C3D"/>
      <name val="Calibri"/>
      <family val="2"/>
      <scheme val="minor"/>
    </font>
    <font>
      <sz val="11"/>
      <color rgb="FF4C2C92"/>
      <name val="Calibri"/>
      <family val="2"/>
      <scheme val="minor"/>
    </font>
    <font>
      <sz val="11"/>
      <color rgb="FFCD2026"/>
      <name val="Calibri"/>
      <family val="2"/>
      <scheme val="minor"/>
    </font>
    <font>
      <sz val="12"/>
      <color rgb="FFCD2026"/>
      <name val="Calibri"/>
      <family val="2"/>
      <scheme val="minor"/>
    </font>
    <font>
      <b/>
      <sz val="12"/>
      <name val="Arial"/>
      <family val="2"/>
    </font>
    <font>
      <sz val="12"/>
      <name val="Arial"/>
      <family val="2"/>
    </font>
    <font>
      <sz val="26"/>
      <color rgb="FF041E42"/>
      <name val="Arial"/>
      <family val="2"/>
    </font>
    <font>
      <vertAlign val="subscript"/>
      <sz val="20.5"/>
      <color rgb="FF041E42"/>
      <name val="Arial"/>
      <family val="2"/>
    </font>
    <font>
      <sz val="12"/>
      <color theme="1"/>
      <name val="Arial"/>
      <family val="2"/>
    </font>
    <font>
      <b/>
      <sz val="11"/>
      <color rgb="FF000000"/>
      <name val="Calibri"/>
      <family val="2"/>
      <scheme val="minor"/>
    </font>
    <font>
      <sz val="11"/>
      <color theme="1"/>
      <name val="Calibri"/>
      <family val="2"/>
    </font>
    <font>
      <sz val="11"/>
      <color rgb="FFFF0000"/>
      <name val="Calibri"/>
      <family val="2"/>
    </font>
    <font>
      <sz val="11"/>
      <color rgb="FF444444"/>
      <name val="Calibri"/>
      <family val="2"/>
      <charset val="1"/>
    </font>
  </fonts>
  <fills count="23">
    <fill>
      <patternFill patternType="none"/>
    </fill>
    <fill>
      <patternFill patternType="gray125"/>
    </fill>
    <fill>
      <patternFill patternType="solid">
        <fgColor rgb="FFE2EFDA"/>
        <bgColor indexed="64"/>
      </patternFill>
    </fill>
    <fill>
      <patternFill patternType="solid">
        <fgColor rgb="FF92D05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FFFF"/>
        <bgColor indexed="64"/>
      </patternFill>
    </fill>
    <fill>
      <patternFill patternType="solid">
        <fgColor rgb="FFFFE6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E7F4E4"/>
        <bgColor indexed="64"/>
      </patternFill>
    </fill>
    <fill>
      <patternFill patternType="solid">
        <fgColor rgb="FFF9DEDE"/>
        <bgColor indexed="64"/>
      </patternFill>
    </fill>
    <fill>
      <patternFill patternType="solid">
        <fgColor rgb="FFFDB81E"/>
        <bgColor indexed="64"/>
      </patternFill>
    </fill>
    <fill>
      <patternFill patternType="solid">
        <fgColor rgb="FFE2EFDA"/>
        <bgColor rgb="FF000000"/>
      </patternFill>
    </fill>
    <fill>
      <patternFill patternType="solid">
        <fgColor rgb="FFFFC0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rgb="FF000000"/>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style="medium">
        <color indexed="64"/>
      </right>
      <top/>
      <bottom style="thin">
        <color rgb="FF000000"/>
      </bottom>
      <diagonal/>
    </border>
    <border>
      <left style="thin">
        <color indexed="64"/>
      </left>
      <right/>
      <top/>
      <bottom/>
      <diagonal/>
    </border>
    <border>
      <left style="thin">
        <color indexed="64"/>
      </left>
      <right/>
      <top style="thin">
        <color indexed="64"/>
      </top>
      <bottom style="medium">
        <color indexed="64"/>
      </bottom>
      <diagonal/>
    </border>
    <border>
      <left/>
      <right style="thin">
        <color rgb="FF000000"/>
      </right>
      <top/>
      <bottom style="thin">
        <color rgb="FF000000"/>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bottom style="medium">
        <color rgb="FFBFBFBF"/>
      </bottom>
      <diagonal/>
    </border>
    <border>
      <left style="thin">
        <color rgb="FF000000"/>
      </left>
      <right style="medium">
        <color rgb="FFBFBFBF"/>
      </right>
      <top style="thin">
        <color rgb="FF000000"/>
      </top>
      <bottom style="medium">
        <color rgb="FFBFBFBF"/>
      </bottom>
      <diagonal/>
    </border>
    <border>
      <left style="medium">
        <color rgb="FFBFBFBF"/>
      </left>
      <right style="medium">
        <color rgb="FFBFBFBF"/>
      </right>
      <top style="thin">
        <color rgb="FF000000"/>
      </top>
      <bottom style="medium">
        <color rgb="FFBFBFBF"/>
      </bottom>
      <diagonal/>
    </border>
    <border>
      <left style="thin">
        <color rgb="FF000000"/>
      </left>
      <right style="medium">
        <color rgb="FFBFBFBF"/>
      </right>
      <top style="medium">
        <color rgb="FFBFBFBF"/>
      </top>
      <bottom style="medium">
        <color rgb="FFBFBFBF"/>
      </bottom>
      <diagonal/>
    </border>
    <border>
      <left style="thin">
        <color rgb="FF000000"/>
      </left>
      <right style="medium">
        <color rgb="FFBFBFBF"/>
      </right>
      <top style="medium">
        <color rgb="FFBFBFBF"/>
      </top>
      <bottom/>
      <diagonal/>
    </border>
    <border>
      <left style="thin">
        <color rgb="FF000000"/>
      </left>
      <right style="medium">
        <color rgb="FFBFBFBF"/>
      </right>
      <top/>
      <bottom/>
      <diagonal/>
    </border>
    <border>
      <left style="thin">
        <color rgb="FF000000"/>
      </left>
      <right style="medium">
        <color rgb="FFBFBFBF"/>
      </right>
      <top/>
      <bottom style="medium">
        <color rgb="FFBFBFB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BFBFBF"/>
      </left>
      <right style="medium">
        <color rgb="FFBFBFBF"/>
      </right>
      <top style="medium">
        <color rgb="FFBFBFBF"/>
      </top>
      <bottom style="thin">
        <color rgb="FFBFBFBF"/>
      </bottom>
      <diagonal/>
    </border>
    <border>
      <left style="medium">
        <color rgb="FFBFBFBF"/>
      </left>
      <right style="medium">
        <color rgb="FFBFBFBF"/>
      </right>
      <top style="thin">
        <color rgb="FFBFBFBF"/>
      </top>
      <bottom style="thin">
        <color rgb="FFBFBFBF"/>
      </bottom>
      <diagonal/>
    </border>
    <border>
      <left style="medium">
        <color rgb="FFBFBFBF"/>
      </left>
      <right style="medium">
        <color rgb="FFBFBFBF"/>
      </right>
      <top style="thin">
        <color rgb="FFBFBFBF"/>
      </top>
      <bottom style="medium">
        <color rgb="FFBFBFBF"/>
      </bottom>
      <diagonal/>
    </border>
  </borders>
  <cellStyleXfs count="3">
    <xf numFmtId="0" fontId="0" fillId="0" borderId="0"/>
    <xf numFmtId="0" fontId="4" fillId="0" borderId="0" applyNumberFormat="0" applyFill="0" applyBorder="0" applyAlignment="0" applyProtection="0"/>
    <xf numFmtId="9" fontId="7" fillId="0" borderId="0" applyFont="0" applyFill="0" applyBorder="0" applyAlignment="0" applyProtection="0"/>
  </cellStyleXfs>
  <cellXfs count="531">
    <xf numFmtId="0" fontId="0" fillId="0" borderId="0" xfId="0"/>
    <xf numFmtId="0" fontId="0" fillId="0" borderId="0" xfId="0" applyAlignment="1">
      <alignment horizontal="center"/>
    </xf>
    <xf numFmtId="0" fontId="1" fillId="0" borderId="0" xfId="0" applyFont="1"/>
    <xf numFmtId="0" fontId="3" fillId="0" borderId="0" xfId="0" applyFont="1"/>
    <xf numFmtId="0" fontId="0" fillId="0" borderId="0" xfId="0" applyAlignment="1">
      <alignment horizontal="center" vertical="center"/>
    </xf>
    <xf numFmtId="0" fontId="4" fillId="0" borderId="0" xfId="1"/>
    <xf numFmtId="0" fontId="6" fillId="0" borderId="0" xfId="0" applyFont="1"/>
    <xf numFmtId="0" fontId="1" fillId="0" borderId="0" xfId="0" applyFont="1" applyAlignment="1">
      <alignment wrapText="1"/>
    </xf>
    <xf numFmtId="0" fontId="0" fillId="0" borderId="0" xfId="0" applyAlignment="1">
      <alignment wrapText="1"/>
    </xf>
    <xf numFmtId="0" fontId="6" fillId="0" borderId="0" xfId="0" applyFont="1" applyAlignment="1">
      <alignment wrapText="1"/>
    </xf>
    <xf numFmtId="0" fontId="0" fillId="2" borderId="0" xfId="0" applyFill="1"/>
    <xf numFmtId="0" fontId="1" fillId="3" borderId="0" xfId="0" applyFont="1" applyFill="1" applyAlignment="1">
      <alignment horizontal="center" vertical="center" textRotation="90" wrapText="1"/>
    </xf>
    <xf numFmtId="0" fontId="5" fillId="0" borderId="0" xfId="0" applyFont="1"/>
    <xf numFmtId="0" fontId="0" fillId="0" borderId="0" xfId="0" applyAlignment="1">
      <alignment horizontal="left"/>
    </xf>
    <xf numFmtId="0" fontId="8" fillId="0" borderId="0" xfId="0" applyFont="1"/>
    <xf numFmtId="0" fontId="1" fillId="4" borderId="0" xfId="0" applyFont="1" applyFill="1" applyAlignment="1">
      <alignment horizontal="center" vertical="center" textRotation="90" wrapText="1"/>
    </xf>
    <xf numFmtId="0" fontId="1" fillId="0" borderId="0" xfId="0" applyFont="1" applyAlignment="1">
      <alignment horizontal="center" wrapText="1"/>
    </xf>
    <xf numFmtId="10" fontId="0" fillId="0" borderId="0" xfId="0" applyNumberFormat="1" applyAlignment="1">
      <alignment horizontal="center" vertical="center"/>
    </xf>
    <xf numFmtId="164" fontId="0" fillId="0" borderId="0" xfId="2" applyNumberFormat="1" applyFont="1"/>
    <xf numFmtId="0" fontId="0" fillId="0" borderId="0" xfId="0" applyAlignment="1">
      <alignment horizontal="left" vertical="center" wrapText="1"/>
    </xf>
    <xf numFmtId="165" fontId="0" fillId="0" borderId="0" xfId="0" applyNumberFormat="1" applyAlignment="1">
      <alignment horizontal="center" vertical="center"/>
    </xf>
    <xf numFmtId="0" fontId="0" fillId="0" borderId="0" xfId="0" applyAlignment="1">
      <alignment horizontal="center" vertical="center" wrapText="1"/>
    </xf>
    <xf numFmtId="0" fontId="1" fillId="0" borderId="0" xfId="0" applyFont="1"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164" fontId="0" fillId="0" borderId="0" xfId="0" applyNumberFormat="1" applyAlignment="1">
      <alignment horizontal="center" vertical="center" wrapText="1"/>
    </xf>
    <xf numFmtId="164" fontId="0" fillId="0" borderId="0" xfId="0" applyNumberFormat="1" applyAlignment="1">
      <alignment horizontal="center" vertical="center"/>
    </xf>
    <xf numFmtId="0" fontId="0" fillId="0" borderId="0" xfId="0" quotePrefix="1" applyAlignment="1">
      <alignment horizontal="left"/>
    </xf>
    <xf numFmtId="0" fontId="0" fillId="0" borderId="1" xfId="0" applyBorder="1"/>
    <xf numFmtId="0" fontId="0" fillId="0" borderId="5" xfId="0" applyBorder="1"/>
    <xf numFmtId="0" fontId="0" fillId="0" borderId="6" xfId="0" applyBorder="1"/>
    <xf numFmtId="0" fontId="0" fillId="0" borderId="0" xfId="0" quotePrefix="1" applyAlignment="1">
      <alignment wrapText="1"/>
    </xf>
    <xf numFmtId="0" fontId="0" fillId="0" borderId="0" xfId="0" applyAlignment="1">
      <alignment horizontal="left" vertical="top" wrapText="1"/>
    </xf>
    <xf numFmtId="0" fontId="0" fillId="0" borderId="15" xfId="0" applyBorder="1" applyAlignment="1">
      <alignment horizontal="center" vertical="center" wrapText="1"/>
    </xf>
    <xf numFmtId="0" fontId="0" fillId="2" borderId="15" xfId="0" applyFill="1" applyBorder="1" applyAlignment="1">
      <alignment horizontal="center" vertical="center" wrapText="1"/>
    </xf>
    <xf numFmtId="0" fontId="0" fillId="2" borderId="1" xfId="0" applyFill="1" applyBorder="1"/>
    <xf numFmtId="0" fontId="0" fillId="2" borderId="5" xfId="0" applyFill="1" applyBorder="1"/>
    <xf numFmtId="0" fontId="0" fillId="0" borderId="15" xfId="0" applyBorder="1" applyAlignment="1">
      <alignment vertical="center" wrapText="1"/>
    </xf>
    <xf numFmtId="0" fontId="0" fillId="2" borderId="15" xfId="0" applyFill="1" applyBorder="1" applyAlignment="1">
      <alignment vertical="center" wrapText="1"/>
    </xf>
    <xf numFmtId="0" fontId="0" fillId="0" borderId="23" xfId="0" applyBorder="1" applyAlignment="1">
      <alignment horizontal="center" vertical="center" wrapText="1"/>
    </xf>
    <xf numFmtId="0" fontId="0" fillId="2" borderId="23" xfId="0" applyFill="1" applyBorder="1" applyAlignment="1">
      <alignment horizontal="center" vertical="center" wrapText="1"/>
    </xf>
    <xf numFmtId="0" fontId="0" fillId="0" borderId="23" xfId="0" applyBorder="1" applyAlignment="1">
      <alignment vertical="center" wrapText="1"/>
    </xf>
    <xf numFmtId="0" fontId="0" fillId="2" borderId="23" xfId="0" applyFill="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16" fontId="0" fillId="0" borderId="15" xfId="0" applyNumberFormat="1" applyBorder="1" applyAlignment="1">
      <alignment horizontal="center" vertical="center" wrapText="1"/>
    </xf>
    <xf numFmtId="0" fontId="13" fillId="0" borderId="0" xfId="0" applyFont="1" applyAlignment="1">
      <alignment wrapText="1"/>
    </xf>
    <xf numFmtId="0" fontId="14" fillId="0" borderId="0" xfId="0" applyFont="1"/>
    <xf numFmtId="0" fontId="14" fillId="0" borderId="0" xfId="0" applyFont="1" applyAlignment="1">
      <alignment horizontal="center"/>
    </xf>
    <xf numFmtId="166" fontId="0" fillId="0" borderId="0" xfId="0" applyNumberFormat="1" applyAlignment="1">
      <alignment horizontal="center" vertical="center"/>
    </xf>
    <xf numFmtId="0" fontId="0" fillId="0" borderId="1" xfId="0" applyBorder="1" applyAlignment="1">
      <alignment horizontal="center" vertical="center"/>
    </xf>
    <xf numFmtId="0" fontId="0" fillId="8" borderId="15" xfId="0" applyFill="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2" borderId="15" xfId="0" applyFont="1" applyFill="1" applyBorder="1" applyAlignment="1">
      <alignment horizontal="center" vertical="center" wrapText="1"/>
    </xf>
    <xf numFmtId="11" fontId="0" fillId="0" borderId="0" xfId="0" applyNumberFormat="1" applyAlignment="1">
      <alignment horizontal="center"/>
    </xf>
    <xf numFmtId="0" fontId="15" fillId="8" borderId="15" xfId="0" applyFont="1" applyFill="1" applyBorder="1" applyAlignment="1">
      <alignment horizontal="center" vertical="center" wrapText="1"/>
    </xf>
    <xf numFmtId="11" fontId="0" fillId="2" borderId="15" xfId="0" applyNumberFormat="1" applyFill="1" applyBorder="1" applyAlignment="1">
      <alignment horizontal="center" vertical="center" wrapText="1"/>
    </xf>
    <xf numFmtId="11" fontId="0" fillId="0" borderId="15" xfId="0" applyNumberFormat="1" applyBorder="1" applyAlignment="1">
      <alignment horizontal="center" vertical="center" wrapText="1"/>
    </xf>
    <xf numFmtId="11" fontId="0" fillId="8" borderId="15" xfId="0" applyNumberFormat="1" applyFill="1" applyBorder="1" applyAlignment="1">
      <alignment horizontal="center" vertical="center" wrapText="1"/>
    </xf>
    <xf numFmtId="0" fontId="0" fillId="0" borderId="34" xfId="0" applyBorder="1" applyAlignment="1">
      <alignment horizontal="center" vertical="center" wrapText="1"/>
    </xf>
    <xf numFmtId="0" fontId="0" fillId="2" borderId="34" xfId="0" applyFill="1" applyBorder="1" applyAlignment="1">
      <alignment horizontal="center" vertical="center" wrapText="1"/>
    </xf>
    <xf numFmtId="0" fontId="0" fillId="0" borderId="34" xfId="0" applyBorder="1" applyAlignment="1">
      <alignment vertical="center" wrapText="1"/>
    </xf>
    <xf numFmtId="0" fontId="0" fillId="0" borderId="36" xfId="0" applyBorder="1" applyAlignment="1">
      <alignment horizontal="center" vertical="center" wrapText="1"/>
    </xf>
    <xf numFmtId="0" fontId="15" fillId="0" borderId="36" xfId="0" applyFont="1" applyBorder="1" applyAlignment="1">
      <alignment horizontal="center" vertical="center" wrapText="1"/>
    </xf>
    <xf numFmtId="0" fontId="0" fillId="0" borderId="37" xfId="0" applyBorder="1" applyAlignment="1">
      <alignment horizontal="center" vertical="center" wrapText="1"/>
    </xf>
    <xf numFmtId="0" fontId="0" fillId="2" borderId="1" xfId="0" applyFill="1" applyBorder="1" applyAlignment="1">
      <alignment horizontal="center" vertical="center" wrapText="1"/>
    </xf>
    <xf numFmtId="0" fontId="15" fillId="0" borderId="1" xfId="0" applyFont="1" applyBorder="1" applyAlignment="1">
      <alignment horizontal="center" vertical="center" wrapText="1"/>
    </xf>
    <xf numFmtId="0" fontId="15" fillId="8" borderId="1" xfId="0" applyFont="1" applyFill="1" applyBorder="1" applyAlignment="1">
      <alignment horizontal="center" vertical="center" wrapText="1"/>
    </xf>
    <xf numFmtId="0" fontId="0" fillId="0" borderId="1" xfId="0" applyBorder="1" applyAlignment="1">
      <alignment horizontal="left" vertical="center"/>
    </xf>
    <xf numFmtId="0" fontId="0" fillId="2" borderId="1" xfId="0" applyFill="1" applyBorder="1" applyAlignment="1">
      <alignment horizontal="left" vertical="center" wrapText="1"/>
    </xf>
    <xf numFmtId="0" fontId="0" fillId="2" borderId="1" xfId="0" applyFill="1" applyBorder="1" applyAlignment="1">
      <alignment vertical="center" wrapText="1"/>
    </xf>
    <xf numFmtId="16" fontId="0" fillId="0" borderId="1" xfId="0" applyNumberFormat="1" applyBorder="1" applyAlignment="1">
      <alignment horizontal="center" vertical="center" wrapText="1"/>
    </xf>
    <xf numFmtId="0" fontId="0" fillId="0" borderId="1" xfId="0" applyBorder="1" applyAlignment="1">
      <alignment vertical="center" wrapText="1"/>
    </xf>
    <xf numFmtId="0" fontId="0" fillId="6" borderId="1" xfId="0" applyFill="1" applyBorder="1" applyAlignment="1">
      <alignment horizontal="left" vertical="center"/>
    </xf>
    <xf numFmtId="11" fontId="0" fillId="6" borderId="15" xfId="0" applyNumberFormat="1" applyFill="1" applyBorder="1" applyAlignment="1">
      <alignment horizontal="center" vertical="center" wrapText="1"/>
    </xf>
    <xf numFmtId="169" fontId="0" fillId="0" borderId="0" xfId="0" applyNumberFormat="1"/>
    <xf numFmtId="0" fontId="0" fillId="0" borderId="0" xfId="0" quotePrefix="1" applyAlignment="1">
      <alignment horizontal="left" vertical="top" wrapText="1"/>
    </xf>
    <xf numFmtId="0" fontId="0" fillId="0" borderId="0" xfId="0" applyAlignment="1">
      <alignment vertical="top" wrapText="1"/>
    </xf>
    <xf numFmtId="0" fontId="0" fillId="8" borderId="1" xfId="0" applyFill="1" applyBorder="1" applyAlignment="1">
      <alignment horizontal="center" vertical="center" wrapText="1"/>
    </xf>
    <xf numFmtId="11" fontId="0" fillId="8" borderId="18" xfId="0" applyNumberFormat="1" applyFill="1" applyBorder="1" applyAlignment="1">
      <alignment vertical="center" wrapText="1"/>
    </xf>
    <xf numFmtId="11" fontId="0" fillId="8" borderId="33" xfId="0" applyNumberFormat="1" applyFill="1" applyBorder="1" applyAlignment="1">
      <alignment vertical="center" wrapText="1"/>
    </xf>
    <xf numFmtId="0" fontId="0" fillId="0" borderId="39" xfId="0" applyBorder="1" applyAlignment="1">
      <alignment horizontal="center" vertical="center" wrapText="1"/>
    </xf>
    <xf numFmtId="0" fontId="15" fillId="0" borderId="16" xfId="0" applyFont="1" applyBorder="1" applyAlignment="1">
      <alignment horizontal="center" vertical="center" wrapText="1"/>
    </xf>
    <xf numFmtId="11" fontId="0" fillId="8" borderId="1" xfId="0" applyNumberFormat="1" applyFill="1" applyBorder="1" applyAlignment="1">
      <alignment vertical="center" wrapText="1"/>
    </xf>
    <xf numFmtId="2" fontId="0" fillId="0" borderId="15" xfId="0" applyNumberFormat="1" applyBorder="1" applyAlignment="1">
      <alignment horizontal="center" vertical="center" wrapText="1"/>
    </xf>
    <xf numFmtId="3" fontId="0" fillId="0" borderId="0" xfId="0" applyNumberFormat="1"/>
    <xf numFmtId="2" fontId="0" fillId="0" borderId="0" xfId="0" applyNumberFormat="1"/>
    <xf numFmtId="11" fontId="0" fillId="0" borderId="0" xfId="0" applyNumberFormat="1"/>
    <xf numFmtId="0" fontId="0" fillId="8" borderId="23" xfId="0" applyFill="1" applyBorder="1" applyAlignment="1">
      <alignment horizontal="center" vertical="center" wrapText="1"/>
    </xf>
    <xf numFmtId="11" fontId="0" fillId="0" borderId="15" xfId="0" applyNumberFormat="1" applyBorder="1" applyAlignment="1">
      <alignment vertical="center" wrapText="1"/>
    </xf>
    <xf numFmtId="11" fontId="0" fillId="0" borderId="25" xfId="0" applyNumberFormat="1" applyBorder="1" applyAlignment="1">
      <alignment vertical="center" wrapText="1"/>
    </xf>
    <xf numFmtId="0" fontId="0" fillId="0" borderId="28" xfId="0" applyBorder="1" applyAlignment="1">
      <alignment horizontal="center" vertical="center" wrapText="1"/>
    </xf>
    <xf numFmtId="11" fontId="0" fillId="8" borderId="1" xfId="0" applyNumberFormat="1" applyFill="1" applyBorder="1" applyAlignment="1">
      <alignment horizontal="center" vertical="center"/>
    </xf>
    <xf numFmtId="0" fontId="0" fillId="0" borderId="0" xfId="0" applyAlignment="1">
      <alignment horizontal="left" vertical="center"/>
    </xf>
    <xf numFmtId="9" fontId="0" fillId="0" borderId="0" xfId="0" applyNumberFormat="1" applyAlignment="1">
      <alignment horizontal="center" vertical="center" wrapText="1"/>
    </xf>
    <xf numFmtId="11" fontId="0" fillId="8" borderId="40" xfId="0" applyNumberFormat="1" applyFill="1" applyBorder="1" applyAlignment="1">
      <alignment horizontal="center" vertical="center" wrapText="1"/>
    </xf>
    <xf numFmtId="0" fontId="0" fillId="10" borderId="0" xfId="0"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xf numFmtId="0" fontId="20" fillId="0" borderId="1" xfId="0" applyFont="1" applyBorder="1" applyAlignment="1">
      <alignment horizontal="center" vertical="center"/>
    </xf>
    <xf numFmtId="0" fontId="20" fillId="0" borderId="0" xfId="0" applyFont="1" applyAlignment="1">
      <alignment horizontal="center" vertical="center"/>
    </xf>
    <xf numFmtId="0" fontId="20" fillId="0" borderId="0" xfId="0" applyFont="1"/>
    <xf numFmtId="11" fontId="20" fillId="0" borderId="1" xfId="0" applyNumberFormat="1" applyFont="1" applyBorder="1" applyAlignment="1">
      <alignment horizontal="center" vertical="center"/>
    </xf>
    <xf numFmtId="17" fontId="20" fillId="0" borderId="1" xfId="0" applyNumberFormat="1" applyFont="1" applyBorder="1" applyAlignment="1">
      <alignment horizontal="center" vertical="center"/>
    </xf>
    <xf numFmtId="2" fontId="0" fillId="8" borderId="1" xfId="0" applyNumberFormat="1" applyFill="1" applyBorder="1" applyAlignment="1">
      <alignment horizontal="center" vertical="center" wrapText="1"/>
    </xf>
    <xf numFmtId="2" fontId="0" fillId="0" borderId="1" xfId="0" applyNumberFormat="1" applyBorder="1" applyAlignment="1">
      <alignment horizontal="center" vertical="center" wrapText="1"/>
    </xf>
    <xf numFmtId="0" fontId="20" fillId="11"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20" fillId="15" borderId="1" xfId="0" applyFont="1" applyFill="1" applyBorder="1" applyAlignment="1">
      <alignment horizontal="center" vertical="center"/>
    </xf>
    <xf numFmtId="11" fontId="22" fillId="0" borderId="1" xfId="0" applyNumberFormat="1" applyFont="1" applyBorder="1" applyAlignment="1">
      <alignment horizontal="center" vertical="center"/>
    </xf>
    <xf numFmtId="0" fontId="15" fillId="0" borderId="28" xfId="0" applyFont="1" applyBorder="1" applyAlignment="1">
      <alignment horizontal="center" vertical="center" wrapText="1"/>
    </xf>
    <xf numFmtId="11" fontId="0" fillId="8" borderId="16" xfId="0" applyNumberFormat="1" applyFill="1" applyBorder="1" applyAlignment="1">
      <alignment horizontal="center" vertical="center" wrapText="1"/>
    </xf>
    <xf numFmtId="11" fontId="0" fillId="0" borderId="1" xfId="0" applyNumberFormat="1" applyBorder="1" applyAlignment="1">
      <alignment horizontal="center" vertical="center"/>
    </xf>
    <xf numFmtId="11" fontId="0" fillId="8" borderId="15" xfId="0" applyNumberFormat="1" applyFill="1" applyBorder="1" applyAlignment="1">
      <alignment vertical="center" wrapText="1"/>
    </xf>
    <xf numFmtId="10" fontId="0" fillId="0" borderId="0" xfId="0" applyNumberFormat="1"/>
    <xf numFmtId="0" fontId="23" fillId="0" borderId="0" xfId="0" applyFont="1" applyAlignment="1">
      <alignment horizontal="left" vertical="center" wrapText="1"/>
    </xf>
    <xf numFmtId="0" fontId="18" fillId="0" borderId="0" xfId="0" applyFont="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1" fontId="0" fillId="0" borderId="5" xfId="0" applyNumberForma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11"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2" borderId="34" xfId="0" applyFill="1" applyBorder="1" applyAlignment="1">
      <alignment horizontal="left" vertical="center" wrapText="1"/>
    </xf>
    <xf numFmtId="0" fontId="12" fillId="0" borderId="15" xfId="0" applyFont="1" applyBorder="1" applyAlignment="1">
      <alignment horizontal="center" vertical="center" wrapText="1"/>
    </xf>
    <xf numFmtId="0" fontId="12" fillId="8" borderId="15" xfId="0" applyFont="1" applyFill="1" applyBorder="1" applyAlignment="1">
      <alignment horizontal="center" vertical="center" wrapText="1"/>
    </xf>
    <xf numFmtId="11" fontId="0" fillId="6" borderId="15" xfId="0" quotePrefix="1" applyNumberFormat="1" applyFill="1" applyBorder="1" applyAlignment="1">
      <alignment horizontal="center" vertical="center" wrapText="1"/>
    </xf>
    <xf numFmtId="11" fontId="0" fillId="0" borderId="15" xfId="0" quotePrefix="1" applyNumberFormat="1" applyBorder="1" applyAlignment="1">
      <alignment horizontal="center" vertical="center" wrapText="1"/>
    </xf>
    <xf numFmtId="11" fontId="0" fillId="2" borderId="15" xfId="0" quotePrefix="1" applyNumberFormat="1" applyFill="1" applyBorder="1" applyAlignment="1">
      <alignment horizontal="center" vertical="center" wrapText="1"/>
    </xf>
    <xf numFmtId="2" fontId="0" fillId="8" borderId="1" xfId="0" quotePrefix="1" applyNumberFormat="1" applyFill="1" applyBorder="1" applyAlignment="1">
      <alignment horizontal="center" vertical="center" wrapText="1"/>
    </xf>
    <xf numFmtId="0" fontId="0" fillId="2" borderId="15" xfId="0" quotePrefix="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2" borderId="32" xfId="0" applyFill="1" applyBorder="1" applyAlignment="1">
      <alignment horizontal="center" vertical="center" wrapText="1"/>
    </xf>
    <xf numFmtId="0" fontId="0" fillId="2" borderId="32" xfId="0" quotePrefix="1" applyFill="1" applyBorder="1" applyAlignment="1">
      <alignment horizontal="center" vertical="center" wrapText="1"/>
    </xf>
    <xf numFmtId="0" fontId="0" fillId="2" borderId="34" xfId="0" applyFill="1" applyBorder="1" applyAlignment="1">
      <alignment vertical="center" wrapText="1"/>
    </xf>
    <xf numFmtId="0" fontId="0" fillId="2" borderId="6" xfId="0" applyFill="1" applyBorder="1"/>
    <xf numFmtId="0" fontId="0" fillId="0" borderId="7" xfId="0" applyBorder="1"/>
    <xf numFmtId="0" fontId="0" fillId="0" borderId="8" xfId="0" applyBorder="1"/>
    <xf numFmtId="0" fontId="0" fillId="0" borderId="9" xfId="0" applyBorder="1"/>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11" fontId="0" fillId="0" borderId="5" xfId="0" applyNumberFormat="1" applyBorder="1" applyAlignment="1">
      <alignment vertical="center" wrapText="1"/>
    </xf>
    <xf numFmtId="0" fontId="0" fillId="0" borderId="6" xfId="0" applyBorder="1" applyAlignment="1">
      <alignment vertical="center" wrapText="1"/>
    </xf>
    <xf numFmtId="11" fontId="0" fillId="8" borderId="5" xfId="0" applyNumberFormat="1" applyFill="1" applyBorder="1" applyAlignment="1">
      <alignment horizontal="center" vertical="center" wrapText="1"/>
    </xf>
    <xf numFmtId="0" fontId="0" fillId="8" borderId="6" xfId="0" applyFill="1" applyBorder="1" applyAlignment="1">
      <alignment horizontal="center" vertical="center" wrapText="1"/>
    </xf>
    <xf numFmtId="11" fontId="0" fillId="0" borderId="7" xfId="0" applyNumberForma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8" borderId="5" xfId="0" applyFill="1" applyBorder="1" applyAlignment="1">
      <alignment horizontal="center" vertical="center"/>
    </xf>
    <xf numFmtId="11" fontId="0" fillId="0" borderId="32" xfId="0" applyNumberFormat="1" applyBorder="1" applyAlignment="1">
      <alignment horizontal="center" vertical="center" wrapText="1"/>
    </xf>
    <xf numFmtId="11" fontId="0" fillId="0" borderId="32" xfId="0" applyNumberFormat="1" applyBorder="1" applyAlignment="1">
      <alignment vertical="center" wrapText="1"/>
    </xf>
    <xf numFmtId="0" fontId="0" fillId="8" borderId="34" xfId="0" applyFill="1" applyBorder="1" applyAlignment="1">
      <alignment horizontal="center" vertical="center" wrapText="1"/>
    </xf>
    <xf numFmtId="0" fontId="0" fillId="0" borderId="5" xfId="0" applyBorder="1" applyAlignment="1">
      <alignment horizontal="center" vertical="center"/>
    </xf>
    <xf numFmtId="11" fontId="0" fillId="0" borderId="35" xfId="0" applyNumberForma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11" fontId="0" fillId="8" borderId="5" xfId="0" applyNumberFormat="1" applyFill="1" applyBorder="1" applyAlignment="1">
      <alignment horizontal="center" vertical="center"/>
    </xf>
    <xf numFmtId="0" fontId="0" fillId="0" borderId="5" xfId="0" applyBorder="1" applyAlignment="1">
      <alignment vertical="center" wrapText="1"/>
    </xf>
    <xf numFmtId="0" fontId="0" fillId="0" borderId="7" xfId="0" applyBorder="1" applyAlignment="1">
      <alignment vertical="center" wrapText="1"/>
    </xf>
    <xf numFmtId="11" fontId="0" fillId="8" borderId="5" xfId="0" applyNumberFormat="1" applyFill="1" applyBorder="1" applyAlignment="1">
      <alignment vertical="center" wrapText="1"/>
    </xf>
    <xf numFmtId="11" fontId="0" fillId="8" borderId="6" xfId="0" applyNumberFormat="1" applyFill="1" applyBorder="1" applyAlignment="1">
      <alignment vertical="center" wrapText="1"/>
    </xf>
    <xf numFmtId="11" fontId="0" fillId="6" borderId="32" xfId="0" quotePrefix="1" applyNumberFormat="1" applyFill="1" applyBorder="1" applyAlignment="1">
      <alignment horizontal="center" vertical="center" wrapText="1"/>
    </xf>
    <xf numFmtId="11" fontId="0" fillId="6" borderId="5" xfId="0" applyNumberFormat="1" applyFill="1" applyBorder="1" applyAlignment="1">
      <alignment horizontal="center" vertical="center" wrapText="1"/>
    </xf>
    <xf numFmtId="0" fontId="0" fillId="0" borderId="7" xfId="0" applyBorder="1" applyAlignment="1">
      <alignment horizontal="center" vertical="center" wrapText="1"/>
    </xf>
    <xf numFmtId="0" fontId="15" fillId="0" borderId="8" xfId="0" applyFont="1" applyBorder="1" applyAlignment="1">
      <alignment horizontal="center" vertical="center" wrapText="1"/>
    </xf>
    <xf numFmtId="0" fontId="0" fillId="0" borderId="9" xfId="0" applyBorder="1" applyAlignment="1">
      <alignment horizontal="center" vertical="center" wrapText="1"/>
    </xf>
    <xf numFmtId="11" fontId="0" fillId="8" borderId="32" xfId="0" applyNumberFormat="1" applyFill="1" applyBorder="1" applyAlignment="1">
      <alignment horizontal="center" vertical="center" wrapText="1"/>
    </xf>
    <xf numFmtId="11" fontId="0" fillId="6" borderId="32" xfId="0" applyNumberFormat="1" applyFill="1" applyBorder="1" applyAlignment="1">
      <alignment horizontal="center" vertical="center" wrapText="1"/>
    </xf>
    <xf numFmtId="0" fontId="0" fillId="0" borderId="32" xfId="0" applyBorder="1" applyAlignment="1">
      <alignment vertical="center" wrapText="1"/>
    </xf>
    <xf numFmtId="0" fontId="0" fillId="0" borderId="43" xfId="0" applyBorder="1" applyAlignment="1">
      <alignment horizontal="center" vertical="center"/>
    </xf>
    <xf numFmtId="0" fontId="15" fillId="0" borderId="32" xfId="0" applyFont="1" applyBorder="1" applyAlignment="1">
      <alignment horizontal="center" vertical="center" wrapText="1"/>
    </xf>
    <xf numFmtId="11" fontId="0" fillId="8" borderId="32" xfId="0" applyNumberFormat="1" applyFill="1" applyBorder="1" applyAlignment="1">
      <alignment vertical="center" wrapText="1"/>
    </xf>
    <xf numFmtId="11" fontId="0" fillId="8" borderId="34" xfId="0" applyNumberFormat="1" applyFill="1" applyBorder="1" applyAlignment="1">
      <alignment vertical="center" wrapText="1"/>
    </xf>
    <xf numFmtId="11" fontId="0" fillId="8" borderId="48" xfId="0" applyNumberFormat="1" applyFill="1" applyBorder="1" applyAlignment="1">
      <alignment horizontal="center" vertical="center" wrapText="1"/>
    </xf>
    <xf numFmtId="11" fontId="0" fillId="0" borderId="43" xfId="0" applyNumberFormat="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2" borderId="6" xfId="0" applyFill="1" applyBorder="1" applyAlignment="1">
      <alignment horizontal="left" vertical="center"/>
    </xf>
    <xf numFmtId="0" fontId="0" fillId="2" borderId="32" xfId="0" applyFill="1" applyBorder="1" applyAlignment="1">
      <alignment vertical="center" wrapText="1"/>
    </xf>
    <xf numFmtId="11" fontId="0" fillId="2" borderId="32" xfId="0" quotePrefix="1" applyNumberFormat="1" applyFill="1" applyBorder="1" applyAlignment="1">
      <alignment horizontal="center" vertical="center" wrapText="1"/>
    </xf>
    <xf numFmtId="11" fontId="0" fillId="0" borderId="32" xfId="0" quotePrefix="1" applyNumberFormat="1" applyBorder="1" applyAlignment="1">
      <alignment horizontal="center" vertical="center" wrapText="1"/>
    </xf>
    <xf numFmtId="0" fontId="1" fillId="0" borderId="0" xfId="0" applyFont="1" applyAlignment="1">
      <alignment vertical="center" wrapText="1"/>
    </xf>
    <xf numFmtId="0" fontId="9"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horizontal="center" vertical="top"/>
    </xf>
    <xf numFmtId="0" fontId="0" fillId="0" borderId="0" xfId="0" applyAlignment="1">
      <alignment horizontal="center" vertical="top"/>
    </xf>
    <xf numFmtId="0" fontId="2" fillId="0" borderId="0" xfId="0" applyFont="1" applyAlignment="1">
      <alignment horizontal="center" vertical="top"/>
    </xf>
    <xf numFmtId="20" fontId="0" fillId="0" borderId="0" xfId="0" applyNumberFormat="1" applyAlignment="1">
      <alignment horizontal="center" vertical="top"/>
    </xf>
    <xf numFmtId="0" fontId="0" fillId="10" borderId="0" xfId="0" applyFill="1" applyAlignment="1">
      <alignment horizontal="center" vertical="center" wrapText="1"/>
    </xf>
    <xf numFmtId="0" fontId="5" fillId="0" borderId="0" xfId="0" applyFont="1" applyAlignment="1">
      <alignment vertical="center"/>
    </xf>
    <xf numFmtId="166"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2" fontId="0" fillId="0" borderId="0" xfId="0" applyNumberFormat="1" applyAlignment="1">
      <alignment horizontal="center" vertical="center"/>
    </xf>
    <xf numFmtId="2" fontId="0" fillId="0" borderId="0" xfId="0" applyNumberFormat="1" applyAlignment="1">
      <alignment horizontal="center"/>
    </xf>
    <xf numFmtId="11" fontId="9" fillId="2" borderId="15" xfId="0" applyNumberFormat="1" applyFont="1" applyFill="1" applyBorder="1" applyAlignment="1">
      <alignment horizontal="center" vertical="center" wrapText="1"/>
    </xf>
    <xf numFmtId="11"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11" fontId="9" fillId="0" borderId="15" xfId="0" applyNumberFormat="1" applyFont="1" applyBorder="1" applyAlignment="1">
      <alignment horizontal="center" vertical="center" wrapText="1"/>
    </xf>
    <xf numFmtId="0" fontId="24" fillId="0" borderId="0" xfId="0" applyFont="1"/>
    <xf numFmtId="168" fontId="0" fillId="0" borderId="0" xfId="0" applyNumberFormat="1"/>
    <xf numFmtId="0" fontId="11" fillId="0" borderId="0" xfId="0" applyFont="1" applyAlignment="1">
      <alignment horizontal="center" vertical="center" textRotation="90" wrapText="1"/>
    </xf>
    <xf numFmtId="11" fontId="0" fillId="0" borderId="0" xfId="0" applyNumberFormat="1" applyAlignment="1">
      <alignment horizontal="center" vertical="center"/>
    </xf>
    <xf numFmtId="11" fontId="0" fillId="8" borderId="0" xfId="0" applyNumberFormat="1" applyFill="1" applyAlignment="1">
      <alignment horizontal="center" vertical="center"/>
    </xf>
    <xf numFmtId="11" fontId="0" fillId="8" borderId="0" xfId="0" applyNumberFormat="1" applyFill="1" applyAlignment="1">
      <alignment horizontal="center" vertical="center" wrapText="1"/>
    </xf>
    <xf numFmtId="0" fontId="0" fillId="8" borderId="0" xfId="0" applyFill="1" applyAlignment="1">
      <alignment horizontal="center" vertical="center"/>
    </xf>
    <xf numFmtId="11" fontId="0" fillId="0" borderId="36" xfId="0" applyNumberFormat="1" applyBorder="1" applyAlignment="1">
      <alignment vertical="center" wrapText="1"/>
    </xf>
    <xf numFmtId="11" fontId="0" fillId="0" borderId="0" xfId="0" applyNumberFormat="1" applyAlignment="1">
      <alignment horizontal="center" vertical="center" wrapText="1"/>
    </xf>
    <xf numFmtId="11" fontId="0" fillId="8" borderId="39" xfId="0" applyNumberForma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11" fontId="25" fillId="0" borderId="1" xfId="0" applyNumberFormat="1" applyFont="1" applyBorder="1" applyAlignment="1">
      <alignment horizontal="center" vertical="center" wrapText="1"/>
    </xf>
    <xf numFmtId="11" fontId="25"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11" fontId="0" fillId="0" borderId="1" xfId="0" applyNumberFormat="1" applyBorder="1" applyAlignment="1">
      <alignment horizontal="center" vertical="center" wrapText="1"/>
    </xf>
    <xf numFmtId="11" fontId="0" fillId="6" borderId="1" xfId="0" applyNumberFormat="1" applyFill="1" applyBorder="1" applyAlignment="1">
      <alignment horizontal="center" vertical="center" wrapText="1"/>
    </xf>
    <xf numFmtId="0" fontId="3" fillId="0" borderId="1" xfId="0" applyFont="1" applyBorder="1" applyAlignment="1">
      <alignment horizontal="center" vertical="center" wrapText="1"/>
    </xf>
    <xf numFmtId="11" fontId="9" fillId="0" borderId="1" xfId="0" applyNumberFormat="1" applyFont="1" applyBorder="1" applyAlignment="1">
      <alignment horizontal="center" vertical="center" wrapText="1"/>
    </xf>
    <xf numFmtId="11" fontId="0" fillId="0" borderId="1" xfId="0" quotePrefix="1" applyNumberFormat="1" applyBorder="1" applyAlignment="1">
      <alignment horizontal="center" vertical="center" wrapText="1"/>
    </xf>
    <xf numFmtId="11" fontId="3" fillId="0" borderId="1" xfId="0" applyNumberFormat="1" applyFont="1" applyBorder="1" applyAlignment="1">
      <alignment horizontal="center" vertical="center" wrapText="1"/>
    </xf>
    <xf numFmtId="11" fontId="3" fillId="0" borderId="1" xfId="0" quotePrefix="1" applyNumberFormat="1" applyFont="1" applyBorder="1" applyAlignment="1">
      <alignment horizontal="center" vertical="center" wrapText="1"/>
    </xf>
    <xf numFmtId="0" fontId="25" fillId="0" borderId="1" xfId="0" applyFont="1" applyBorder="1" applyAlignment="1">
      <alignment horizontal="center" vertical="center"/>
    </xf>
    <xf numFmtId="11" fontId="0" fillId="16" borderId="0" xfId="0" applyNumberFormat="1" applyFill="1" applyAlignment="1">
      <alignment horizontal="center" vertical="center"/>
    </xf>
    <xf numFmtId="17" fontId="0" fillId="0" borderId="0" xfId="0" applyNumberFormat="1" applyAlignment="1">
      <alignment horizontal="center" vertical="center" wrapText="1"/>
    </xf>
    <xf numFmtId="0" fontId="0" fillId="0" borderId="57" xfId="0" applyBorder="1"/>
    <xf numFmtId="0" fontId="9" fillId="0" borderId="1" xfId="0" applyFont="1" applyBorder="1" applyAlignment="1">
      <alignment horizontal="center" vertical="center" wrapText="1"/>
    </xf>
    <xf numFmtId="0" fontId="0" fillId="0" borderId="12" xfId="0" applyBorder="1" applyAlignment="1">
      <alignment horizontal="center" vertical="center" wrapText="1"/>
    </xf>
    <xf numFmtId="171" fontId="9" fillId="0" borderId="1" xfId="0" applyNumberFormat="1" applyFont="1" applyBorder="1" applyAlignment="1">
      <alignment horizontal="center" vertical="center" wrapText="1"/>
    </xf>
    <xf numFmtId="11" fontId="9" fillId="0" borderId="1" xfId="0" applyNumberFormat="1" applyFont="1" applyBorder="1" applyAlignment="1">
      <alignment horizontal="center" vertical="center"/>
    </xf>
    <xf numFmtId="11" fontId="0" fillId="8" borderId="13" xfId="0" applyNumberFormat="1" applyFill="1" applyBorder="1" applyAlignment="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0" fillId="8" borderId="6" xfId="0" applyFill="1" applyBorder="1" applyAlignment="1">
      <alignment horizontal="center" vertical="center"/>
    </xf>
    <xf numFmtId="11" fontId="9" fillId="2" borderId="28" xfId="0" applyNumberFormat="1" applyFont="1" applyFill="1" applyBorder="1" applyAlignment="1">
      <alignment horizontal="center" vertical="center" wrapText="1"/>
    </xf>
    <xf numFmtId="11" fontId="0" fillId="0" borderId="28" xfId="0" applyNumberFormat="1" applyBorder="1" applyAlignment="1">
      <alignment horizontal="center" vertical="center" wrapText="1"/>
    </xf>
    <xf numFmtId="11" fontId="3" fillId="0" borderId="28" xfId="0" applyNumberFormat="1" applyFont="1" applyBorder="1" applyAlignment="1">
      <alignment horizontal="center" vertical="center" wrapText="1"/>
    </xf>
    <xf numFmtId="0" fontId="0" fillId="2" borderId="28" xfId="0" applyFill="1" applyBorder="1" applyAlignment="1">
      <alignment vertical="center" wrapText="1"/>
    </xf>
    <xf numFmtId="11" fontId="0" fillId="0" borderId="28" xfId="0" applyNumberFormat="1" applyBorder="1" applyAlignment="1">
      <alignment vertical="center" wrapText="1"/>
    </xf>
    <xf numFmtId="11" fontId="9" fillId="0" borderId="28" xfId="0" applyNumberFormat="1" applyFont="1" applyBorder="1" applyAlignment="1">
      <alignment horizontal="center" vertical="center" wrapText="1"/>
    </xf>
    <xf numFmtId="11" fontId="0" fillId="8" borderId="28" xfId="0" applyNumberFormat="1" applyFill="1" applyBorder="1" applyAlignment="1">
      <alignment horizontal="center" vertical="center" wrapText="1"/>
    </xf>
    <xf numFmtId="0" fontId="0" fillId="0" borderId="12" xfId="0" applyBorder="1" applyAlignment="1">
      <alignment vertical="center" wrapText="1"/>
    </xf>
    <xf numFmtId="0" fontId="0" fillId="0" borderId="61" xfId="0" applyBorder="1" applyAlignment="1">
      <alignment vertical="center" wrapText="1"/>
    </xf>
    <xf numFmtId="0" fontId="0" fillId="0" borderId="43" xfId="0" applyBorder="1"/>
    <xf numFmtId="0" fontId="0" fillId="0" borderId="62" xfId="0" applyBorder="1"/>
    <xf numFmtId="1" fontId="0" fillId="0" borderId="0" xfId="0" applyNumberFormat="1"/>
    <xf numFmtId="0" fontId="0" fillId="0" borderId="63" xfId="0" applyBorder="1" applyAlignment="1">
      <alignment horizontal="center" vertical="center" wrapText="1"/>
    </xf>
    <xf numFmtId="11" fontId="0" fillId="0" borderId="1" xfId="0" quotePrefix="1" applyNumberFormat="1" applyBorder="1" applyAlignment="1">
      <alignment horizontal="center" vertical="center"/>
    </xf>
    <xf numFmtId="11" fontId="0" fillId="8" borderId="16" xfId="0" quotePrefix="1" applyNumberFormat="1" applyFill="1" applyBorder="1" applyAlignment="1">
      <alignment horizontal="center" vertical="center" wrapText="1"/>
    </xf>
    <xf numFmtId="16"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0" fillId="0" borderId="66" xfId="0" applyBorder="1" applyAlignment="1">
      <alignment horizontal="center" vertical="center" wrapText="1"/>
    </xf>
    <xf numFmtId="0" fontId="17" fillId="0" borderId="0" xfId="0" applyFont="1" applyAlignment="1">
      <alignment horizontal="center" vertical="center" wrapText="1"/>
    </xf>
    <xf numFmtId="0" fontId="0" fillId="2"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43" xfId="0" applyBorder="1" applyAlignment="1">
      <alignment horizontal="left" vertical="top" wrapText="1"/>
    </xf>
    <xf numFmtId="0" fontId="0" fillId="0" borderId="0" xfId="0" applyAlignment="1">
      <alignment horizontal="left" vertical="top"/>
    </xf>
    <xf numFmtId="0" fontId="0" fillId="0" borderId="10" xfId="0" applyBorder="1" applyAlignment="1">
      <alignment horizontal="center" vertical="center" wrapText="1"/>
    </xf>
    <xf numFmtId="9" fontId="0" fillId="0" borderId="0" xfId="0" applyNumberFormat="1"/>
    <xf numFmtId="170" fontId="0" fillId="0" borderId="0" xfId="2" applyNumberFormat="1" applyFont="1" applyFill="1"/>
    <xf numFmtId="173" fontId="0" fillId="0" borderId="0" xfId="2" applyNumberFormat="1" applyFont="1" applyFill="1"/>
    <xf numFmtId="170" fontId="0" fillId="0" borderId="0" xfId="0" applyNumberFormat="1"/>
    <xf numFmtId="11" fontId="0" fillId="0" borderId="0" xfId="0" applyNumberFormat="1" applyAlignment="1">
      <alignment vertical="center"/>
    </xf>
    <xf numFmtId="169" fontId="0" fillId="0" borderId="0" xfId="2" applyNumberFormat="1" applyFont="1"/>
    <xf numFmtId="16" fontId="0" fillId="0" borderId="0" xfId="0" applyNumberFormat="1"/>
    <xf numFmtId="0" fontId="0" fillId="0" borderId="18" xfId="0" applyBorder="1" applyAlignment="1">
      <alignment vertical="center" wrapText="1"/>
    </xf>
    <xf numFmtId="0" fontId="0" fillId="8" borderId="18" xfId="0" applyFill="1" applyBorder="1" applyAlignment="1">
      <alignment horizontal="center" vertical="center" wrapText="1"/>
    </xf>
    <xf numFmtId="0" fontId="0" fillId="0" borderId="10" xfId="0" applyBorder="1" applyAlignment="1">
      <alignment vertical="center" wrapText="1"/>
    </xf>
    <xf numFmtId="0" fontId="0" fillId="0" borderId="67" xfId="0" applyBorder="1" applyAlignment="1">
      <alignment vertical="center" wrapText="1"/>
    </xf>
    <xf numFmtId="11" fontId="0" fillId="8" borderId="12" xfId="0" applyNumberFormat="1" applyFill="1" applyBorder="1" applyAlignment="1">
      <alignment horizontal="center" vertical="center"/>
    </xf>
    <xf numFmtId="11" fontId="0" fillId="0" borderId="12" xfId="0" quotePrefix="1" applyNumberFormat="1" applyBorder="1" applyAlignment="1">
      <alignment horizontal="center" vertical="center" wrapText="1"/>
    </xf>
    <xf numFmtId="11" fontId="0" fillId="0" borderId="12" xfId="0" quotePrefix="1" applyNumberFormat="1" applyBorder="1" applyAlignment="1">
      <alignment horizontal="center" vertical="center"/>
    </xf>
    <xf numFmtId="11" fontId="0" fillId="8" borderId="68" xfId="0" quotePrefix="1" applyNumberFormat="1" applyFill="1" applyBorder="1" applyAlignment="1">
      <alignment horizontal="center" vertical="center" wrapText="1"/>
    </xf>
    <xf numFmtId="11" fontId="0" fillId="6" borderId="28" xfId="0" applyNumberFormat="1" applyFill="1" applyBorder="1" applyAlignment="1">
      <alignment horizontal="center" vertical="center" wrapText="1"/>
    </xf>
    <xf numFmtId="0" fontId="0" fillId="2" borderId="28" xfId="0" applyFill="1" applyBorder="1" applyAlignment="1">
      <alignment horizontal="center" vertical="center" wrapText="1"/>
    </xf>
    <xf numFmtId="0" fontId="0" fillId="0" borderId="28" xfId="0" applyBorder="1" applyAlignment="1">
      <alignment vertical="center" wrapText="1"/>
    </xf>
    <xf numFmtId="11" fontId="0" fillId="2" borderId="32" xfId="0" applyNumberFormat="1" applyFill="1" applyBorder="1" applyAlignment="1">
      <alignment horizontal="center" vertical="center" wrapText="1"/>
    </xf>
    <xf numFmtId="0" fontId="26" fillId="0" borderId="41" xfId="0" applyFont="1" applyBorder="1" applyAlignment="1">
      <alignment horizontal="center" vertical="center" wrapText="1"/>
    </xf>
    <xf numFmtId="0" fontId="0" fillId="0" borderId="41" xfId="0" applyBorder="1" applyAlignment="1">
      <alignment horizontal="center" vertical="center" wrapText="1"/>
    </xf>
    <xf numFmtId="11" fontId="0" fillId="0" borderId="42" xfId="0" applyNumberFormat="1" applyBorder="1" applyAlignment="1">
      <alignment horizontal="center" vertical="center" wrapText="1"/>
    </xf>
    <xf numFmtId="0" fontId="9" fillId="0" borderId="10" xfId="0" applyFont="1" applyBorder="1" applyAlignment="1">
      <alignment horizontal="center" vertical="center" wrapText="1"/>
    </xf>
    <xf numFmtId="0" fontId="1" fillId="0" borderId="0" xfId="0" applyFont="1" applyAlignment="1">
      <alignment horizontal="left"/>
    </xf>
    <xf numFmtId="0" fontId="21" fillId="0" borderId="0" xfId="0" applyFont="1" applyAlignment="1">
      <alignment vertical="center"/>
    </xf>
    <xf numFmtId="0" fontId="20" fillId="9" borderId="1" xfId="0" applyFont="1" applyFill="1" applyBorder="1" applyAlignment="1">
      <alignment horizontal="center" vertical="center" wrapText="1"/>
    </xf>
    <xf numFmtId="0" fontId="20" fillId="9" borderId="1" xfId="0" applyFont="1" applyFill="1" applyBorder="1" applyAlignment="1">
      <alignment horizontal="center" vertical="center"/>
    </xf>
    <xf numFmtId="11" fontId="0" fillId="17" borderId="0" xfId="0" applyNumberFormat="1" applyFill="1" applyAlignment="1">
      <alignment horizontal="center" vertical="center"/>
    </xf>
    <xf numFmtId="0" fontId="0" fillId="17" borderId="0" xfId="0" applyFill="1" applyAlignment="1">
      <alignment horizontal="center" vertical="center"/>
    </xf>
    <xf numFmtId="0" fontId="0" fillId="17" borderId="1" xfId="0" applyFill="1" applyBorder="1"/>
    <xf numFmtId="0" fontId="0" fillId="17" borderId="0" xfId="0" applyFill="1"/>
    <xf numFmtId="0" fontId="0" fillId="17" borderId="0" xfId="0" applyFill="1" applyAlignment="1">
      <alignment horizontal="center"/>
    </xf>
    <xf numFmtId="11" fontId="0" fillId="17" borderId="0" xfId="0" applyNumberFormat="1" applyFill="1"/>
    <xf numFmtId="11" fontId="0" fillId="17" borderId="0" xfId="0" applyNumberFormat="1" applyFill="1" applyAlignment="1">
      <alignment horizontal="center"/>
    </xf>
    <xf numFmtId="2" fontId="0" fillId="17" borderId="0" xfId="0" applyNumberFormat="1" applyFill="1" applyAlignment="1">
      <alignment horizontal="center"/>
    </xf>
    <xf numFmtId="10" fontId="0" fillId="17" borderId="0" xfId="0" applyNumberFormat="1" applyFill="1" applyAlignment="1">
      <alignment horizontal="center"/>
    </xf>
    <xf numFmtId="0" fontId="0" fillId="17" borderId="0" xfId="0" applyFill="1" applyAlignment="1">
      <alignment wrapText="1"/>
    </xf>
    <xf numFmtId="0" fontId="27" fillId="0" borderId="0" xfId="0" applyFont="1" applyAlignment="1">
      <alignment horizontal="left" vertical="center" wrapText="1"/>
    </xf>
    <xf numFmtId="0" fontId="0" fillId="17" borderId="0" xfId="0" quotePrefix="1" applyFill="1" applyAlignment="1">
      <alignment wrapText="1"/>
    </xf>
    <xf numFmtId="0" fontId="0" fillId="17" borderId="0" xfId="0" quotePrefix="1" applyFill="1"/>
    <xf numFmtId="0" fontId="0" fillId="18" borderId="0" xfId="0" applyFill="1" applyAlignment="1">
      <alignment horizontal="center" vertical="center"/>
    </xf>
    <xf numFmtId="0" fontId="28" fillId="0" borderId="0" xfId="0" applyFont="1" applyAlignment="1">
      <alignment horizontal="center" vertical="center"/>
    </xf>
    <xf numFmtId="11" fontId="29" fillId="0" borderId="1" xfId="0" applyNumberFormat="1" applyFont="1" applyBorder="1" applyAlignment="1">
      <alignment horizontal="center" vertical="center"/>
    </xf>
    <xf numFmtId="11" fontId="29" fillId="0" borderId="1" xfId="0" applyNumberFormat="1" applyFont="1" applyBorder="1" applyAlignment="1">
      <alignment horizontal="center" vertical="center" wrapText="1"/>
    </xf>
    <xf numFmtId="11" fontId="30" fillId="0" borderId="1" xfId="0" applyNumberFormat="1" applyFont="1" applyBorder="1" applyAlignment="1">
      <alignment horizontal="center" vertical="center" wrapText="1"/>
    </xf>
    <xf numFmtId="11" fontId="30" fillId="0" borderId="1" xfId="0" quotePrefix="1" applyNumberFormat="1" applyFont="1" applyBorder="1" applyAlignment="1">
      <alignment horizontal="center" vertical="center" wrapText="1"/>
    </xf>
    <xf numFmtId="11" fontId="30" fillId="0" borderId="1" xfId="0" applyNumberFormat="1" applyFont="1" applyBorder="1" applyAlignment="1">
      <alignment horizontal="center" vertical="center"/>
    </xf>
    <xf numFmtId="0" fontId="3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10" fontId="0" fillId="18" borderId="0" xfId="0" applyNumberFormat="1" applyFill="1" applyAlignment="1">
      <alignment horizontal="center"/>
    </xf>
    <xf numFmtId="165" fontId="0" fillId="18" borderId="0" xfId="0" applyNumberFormat="1" applyFill="1" applyAlignment="1">
      <alignment horizontal="center" vertical="center"/>
    </xf>
    <xf numFmtId="166" fontId="0" fillId="18" borderId="0" xfId="0" applyNumberFormat="1" applyFill="1" applyAlignment="1">
      <alignment horizontal="center" vertical="center"/>
    </xf>
    <xf numFmtId="166" fontId="0" fillId="18" borderId="0" xfId="0" applyNumberFormat="1" applyFill="1" applyAlignment="1">
      <alignment horizontal="center"/>
    </xf>
    <xf numFmtId="0" fontId="0" fillId="19" borderId="0" xfId="0" applyFill="1" applyAlignment="1">
      <alignment vertical="center"/>
    </xf>
    <xf numFmtId="11" fontId="0" fillId="19" borderId="0" xfId="0" applyNumberFormat="1" applyFill="1" applyAlignment="1">
      <alignment horizontal="center" vertical="center"/>
    </xf>
    <xf numFmtId="165" fontId="0" fillId="19" borderId="0" xfId="0" applyNumberFormat="1" applyFill="1" applyAlignment="1">
      <alignment horizontal="center" vertical="center"/>
    </xf>
    <xf numFmtId="11" fontId="2" fillId="19" borderId="0" xfId="0" applyNumberFormat="1" applyFont="1" applyFill="1" applyAlignment="1">
      <alignment horizontal="center" vertical="center" wrapText="1"/>
    </xf>
    <xf numFmtId="167" fontId="0" fillId="19" borderId="0" xfId="2" applyNumberFormat="1" applyFont="1" applyFill="1" applyAlignment="1">
      <alignment horizontal="center" vertical="center"/>
    </xf>
    <xf numFmtId="0" fontId="0" fillId="19" borderId="0" xfId="0" applyFill="1" applyAlignment="1">
      <alignment horizontal="center" vertical="center"/>
    </xf>
    <xf numFmtId="0" fontId="0" fillId="19" borderId="0" xfId="0" applyFill="1" applyAlignment="1">
      <alignment horizontal="center" wrapText="1"/>
    </xf>
    <xf numFmtId="166" fontId="0" fillId="19" borderId="0" xfId="0" applyNumberFormat="1" applyFill="1" applyAlignment="1">
      <alignment horizontal="center" vertical="center"/>
    </xf>
    <xf numFmtId="0" fontId="0" fillId="19" borderId="1" xfId="0" applyFill="1" applyBorder="1"/>
    <xf numFmtId="0" fontId="0" fillId="19" borderId="0" xfId="0" applyFill="1" applyAlignment="1">
      <alignment horizontal="center"/>
    </xf>
    <xf numFmtId="0" fontId="0" fillId="19" borderId="0" xfId="0" applyFill="1"/>
    <xf numFmtId="11" fontId="0" fillId="19" borderId="0" xfId="0" applyNumberFormat="1" applyFill="1"/>
    <xf numFmtId="11" fontId="0" fillId="19" borderId="15" xfId="0" applyNumberFormat="1" applyFill="1" applyBorder="1" applyAlignment="1">
      <alignment horizontal="center" vertical="center" wrapText="1"/>
    </xf>
    <xf numFmtId="11" fontId="0" fillId="19" borderId="0" xfId="0" applyNumberFormat="1" applyFill="1" applyAlignment="1">
      <alignment horizontal="center"/>
    </xf>
    <xf numFmtId="2" fontId="0" fillId="19" borderId="0" xfId="0" applyNumberFormat="1" applyFill="1" applyAlignment="1">
      <alignment horizontal="center"/>
    </xf>
    <xf numFmtId="0" fontId="0" fillId="20" borderId="0" xfId="0" applyFill="1"/>
    <xf numFmtId="0" fontId="0" fillId="20" borderId="0" xfId="0" applyFill="1" applyAlignment="1">
      <alignment horizontal="center"/>
    </xf>
    <xf numFmtId="10" fontId="0" fillId="20" borderId="0" xfId="0" applyNumberFormat="1" applyFill="1" applyAlignment="1">
      <alignment vertical="center"/>
    </xf>
    <xf numFmtId="11" fontId="0" fillId="20" borderId="0" xfId="0" applyNumberFormat="1" applyFill="1" applyAlignment="1">
      <alignment vertical="center"/>
    </xf>
    <xf numFmtId="0" fontId="0" fillId="20" borderId="0" xfId="0" quotePrefix="1" applyFill="1"/>
    <xf numFmtId="11" fontId="0" fillId="20" borderId="0" xfId="0" applyNumberFormat="1" applyFill="1"/>
    <xf numFmtId="10" fontId="0" fillId="20" borderId="0" xfId="0" applyNumberFormat="1" applyFill="1" applyAlignment="1">
      <alignment horizontal="center"/>
    </xf>
    <xf numFmtId="2" fontId="0" fillId="20" borderId="0" xfId="0" applyNumberFormat="1" applyFill="1" applyAlignment="1">
      <alignment horizontal="center"/>
    </xf>
    <xf numFmtId="0" fontId="0" fillId="20" borderId="53" xfId="0" applyFill="1" applyBorder="1"/>
    <xf numFmtId="11" fontId="0" fillId="20" borderId="54" xfId="0" applyNumberFormat="1" applyFill="1" applyBorder="1"/>
    <xf numFmtId="0" fontId="0" fillId="20" borderId="55" xfId="0" applyFill="1" applyBorder="1"/>
    <xf numFmtId="11" fontId="0" fillId="20" borderId="56" xfId="0" applyNumberFormat="1" applyFill="1" applyBorder="1"/>
    <xf numFmtId="2" fontId="0" fillId="20" borderId="0" xfId="0" applyNumberFormat="1" applyFill="1"/>
    <xf numFmtId="0" fontId="1" fillId="20" borderId="0" xfId="0" applyFont="1" applyFill="1"/>
    <xf numFmtId="0" fontId="0" fillId="20" borderId="0" xfId="0" applyFill="1" applyAlignment="1">
      <alignment horizontal="center" vertical="center"/>
    </xf>
    <xf numFmtId="0" fontId="0" fillId="20" borderId="1" xfId="0" applyFill="1" applyBorder="1" applyAlignment="1">
      <alignment horizontal="center" vertical="center"/>
    </xf>
    <xf numFmtId="11" fontId="0" fillId="20" borderId="1" xfId="0" applyNumberFormat="1" applyFill="1" applyBorder="1" applyAlignment="1">
      <alignment horizontal="center" vertical="center"/>
    </xf>
    <xf numFmtId="11" fontId="0" fillId="20" borderId="0" xfId="0" applyNumberFormat="1" applyFill="1" applyAlignment="1">
      <alignment horizontal="center"/>
    </xf>
    <xf numFmtId="2" fontId="0" fillId="20" borderId="0" xfId="0" applyNumberFormat="1" applyFill="1" applyAlignment="1">
      <alignment horizontal="center" vertical="center" wrapText="1"/>
    </xf>
    <xf numFmtId="0" fontId="0" fillId="20" borderId="0" xfId="0" applyFill="1" applyAlignment="1">
      <alignment horizontal="center" vertical="center" wrapText="1"/>
    </xf>
    <xf numFmtId="11" fontId="0" fillId="20" borderId="0" xfId="0" applyNumberFormat="1" applyFill="1" applyAlignment="1">
      <alignment horizontal="center" vertical="center"/>
    </xf>
    <xf numFmtId="172" fontId="0" fillId="20" borderId="0" xfId="0" applyNumberFormat="1" applyFill="1"/>
    <xf numFmtId="2" fontId="0" fillId="20" borderId="0" xfId="0" applyNumberFormat="1" applyFill="1" applyAlignment="1">
      <alignment horizontal="left" vertical="center"/>
    </xf>
    <xf numFmtId="0" fontId="0" fillId="0" borderId="0" xfId="0" applyAlignment="1">
      <alignment horizontal="center" vertical="top" wrapText="1"/>
    </xf>
    <xf numFmtId="0" fontId="33" fillId="0" borderId="69" xfId="0" applyFont="1" applyBorder="1" applyAlignment="1">
      <alignment horizontal="left" vertical="center" wrapText="1"/>
    </xf>
    <xf numFmtId="0" fontId="33" fillId="0" borderId="70" xfId="0" applyFont="1" applyBorder="1" applyAlignment="1">
      <alignment horizontal="left" vertical="center" wrapText="1"/>
    </xf>
    <xf numFmtId="0" fontId="33" fillId="0" borderId="71" xfId="0" applyFont="1" applyBorder="1" applyAlignment="1">
      <alignment horizontal="left" vertical="center" wrapText="1"/>
    </xf>
    <xf numFmtId="0" fontId="33" fillId="0" borderId="72" xfId="0" applyFont="1" applyBorder="1" applyAlignment="1">
      <alignment horizontal="left" vertical="center" wrapText="1"/>
    </xf>
    <xf numFmtId="0" fontId="32" fillId="0" borderId="73" xfId="0" applyFont="1" applyBorder="1" applyAlignment="1">
      <alignment horizontal="left" vertical="center" wrapText="1"/>
    </xf>
    <xf numFmtId="0" fontId="32" fillId="0" borderId="74" xfId="0" applyFont="1" applyBorder="1" applyAlignment="1">
      <alignment horizontal="left" vertical="center" wrapText="1"/>
    </xf>
    <xf numFmtId="0" fontId="33" fillId="0" borderId="75" xfId="0" applyFont="1" applyBorder="1" applyAlignment="1">
      <alignment horizontal="left" vertical="center" wrapText="1"/>
    </xf>
    <xf numFmtId="0" fontId="33" fillId="0" borderId="83" xfId="0" applyFont="1" applyBorder="1" applyAlignment="1">
      <alignment horizontal="left" vertical="center" wrapText="1"/>
    </xf>
    <xf numFmtId="0" fontId="33" fillId="0" borderId="84" xfId="0" applyFont="1" applyBorder="1" applyAlignment="1">
      <alignment horizontal="left" vertical="center" wrapText="1"/>
    </xf>
    <xf numFmtId="0" fontId="33" fillId="0" borderId="85" xfId="0" applyFont="1" applyBorder="1" applyAlignment="1">
      <alignment horizontal="left" vertical="center" wrapText="1"/>
    </xf>
    <xf numFmtId="0" fontId="36" fillId="0" borderId="0" xfId="0" applyFont="1"/>
    <xf numFmtId="0" fontId="11" fillId="0" borderId="0" xfId="0" applyFont="1" applyAlignment="1">
      <alignment horizontal="center" vertical="center" wrapText="1"/>
    </xf>
    <xf numFmtId="0" fontId="1" fillId="0" borderId="0" xfId="0" quotePrefix="1" applyFont="1" applyAlignment="1">
      <alignment horizontal="left"/>
    </xf>
    <xf numFmtId="0" fontId="0" fillId="0" borderId="0" xfId="0" quotePrefix="1"/>
    <xf numFmtId="0" fontId="1" fillId="4" borderId="0" xfId="0" applyFont="1" applyFill="1"/>
    <xf numFmtId="11" fontId="0" fillId="4" borderId="0" xfId="0" applyNumberFormat="1" applyFill="1"/>
    <xf numFmtId="0" fontId="2" fillId="0" borderId="0" xfId="0" applyFont="1" applyAlignment="1">
      <alignment vertical="top" wrapText="1"/>
    </xf>
    <xf numFmtId="0" fontId="1" fillId="0" borderId="0" xfId="0" applyFont="1" applyAlignment="1">
      <alignment horizontal="left" wrapText="1"/>
    </xf>
    <xf numFmtId="0" fontId="4" fillId="0" borderId="0" xfId="1" applyFill="1"/>
    <xf numFmtId="0" fontId="2" fillId="0" borderId="0" xfId="0" applyFont="1" applyAlignment="1">
      <alignment wrapText="1"/>
    </xf>
    <xf numFmtId="0" fontId="37" fillId="0" borderId="0" xfId="0" applyFont="1" applyAlignment="1">
      <alignment vertical="top" wrapText="1"/>
    </xf>
    <xf numFmtId="0" fontId="0" fillId="0" borderId="1" xfId="0" applyBorder="1" applyAlignment="1">
      <alignment horizontal="left" vertical="top" wrapText="1"/>
    </xf>
    <xf numFmtId="0" fontId="0" fillId="0" borderId="1" xfId="0" applyBorder="1" applyAlignment="1">
      <alignment wrapText="1"/>
    </xf>
    <xf numFmtId="0" fontId="2" fillId="0" borderId="15" xfId="0" applyFont="1" applyBorder="1" applyAlignment="1">
      <alignment wrapText="1"/>
    </xf>
    <xf numFmtId="11" fontId="2" fillId="21" borderId="15" xfId="0" applyNumberFormat="1" applyFont="1" applyFill="1" applyBorder="1" applyAlignment="1">
      <alignment vertical="center" wrapText="1"/>
    </xf>
    <xf numFmtId="0" fontId="4" fillId="0" borderId="0" xfId="1" applyAlignment="1">
      <alignment vertical="top" wrapText="1"/>
    </xf>
    <xf numFmtId="0" fontId="0" fillId="22" borderId="0" xfId="0" applyFill="1" applyAlignment="1">
      <alignment horizontal="center" vertical="center" wrapText="1"/>
    </xf>
    <xf numFmtId="0" fontId="0" fillId="22" borderId="0" xfId="0" applyFill="1"/>
    <xf numFmtId="0" fontId="0" fillId="22" borderId="0" xfId="0" applyFill="1" applyAlignment="1">
      <alignment horizontal="center" vertical="center"/>
    </xf>
    <xf numFmtId="0" fontId="2" fillId="0" borderId="0" xfId="0" applyFont="1" applyAlignment="1">
      <alignment horizontal="left" vertical="top" wrapText="1"/>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3" fillId="0" borderId="76" xfId="0" applyFont="1" applyBorder="1" applyAlignment="1">
      <alignment horizontal="left" vertical="center" wrapText="1"/>
    </xf>
    <xf numFmtId="0" fontId="33" fillId="0" borderId="77" xfId="0" applyFont="1" applyBorder="1" applyAlignment="1">
      <alignment horizontal="left" vertical="center" wrapText="1"/>
    </xf>
    <xf numFmtId="0" fontId="33" fillId="0" borderId="78" xfId="0" applyFont="1" applyBorder="1" applyAlignment="1">
      <alignment horizontal="left" vertical="center" wrapText="1"/>
    </xf>
    <xf numFmtId="0" fontId="0" fillId="0" borderId="0" xfId="0" applyAlignment="1">
      <alignment horizontal="left" vertical="top" wrapText="1"/>
    </xf>
    <xf numFmtId="0" fontId="0" fillId="2" borderId="29" xfId="0" applyFill="1" applyBorder="1" applyAlignment="1">
      <alignment horizontal="center" vertical="top" wrapText="1"/>
    </xf>
    <xf numFmtId="0" fontId="0" fillId="2" borderId="52" xfId="0" applyFill="1" applyBorder="1" applyAlignment="1">
      <alignment horizontal="center" vertical="top" wrapText="1"/>
    </xf>
    <xf numFmtId="0" fontId="0" fillId="2" borderId="32" xfId="0" applyFill="1" applyBorder="1" applyAlignment="1">
      <alignment horizontal="center" vertical="top" wrapText="1"/>
    </xf>
    <xf numFmtId="0" fontId="0" fillId="2" borderId="18" xfId="0" applyFill="1" applyBorder="1" applyAlignment="1">
      <alignment horizontal="center" vertical="top" wrapText="1"/>
    </xf>
    <xf numFmtId="0" fontId="0" fillId="0" borderId="48" xfId="0" applyBorder="1" applyAlignment="1">
      <alignment horizontal="center" vertical="center" wrapText="1"/>
    </xf>
    <xf numFmtId="0" fontId="0" fillId="0" borderId="32" xfId="0" applyBorder="1" applyAlignment="1">
      <alignment horizontal="center" vertical="center" wrapText="1"/>
    </xf>
    <xf numFmtId="0" fontId="0" fillId="2" borderId="27" xfId="0" applyFill="1" applyBorder="1" applyAlignment="1">
      <alignment horizontal="center" vertical="center" wrapText="1"/>
    </xf>
    <xf numFmtId="0" fontId="0" fillId="2"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20" fillId="9" borderId="1"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20" fillId="15" borderId="41" xfId="0" applyFont="1" applyFill="1" applyBorder="1" applyAlignment="1">
      <alignment horizontal="center" vertical="center" wrapText="1"/>
    </xf>
    <xf numFmtId="0" fontId="20" fillId="15" borderId="42"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4" xfId="0"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47" xfId="0" applyBorder="1" applyAlignment="1">
      <alignment horizontal="center" vertical="center" wrapText="1"/>
    </xf>
    <xf numFmtId="0" fontId="0" fillId="0" borderId="17" xfId="0" applyBorder="1" applyAlignment="1">
      <alignment horizontal="center" vertical="center" wrapText="1"/>
    </xf>
    <xf numFmtId="0" fontId="0" fillId="0" borderId="33" xfId="0" applyBorder="1" applyAlignment="1">
      <alignment horizontal="center" vertical="center" wrapText="1"/>
    </xf>
    <xf numFmtId="0" fontId="0" fillId="0" borderId="68" xfId="0" applyBorder="1" applyAlignment="1">
      <alignment horizontal="center" vertical="center" wrapText="1"/>
    </xf>
    <xf numFmtId="0" fontId="0" fillId="0" borderId="16" xfId="0" applyBorder="1" applyAlignment="1">
      <alignment horizontal="center" vertical="center" wrapText="1"/>
    </xf>
    <xf numFmtId="0" fontId="0" fillId="0" borderId="65"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64" xfId="0" applyBorder="1" applyAlignment="1">
      <alignment horizontal="center" vertical="center" wrapText="1"/>
    </xf>
    <xf numFmtId="0" fontId="20" fillId="15" borderId="1"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42" xfId="0" applyFont="1" applyFill="1" applyBorder="1" applyAlignment="1">
      <alignment horizontal="center" vertical="center" wrapText="1"/>
    </xf>
    <xf numFmtId="0" fontId="20" fillId="9" borderId="1" xfId="0" applyFont="1" applyFill="1" applyBorder="1" applyAlignment="1">
      <alignment horizontal="center" vertical="center"/>
    </xf>
    <xf numFmtId="0" fontId="0" fillId="0" borderId="0" xfId="0" applyAlignment="1">
      <alignment horizontal="left" vertical="center" wrapText="1"/>
    </xf>
    <xf numFmtId="0" fontId="1" fillId="19" borderId="0" xfId="0" applyFont="1" applyFill="1" applyAlignment="1">
      <alignment horizontal="center" vertical="center" textRotation="90" wrapText="1"/>
    </xf>
    <xf numFmtId="0" fontId="9" fillId="0" borderId="0" xfId="1" applyFont="1" applyAlignment="1">
      <alignment horizontal="left" vertical="top" wrapText="1"/>
    </xf>
    <xf numFmtId="0" fontId="10" fillId="0" borderId="0" xfId="0" applyFont="1" applyAlignment="1">
      <alignment horizontal="left" vertical="center" wrapText="1"/>
    </xf>
    <xf numFmtId="0" fontId="38" fillId="0" borderId="0" xfId="0" applyFont="1" applyAlignment="1">
      <alignment horizontal="left" vertical="top"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2" borderId="15" xfId="0" applyFill="1" applyBorder="1" applyAlignment="1">
      <alignment horizontal="center" vertical="center" wrapText="1"/>
    </xf>
    <xf numFmtId="0" fontId="0" fillId="0" borderId="25" xfId="0"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2" borderId="22" xfId="0" applyFill="1" applyBorder="1" applyAlignment="1">
      <alignment horizontal="center" vertical="center" wrapText="1"/>
    </xf>
    <xf numFmtId="0" fontId="1" fillId="0" borderId="0" xfId="0" applyFont="1" applyAlignment="1">
      <alignment horizontal="center" wrapText="1"/>
    </xf>
    <xf numFmtId="0" fontId="1" fillId="4" borderId="0" xfId="0" applyFont="1" applyFill="1" applyAlignment="1">
      <alignment horizontal="center" vertical="center" textRotation="90" wrapText="1"/>
    </xf>
    <xf numFmtId="0" fontId="0" fillId="0" borderId="23" xfId="0" applyBorder="1" applyAlignment="1">
      <alignment horizontal="center" vertical="center" wrapText="1"/>
    </xf>
    <xf numFmtId="0" fontId="0" fillId="0" borderId="0" xfId="0" applyAlignment="1">
      <alignment horizontal="center" wrapText="1"/>
    </xf>
    <xf numFmtId="0" fontId="11" fillId="5" borderId="0" xfId="0" applyFont="1" applyFill="1" applyAlignment="1">
      <alignment horizontal="center" vertical="center" textRotation="90" wrapText="1"/>
    </xf>
    <xf numFmtId="0" fontId="0" fillId="7" borderId="29"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0" borderId="36" xfId="0" applyBorder="1" applyAlignment="1">
      <alignment horizontal="center" vertical="center" wrapText="1"/>
    </xf>
    <xf numFmtId="0" fontId="1" fillId="18" borderId="0" xfId="0" applyFont="1" applyFill="1" applyAlignment="1">
      <alignment horizontal="center" vertical="center" textRotation="90" wrapText="1"/>
    </xf>
    <xf numFmtId="0" fontId="0" fillId="0" borderId="0" xfId="0" applyAlignment="1">
      <alignment horizontal="center" vertical="center"/>
    </xf>
    <xf numFmtId="0" fontId="0" fillId="0" borderId="0" xfId="0" applyAlignment="1">
      <alignment horizontal="left" vertical="center"/>
    </xf>
    <xf numFmtId="0" fontId="9" fillId="0" borderId="1" xfId="0" applyFont="1" applyBorder="1" applyAlignment="1">
      <alignment horizontal="center" vertical="center" wrapText="1"/>
    </xf>
    <xf numFmtId="0" fontId="0" fillId="0" borderId="43" xfId="0" applyBorder="1" applyAlignment="1">
      <alignment horizontal="left" vertical="top" wrapText="1"/>
    </xf>
    <xf numFmtId="0" fontId="0" fillId="0" borderId="0" xfId="0" applyAlignment="1">
      <alignment horizontal="left" vertical="top"/>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0" fillId="0" borderId="0" xfId="0" quotePrefix="1" applyAlignment="1">
      <alignment horizontal="center" vertical="top" wrapText="1"/>
    </xf>
    <xf numFmtId="0" fontId="0" fillId="2" borderId="15" xfId="0" applyFill="1" applyBorder="1" applyAlignment="1">
      <alignment horizontal="center" vertical="top" wrapText="1"/>
    </xf>
    <xf numFmtId="0" fontId="37"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xf>
    <xf numFmtId="0" fontId="0" fillId="0" borderId="0" xfId="0" quotePrefix="1" applyAlignment="1">
      <alignment horizontal="left" vertical="top" wrapText="1"/>
    </xf>
    <xf numFmtId="0" fontId="1" fillId="0" borderId="0" xfId="0" applyFont="1" applyAlignment="1">
      <alignment horizontal="center" vertical="top" wrapText="1"/>
    </xf>
    <xf numFmtId="0" fontId="9" fillId="20" borderId="0" xfId="0" applyFont="1" applyFill="1" applyAlignment="1">
      <alignment horizontal="center" wrapText="1"/>
    </xf>
    <xf numFmtId="0" fontId="0" fillId="0" borderId="43" xfId="0" applyBorder="1" applyAlignment="1">
      <alignment horizontal="center" vertical="center" wrapText="1"/>
    </xf>
    <xf numFmtId="0" fontId="40" fillId="0" borderId="43" xfId="0" applyFont="1" applyBorder="1" applyAlignment="1">
      <alignment horizontal="center" wrapText="1"/>
    </xf>
    <xf numFmtId="0" fontId="0" fillId="0" borderId="43" xfId="0" applyBorder="1" applyAlignment="1">
      <alignment horizontal="center" wrapText="1"/>
    </xf>
    <xf numFmtId="0" fontId="0" fillId="20" borderId="0" xfId="0" applyFill="1" applyAlignment="1">
      <alignment horizontal="left" wrapText="1"/>
    </xf>
    <xf numFmtId="0" fontId="0" fillId="20" borderId="0" xfId="0" applyFill="1" applyAlignment="1">
      <alignment horizontal="left"/>
    </xf>
    <xf numFmtId="0" fontId="0" fillId="0" borderId="0" xfId="0" applyAlignment="1">
      <alignment horizontal="left"/>
    </xf>
    <xf numFmtId="0" fontId="1" fillId="0" borderId="0" xfId="0" applyFont="1" applyAlignment="1">
      <alignment horizontal="left" vertical="center"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0" xfId="0" quotePrefix="1" applyAlignment="1">
      <alignment horizontal="left" vertical="center" wrapText="1"/>
    </xf>
    <xf numFmtId="0" fontId="0" fillId="0" borderId="0" xfId="0" quotePrefix="1" applyAlignment="1">
      <alignment horizontal="center" wrapText="1"/>
    </xf>
    <xf numFmtId="0" fontId="0" fillId="0" borderId="15" xfId="0" applyBorder="1" applyAlignment="1">
      <alignment horizontal="left" vertical="center" wrapText="1"/>
    </xf>
    <xf numFmtId="0" fontId="0" fillId="0" borderId="34" xfId="0" applyBorder="1" applyAlignment="1">
      <alignment horizontal="left" vertical="center" wrapText="1"/>
    </xf>
    <xf numFmtId="0" fontId="1" fillId="0" borderId="0" xfId="0" applyFont="1" applyAlignment="1">
      <alignment horizontal="left" wrapText="1"/>
    </xf>
    <xf numFmtId="0" fontId="0" fillId="17" borderId="0" xfId="0" quotePrefix="1" applyFill="1" applyAlignment="1">
      <alignment horizontal="center" vertical="center" wrapText="1"/>
    </xf>
    <xf numFmtId="0" fontId="0" fillId="17" borderId="0" xfId="0" applyFill="1" applyAlignment="1">
      <alignment horizontal="center" wrapText="1"/>
    </xf>
  </cellXfs>
  <cellStyles count="3">
    <cellStyle name="Hyperlink" xfId="1" builtinId="8"/>
    <cellStyle name="Normal" xfId="0" builtinId="0"/>
    <cellStyle name="Percent" xfId="2" builtinId="5"/>
  </cellStyles>
  <dxfs count="3">
    <dxf>
      <numFmt numFmtId="0" formatCode="General"/>
    </dxf>
    <dxf>
      <numFmt numFmtId="0" formatCode="General"/>
    </dxf>
    <dxf>
      <fill>
        <patternFill>
          <bgColor rgb="FFE7F4E4"/>
        </patternFill>
      </fill>
    </dxf>
  </dxfs>
  <tableStyles count="0" defaultTableStyle="TableStyleMedium2" defaultPivotStyle="PivotStyleLight16"/>
  <colors>
    <mruColors>
      <color rgb="FFFDB81E"/>
      <color rgb="FFF9DEDE"/>
      <color rgb="FFE7F4E4"/>
      <color rgb="FFCD2026"/>
      <color rgb="FF4C2C92"/>
      <color rgb="FFFFF1D2"/>
      <color rgb="FFE31C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21</xdr:row>
      <xdr:rowOff>0</xdr:rowOff>
    </xdr:from>
    <xdr:to>
      <xdr:col>14</xdr:col>
      <xdr:colOff>83799</xdr:colOff>
      <xdr:row>26</xdr:row>
      <xdr:rowOff>88631</xdr:rowOff>
    </xdr:to>
    <xdr:pic>
      <xdr:nvPicPr>
        <xdr:cNvPr id="6" name="Picture 5">
          <a:extLst>
            <a:ext uri="{FF2B5EF4-FFF2-40B4-BE49-F238E27FC236}">
              <a16:creationId xmlns:a16="http://schemas.microsoft.com/office/drawing/2014/main" id="{45B562B5-BE33-264D-134E-3C963449990A}"/>
            </a:ext>
          </a:extLst>
        </xdr:cNvPr>
        <xdr:cNvPicPr>
          <a:picLocks noChangeAspect="1"/>
        </xdr:cNvPicPr>
      </xdr:nvPicPr>
      <xdr:blipFill>
        <a:blip xmlns:r="http://schemas.openxmlformats.org/officeDocument/2006/relationships" r:embed="rId1"/>
        <a:stretch>
          <a:fillRect/>
        </a:stretch>
      </xdr:blipFill>
      <xdr:spPr>
        <a:xfrm>
          <a:off x="12314464" y="8109857"/>
          <a:ext cx="4791871" cy="2755631"/>
        </a:xfrm>
        <a:prstGeom prst="rect">
          <a:avLst/>
        </a:prstGeom>
      </xdr:spPr>
    </xdr:pic>
    <xdr:clientData/>
  </xdr:twoCellAnchor>
  <xdr:twoCellAnchor editAs="oneCell">
    <xdr:from>
      <xdr:col>10</xdr:col>
      <xdr:colOff>734786</xdr:colOff>
      <xdr:row>26</xdr:row>
      <xdr:rowOff>176893</xdr:rowOff>
    </xdr:from>
    <xdr:to>
      <xdr:col>15</xdr:col>
      <xdr:colOff>140055</xdr:colOff>
      <xdr:row>35</xdr:row>
      <xdr:rowOff>82760</xdr:rowOff>
    </xdr:to>
    <xdr:pic>
      <xdr:nvPicPr>
        <xdr:cNvPr id="7" name="Picture 6">
          <a:extLst>
            <a:ext uri="{FF2B5EF4-FFF2-40B4-BE49-F238E27FC236}">
              <a16:creationId xmlns:a16="http://schemas.microsoft.com/office/drawing/2014/main" id="{3BD896C2-5A26-59C5-286B-DD118E27A781}"/>
            </a:ext>
          </a:extLst>
        </xdr:cNvPr>
        <xdr:cNvPicPr>
          <a:picLocks noChangeAspect="1"/>
        </xdr:cNvPicPr>
      </xdr:nvPicPr>
      <xdr:blipFill>
        <a:blip xmlns:r="http://schemas.openxmlformats.org/officeDocument/2006/relationships" r:embed="rId2"/>
        <a:stretch>
          <a:fillRect/>
        </a:stretch>
      </xdr:blipFill>
      <xdr:spPr>
        <a:xfrm>
          <a:off x="12001500" y="10953750"/>
          <a:ext cx="5773412" cy="4096867"/>
        </a:xfrm>
        <a:prstGeom prst="rect">
          <a:avLst/>
        </a:prstGeom>
      </xdr:spPr>
    </xdr:pic>
    <xdr:clientData/>
  </xdr:twoCellAnchor>
  <xdr:twoCellAnchor editAs="oneCell">
    <xdr:from>
      <xdr:col>11</xdr:col>
      <xdr:colOff>0</xdr:colOff>
      <xdr:row>15</xdr:row>
      <xdr:rowOff>0</xdr:rowOff>
    </xdr:from>
    <xdr:to>
      <xdr:col>14</xdr:col>
      <xdr:colOff>83799</xdr:colOff>
      <xdr:row>19</xdr:row>
      <xdr:rowOff>88631</xdr:rowOff>
    </xdr:to>
    <xdr:pic>
      <xdr:nvPicPr>
        <xdr:cNvPr id="10" name="Picture 9">
          <a:extLst>
            <a:ext uri="{FF2B5EF4-FFF2-40B4-BE49-F238E27FC236}">
              <a16:creationId xmlns:a16="http://schemas.microsoft.com/office/drawing/2014/main" id="{AEC0C0BB-34BB-379A-E97E-31302A5CB689}"/>
            </a:ext>
          </a:extLst>
        </xdr:cNvPr>
        <xdr:cNvPicPr>
          <a:picLocks noChangeAspect="1"/>
        </xdr:cNvPicPr>
      </xdr:nvPicPr>
      <xdr:blipFill>
        <a:blip xmlns:r="http://schemas.openxmlformats.org/officeDocument/2006/relationships" r:embed="rId3"/>
        <a:stretch>
          <a:fillRect/>
        </a:stretch>
      </xdr:blipFill>
      <xdr:spPr>
        <a:xfrm>
          <a:off x="12314464" y="4490357"/>
          <a:ext cx="4791871" cy="2755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62</xdr:row>
      <xdr:rowOff>0</xdr:rowOff>
    </xdr:from>
    <xdr:to>
      <xdr:col>24</xdr:col>
      <xdr:colOff>254001</xdr:colOff>
      <xdr:row>124</xdr:row>
      <xdr:rowOff>0</xdr:rowOff>
    </xdr:to>
    <xdr:pic>
      <xdr:nvPicPr>
        <xdr:cNvPr id="3" name="Picture 2">
          <a:extLst>
            <a:ext uri="{FF2B5EF4-FFF2-40B4-BE49-F238E27FC236}">
              <a16:creationId xmlns:a16="http://schemas.microsoft.com/office/drawing/2014/main" id="{D68E5225-349E-4F11-A5B6-0104A61DA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14478000"/>
          <a:ext cx="11839575" cy="1181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123</xdr:row>
      <xdr:rowOff>0</xdr:rowOff>
    </xdr:from>
    <xdr:to>
      <xdr:col>32</xdr:col>
      <xdr:colOff>150857</xdr:colOff>
      <xdr:row>160</xdr:row>
      <xdr:rowOff>142017</xdr:rowOff>
    </xdr:to>
    <xdr:pic>
      <xdr:nvPicPr>
        <xdr:cNvPr id="5" name="Picture 4">
          <a:extLst>
            <a:ext uri="{FF2B5EF4-FFF2-40B4-BE49-F238E27FC236}">
              <a16:creationId xmlns:a16="http://schemas.microsoft.com/office/drawing/2014/main" id="{E830CF90-90B6-47B1-BC1C-B48C89F1531E}"/>
            </a:ext>
          </a:extLst>
        </xdr:cNvPr>
        <xdr:cNvPicPr>
          <a:picLocks noChangeAspect="1"/>
        </xdr:cNvPicPr>
      </xdr:nvPicPr>
      <xdr:blipFill>
        <a:blip xmlns:r="http://schemas.openxmlformats.org/officeDocument/2006/relationships" r:embed="rId1"/>
        <a:stretch>
          <a:fillRect/>
        </a:stretch>
      </xdr:blipFill>
      <xdr:spPr>
        <a:xfrm>
          <a:off x="8183563" y="37576125"/>
          <a:ext cx="13168357" cy="6896832"/>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A5E58C01-65D9-4C4B-8042-E91CE466BCE7}" autoFormatId="16" applyNumberFormats="0" applyBorderFormats="0" applyFontFormats="0" applyPatternFormats="0" applyAlignmentFormats="0" applyWidthHeightFormats="0">
  <queryTableRefresh nextId="5">
    <queryTableFields count="4">
      <queryTableField id="1" name="Parameter" tableColumnId="1"/>
      <queryTableField id="2" name="Unit" tableColumnId="2"/>
      <queryTableField id="3" name="Gas well" tableColumnId="3"/>
      <queryTableField id="4" name="CO_{2} well"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5173DB0-F4AB-48CC-9071-E20696F8E914}" name="Table004__Page_66" displayName="Table004__Page_66" ref="C7:F18" tableType="queryTable" totalsRowShown="0">
  <autoFilter ref="C7:F18" xr:uid="{15173DB0-F4AB-48CC-9071-E20696F8E914}"/>
  <tableColumns count="4">
    <tableColumn id="1" xr3:uid="{A4B8A0EE-5175-494A-9043-99EB171A41B3}" uniqueName="1" name="Parameter" queryTableFieldId="1" dataDxfId="1"/>
    <tableColumn id="2" xr3:uid="{38487760-F14B-41EA-AEA7-7C16C82303C9}" uniqueName="2" name="Unit" queryTableFieldId="2" dataDxfId="0"/>
    <tableColumn id="3" xr3:uid="{CD443D34-B08A-43BA-9663-392BE8226BBB}" uniqueName="3" name="Gas well" queryTableFieldId="3"/>
    <tableColumn id="4" xr3:uid="{91BEEBA8-A1A9-40D3-B9F1-E1E392B7913C}" uniqueName="4" name="CO_{2} well" queryTableFieldId="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deep-geological-storage-of-carbon-dioxide-co2-offshore-uk-containment-certain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x:/r/sites/GB-BEISCCUSFwork/Shared%20Documents/05%20T%26S%20Business%20Model/T%26S%20Regulatory%20Regime/Supplemental%20Compensation%20Agreement%20(GSP)/Literature/UK%20HSE%202015_2019%20hydrocarbon%20release%20info.xlsx?d=w927160cee2cd445a8fefd0b8e1885d20&amp;csf=1&amp;web=1&amp;e=Z5FeJM" TargetMode="External"/><Relationship Id="rId2" Type="http://schemas.openxmlformats.org/officeDocument/2006/relationships/hyperlink" Target="../../../../../:b:/r/sites/GB-BEISCCUSFwork/Shared%20Documents/05%20T%26S%20Business%20Model/T%26S%20Regulatory%20Regime/Supplemental%20Compensation%20Agreement%20(GSP)/Literature/spe-106817-pa%20Bachu%20_%20Watson%20Evaluation%20of%20the%20Potential%20for%20Gas%20CO2%20Leakage%20Along%20Wellbores,%20SPE%20Drilling%20%26%20Completions,%20Mar2009.pdf?csf=1&amp;web=1&amp;e=K1DHI6" TargetMode="External"/><Relationship Id="rId1" Type="http://schemas.openxmlformats.org/officeDocument/2006/relationships/hyperlink" Target="../../../../../:b:/r/sites/GB-BEISCCUSFwork/Shared%20Documents/05%20T%26S%20Business%20Model/T%26S%20Regulatory%20Regime/Supplemental%20Compensation%20Agreement%20(GSP)/Literature/spe-17121-pa%20Cement%20bonding%20Characteristics%20in%20Gas%20Wells%20JPT%20Nov%201989%20Marlow.pdf?csf=1&amp;web=1&amp;e=aFX53k" TargetMode="External"/><Relationship Id="rId6" Type="http://schemas.openxmlformats.org/officeDocument/2006/relationships/printerSettings" Target="../printerSettings/printerSettings9.bin"/><Relationship Id="rId5" Type="http://schemas.openxmlformats.org/officeDocument/2006/relationships/hyperlink" Target="https://creativecommons.org/licenses/by/4.0/" TargetMode="External"/><Relationship Id="rId4" Type="http://schemas.openxmlformats.org/officeDocument/2006/relationships/hyperlink" Target="../../../../../:b:/r/sites/GB-BEISCCUSFwork/Shared%20Documents/05%20T%26S%20Business%20Model/T%26S%20Regulatory%20Regime/Supplemental%20Compensation%20Agreement%20(GSP)/Literature/Bourgoyne%20et%20al%201999%20OTC11029%20Sustained%20Casing%20Pressure%20in%20Offshore%20Producing%20Wells.pdf?csf=1&amp;web=1&amp;e=NcTm60"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hse.gov.uk/offshore/statistics/index.htm" TargetMode="External"/><Relationship Id="rId1" Type="http://schemas.openxmlformats.org/officeDocument/2006/relationships/hyperlink" Target="https://www.hse.gov.uk/offshore/statistics/index.htm" TargetMode="Externa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creativecommons.org/licenses/by-nc-nd/4.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reativecommons.org/licenses/by-nc-nd/3.0/"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creativecommons.org/licenses/by-nc-nd/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reativecommons.org/licenses/by-nc-nd/3.0/"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elsevier.com/open-access/userlicense/1.0/"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creativecommons.org/licenses/by-nc-nd/3.0/"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creativecommons.org/licenses/by/4.0/"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creativecommons.org/licenses/by-nc-nd/3.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BB08E-8589-4810-BEB4-EE75D9FC8565}">
  <dimension ref="C2:D21"/>
  <sheetViews>
    <sheetView tabSelected="1" workbookViewId="0"/>
  </sheetViews>
  <sheetFormatPr defaultRowHeight="15" x14ac:dyDescent="0.25"/>
  <cols>
    <col min="3" max="3" width="32.28515625" customWidth="1"/>
    <col min="4" max="4" width="77.7109375" customWidth="1"/>
  </cols>
  <sheetData>
    <row r="2" spans="3:4" ht="16.5" customHeight="1" x14ac:dyDescent="0.25">
      <c r="C2" s="407" t="s">
        <v>0</v>
      </c>
      <c r="D2" s="408"/>
    </row>
    <row r="3" spans="3:4" ht="88.5" customHeight="1" x14ac:dyDescent="0.25">
      <c r="C3" s="409"/>
      <c r="D3" s="410"/>
    </row>
    <row r="6" spans="3:4" ht="16.5" thickBot="1" x14ac:dyDescent="0.3">
      <c r="C6" s="381" t="s">
        <v>1</v>
      </c>
      <c r="D6" s="382" t="s">
        <v>2</v>
      </c>
    </row>
    <row r="7" spans="3:4" ht="15.75" thickBot="1" x14ac:dyDescent="0.3">
      <c r="C7" s="383" t="s">
        <v>3</v>
      </c>
      <c r="D7" s="377" t="s">
        <v>4</v>
      </c>
    </row>
    <row r="8" spans="3:4" ht="15.75" thickBot="1" x14ac:dyDescent="0.3">
      <c r="C8" s="383" t="s">
        <v>5</v>
      </c>
      <c r="D8" s="377" t="s">
        <v>1030</v>
      </c>
    </row>
    <row r="9" spans="3:4" x14ac:dyDescent="0.25">
      <c r="C9" s="411" t="s">
        <v>6</v>
      </c>
      <c r="D9" s="378" t="s">
        <v>7</v>
      </c>
    </row>
    <row r="10" spans="3:4" x14ac:dyDescent="0.25">
      <c r="C10" s="412"/>
      <c r="D10" s="379" t="s">
        <v>8</v>
      </c>
    </row>
    <row r="11" spans="3:4" ht="15.75" thickBot="1" x14ac:dyDescent="0.3">
      <c r="C11" s="413"/>
      <c r="D11" s="380" t="s">
        <v>9</v>
      </c>
    </row>
    <row r="12" spans="3:4" ht="30" customHeight="1" x14ac:dyDescent="0.25">
      <c r="C12" s="411" t="s">
        <v>10</v>
      </c>
      <c r="D12" s="384" t="s">
        <v>11</v>
      </c>
    </row>
    <row r="13" spans="3:4" ht="30" x14ac:dyDescent="0.25">
      <c r="C13" s="412"/>
      <c r="D13" s="385" t="s">
        <v>12</v>
      </c>
    </row>
    <row r="14" spans="3:4" ht="30" x14ac:dyDescent="0.25">
      <c r="C14" s="412"/>
      <c r="D14" s="385" t="s">
        <v>13</v>
      </c>
    </row>
    <row r="15" spans="3:4" ht="30" x14ac:dyDescent="0.25">
      <c r="C15" s="412"/>
      <c r="D15" s="385" t="s">
        <v>14</v>
      </c>
    </row>
    <row r="16" spans="3:4" ht="30.75" thickBot="1" x14ac:dyDescent="0.3">
      <c r="C16" s="413"/>
      <c r="D16" s="386" t="s">
        <v>15</v>
      </c>
    </row>
    <row r="19" spans="3:4" x14ac:dyDescent="0.25">
      <c r="C19" s="25"/>
      <c r="D19" s="25"/>
    </row>
    <row r="20" spans="3:4" ht="42" customHeight="1" x14ac:dyDescent="0.25">
      <c r="C20" s="25" t="s">
        <v>16</v>
      </c>
      <c r="D20" s="402" t="s">
        <v>17</v>
      </c>
    </row>
    <row r="21" spans="3:4" ht="39" customHeight="1" x14ac:dyDescent="0.25">
      <c r="C21" s="414" t="s">
        <v>18</v>
      </c>
      <c r="D21" s="414"/>
    </row>
  </sheetData>
  <mergeCells count="4">
    <mergeCell ref="C2:D3"/>
    <mergeCell ref="C12:C16"/>
    <mergeCell ref="C21:D21"/>
    <mergeCell ref="C9:C11"/>
  </mergeCells>
  <hyperlinks>
    <hyperlink ref="D20" r:id="rId1" display="https://www.gov.uk/government/publications/deep-geological-storage-of-carbon-dioxide-co2-offshore-uk-containment-certainty" xr:uid="{E41DC31B-B242-4757-8D32-BC3B11F18108}"/>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0FEEA-7045-4FBD-8AA9-E4A81DC0DDF0}">
  <sheetPr>
    <tabColor theme="9" tint="0.59999389629810485"/>
  </sheetPr>
  <dimension ref="A7:N126"/>
  <sheetViews>
    <sheetView zoomScale="80" zoomScaleNormal="80" workbookViewId="0"/>
  </sheetViews>
  <sheetFormatPr defaultRowHeight="15" x14ac:dyDescent="0.25"/>
  <cols>
    <col min="2" max="2" width="22.85546875" customWidth="1"/>
    <col min="3" max="3" width="16" customWidth="1"/>
    <col min="4" max="4" width="12.140625" customWidth="1"/>
    <col min="5" max="5" width="20.140625" customWidth="1"/>
    <col min="6" max="8" width="12" customWidth="1"/>
    <col min="9" max="9" width="17.42578125" customWidth="1"/>
    <col min="10" max="10" width="27.5703125" customWidth="1"/>
  </cols>
  <sheetData>
    <row r="7" spans="1:14" x14ac:dyDescent="0.25">
      <c r="A7" s="488" t="s">
        <v>633</v>
      </c>
      <c r="B7" s="222"/>
      <c r="C7" s="2" t="s">
        <v>634</v>
      </c>
      <c r="F7" s="1"/>
      <c r="G7" s="1"/>
    </row>
    <row r="8" spans="1:14" x14ac:dyDescent="0.25">
      <c r="A8" s="488"/>
      <c r="B8" s="222"/>
      <c r="C8" s="5"/>
      <c r="F8" s="1"/>
      <c r="G8" s="1"/>
    </row>
    <row r="9" spans="1:14" x14ac:dyDescent="0.25">
      <c r="A9" s="488"/>
      <c r="B9" s="222"/>
      <c r="F9" s="1"/>
      <c r="G9" s="1"/>
    </row>
    <row r="10" spans="1:14" ht="45" x14ac:dyDescent="0.25">
      <c r="A10" s="488"/>
      <c r="B10" s="388" t="s">
        <v>635</v>
      </c>
      <c r="D10" s="16" t="s">
        <v>636</v>
      </c>
      <c r="F10" s="1"/>
      <c r="G10" s="1"/>
    </row>
    <row r="11" spans="1:14" ht="24" customHeight="1" x14ac:dyDescent="0.25">
      <c r="A11" s="488"/>
      <c r="B11" s="474" t="s">
        <v>637</v>
      </c>
      <c r="C11" t="s">
        <v>638</v>
      </c>
      <c r="D11" s="245">
        <v>4.1999999999999998E-5</v>
      </c>
      <c r="E11" t="s">
        <v>639</v>
      </c>
      <c r="F11" t="s">
        <v>640</v>
      </c>
      <c r="G11" s="1"/>
      <c r="H11" s="1"/>
      <c r="N11" s="221"/>
    </row>
    <row r="12" spans="1:14" ht="24" customHeight="1" x14ac:dyDescent="0.25">
      <c r="A12" s="488"/>
      <c r="B12" s="474"/>
      <c r="C12" t="s">
        <v>641</v>
      </c>
      <c r="D12" s="223">
        <v>4.0000000000000002E-4</v>
      </c>
      <c r="E12" t="s">
        <v>639</v>
      </c>
      <c r="F12" t="s">
        <v>642</v>
      </c>
      <c r="G12" s="1"/>
      <c r="H12" s="1"/>
    </row>
    <row r="13" spans="1:14" x14ac:dyDescent="0.25">
      <c r="A13" s="488"/>
      <c r="B13" s="222"/>
      <c r="D13" s="50"/>
      <c r="F13" s="1"/>
      <c r="G13" s="1"/>
    </row>
    <row r="14" spans="1:14" x14ac:dyDescent="0.25">
      <c r="A14" s="488"/>
      <c r="B14" s="474" t="s">
        <v>643</v>
      </c>
      <c r="C14" t="s">
        <v>638</v>
      </c>
      <c r="D14" s="307">
        <v>7.2000000000000002E-5</v>
      </c>
      <c r="E14" t="s">
        <v>644</v>
      </c>
      <c r="F14" t="s">
        <v>645</v>
      </c>
      <c r="G14" s="1"/>
    </row>
    <row r="15" spans="1:14" x14ac:dyDescent="0.25">
      <c r="A15" s="488"/>
      <c r="B15" s="474"/>
      <c r="C15" t="s">
        <v>641</v>
      </c>
      <c r="D15" s="307">
        <v>8.7999999999999998E-5</v>
      </c>
      <c r="E15" t="s">
        <v>644</v>
      </c>
      <c r="F15" t="s">
        <v>645</v>
      </c>
      <c r="G15" s="1"/>
    </row>
    <row r="16" spans="1:14" x14ac:dyDescent="0.25">
      <c r="A16" s="488"/>
      <c r="B16" s="222"/>
      <c r="D16" s="50"/>
      <c r="F16" s="1"/>
      <c r="G16" s="1"/>
    </row>
    <row r="17" spans="1:13" x14ac:dyDescent="0.25">
      <c r="A17" s="488"/>
      <c r="B17" s="474" t="s">
        <v>646</v>
      </c>
      <c r="C17" t="s">
        <v>638</v>
      </c>
      <c r="D17" s="307">
        <v>2.3E-5</v>
      </c>
      <c r="F17" t="s">
        <v>647</v>
      </c>
      <c r="G17" s="1"/>
    </row>
    <row r="18" spans="1:13" x14ac:dyDescent="0.25">
      <c r="A18" s="488"/>
      <c r="B18" s="474"/>
      <c r="C18" t="s">
        <v>641</v>
      </c>
      <c r="D18" s="223">
        <v>2.3E-5</v>
      </c>
      <c r="F18" t="s">
        <v>647</v>
      </c>
      <c r="G18" s="1"/>
    </row>
    <row r="19" spans="1:13" x14ac:dyDescent="0.25">
      <c r="A19" s="488"/>
      <c r="B19" s="222"/>
      <c r="C19" s="12" t="s">
        <v>648</v>
      </c>
      <c r="D19" s="50"/>
      <c r="F19" s="1"/>
      <c r="G19" s="1"/>
    </row>
    <row r="20" spans="1:13" x14ac:dyDescent="0.25">
      <c r="A20" s="488"/>
      <c r="B20" s="222"/>
      <c r="D20" s="50"/>
      <c r="F20" s="1"/>
      <c r="G20" s="1"/>
    </row>
    <row r="21" spans="1:13" x14ac:dyDescent="0.25">
      <c r="A21" s="488"/>
      <c r="B21" s="222"/>
      <c r="F21" s="1"/>
      <c r="G21" s="1"/>
    </row>
    <row r="22" spans="1:13" x14ac:dyDescent="0.25">
      <c r="A22" s="488"/>
      <c r="B22" s="222"/>
      <c r="F22" s="1"/>
      <c r="G22" s="1"/>
    </row>
    <row r="23" spans="1:13" ht="15.75" thickBot="1" x14ac:dyDescent="0.3">
      <c r="A23" s="488"/>
      <c r="B23" s="222"/>
      <c r="I23" s="12"/>
    </row>
    <row r="24" spans="1:13" ht="15" customHeight="1" x14ac:dyDescent="0.25">
      <c r="A24" s="488"/>
      <c r="B24" s="222"/>
      <c r="C24" s="489" t="s">
        <v>606</v>
      </c>
      <c r="D24" s="490"/>
      <c r="E24" s="490"/>
      <c r="F24" s="490"/>
      <c r="G24" s="490"/>
      <c r="H24" s="491"/>
    </row>
    <row r="25" spans="1:13" x14ac:dyDescent="0.25">
      <c r="A25" s="488"/>
      <c r="B25" s="222"/>
      <c r="C25" s="492" t="s">
        <v>319</v>
      </c>
      <c r="D25" s="478"/>
      <c r="E25" s="34" t="s">
        <v>607</v>
      </c>
      <c r="F25" s="462" t="s">
        <v>649</v>
      </c>
      <c r="G25" s="462"/>
      <c r="H25" s="463"/>
      <c r="I25" s="475" t="s">
        <v>605</v>
      </c>
      <c r="J25" s="475"/>
      <c r="K25" s="475"/>
      <c r="L25" s="475"/>
      <c r="M25" s="346"/>
    </row>
    <row r="26" spans="1:13" x14ac:dyDescent="0.25">
      <c r="A26" s="488"/>
      <c r="B26" s="222"/>
      <c r="C26" s="492"/>
      <c r="D26" s="478"/>
      <c r="E26" s="34" t="s">
        <v>19</v>
      </c>
      <c r="F26" s="462" t="s">
        <v>650</v>
      </c>
      <c r="G26" s="462"/>
      <c r="H26" s="463"/>
    </row>
    <row r="27" spans="1:13" ht="60" x14ac:dyDescent="0.25">
      <c r="A27" s="488"/>
      <c r="B27" s="222"/>
      <c r="C27" s="492"/>
      <c r="D27" s="478"/>
      <c r="E27" s="34" t="s">
        <v>364</v>
      </c>
      <c r="F27" s="34" t="s">
        <v>365</v>
      </c>
      <c r="G27" s="34" t="s">
        <v>366</v>
      </c>
      <c r="H27" s="61" t="s">
        <v>367</v>
      </c>
      <c r="I27" s="21" t="s">
        <v>435</v>
      </c>
    </row>
    <row r="28" spans="1:13" x14ac:dyDescent="0.25">
      <c r="A28" s="488"/>
      <c r="B28" s="222"/>
      <c r="C28" s="420" t="s">
        <v>368</v>
      </c>
      <c r="D28" s="478" t="s">
        <v>369</v>
      </c>
      <c r="E28" s="129" t="s">
        <v>370</v>
      </c>
      <c r="F28" s="60"/>
      <c r="G28" s="60"/>
      <c r="H28" s="62"/>
      <c r="I28" s="53"/>
    </row>
    <row r="29" spans="1:13" ht="105" x14ac:dyDescent="0.25">
      <c r="A29" s="488"/>
      <c r="B29" s="222"/>
      <c r="C29" s="420"/>
      <c r="D29" s="478"/>
      <c r="E29" s="132" t="s">
        <v>380</v>
      </c>
      <c r="F29" s="339">
        <v>8.7999999999999998E-5</v>
      </c>
      <c r="G29" s="54" t="s">
        <v>385</v>
      </c>
      <c r="H29" s="61" t="s">
        <v>651</v>
      </c>
      <c r="I29" s="53"/>
      <c r="J29" s="8"/>
    </row>
    <row r="30" spans="1:13" ht="90" x14ac:dyDescent="0.25">
      <c r="A30" s="488"/>
      <c r="B30" s="222"/>
      <c r="C30" s="420"/>
      <c r="D30" s="478"/>
      <c r="E30" s="132" t="s">
        <v>394</v>
      </c>
      <c r="F30" s="350">
        <v>7.2000000000000002E-5</v>
      </c>
      <c r="G30" s="54" t="s">
        <v>385</v>
      </c>
      <c r="H30" s="61" t="s">
        <v>652</v>
      </c>
      <c r="I30" s="53"/>
      <c r="J30" s="8"/>
    </row>
    <row r="31" spans="1:13" ht="30" x14ac:dyDescent="0.25">
      <c r="A31" s="488"/>
      <c r="B31" s="222"/>
      <c r="C31" s="420"/>
      <c r="D31" s="478"/>
      <c r="E31" s="129" t="s">
        <v>405</v>
      </c>
      <c r="F31" s="60"/>
      <c r="G31" s="60"/>
      <c r="H31" s="62"/>
      <c r="I31" s="53"/>
    </row>
    <row r="32" spans="1:13" ht="30" x14ac:dyDescent="0.25">
      <c r="A32" s="488"/>
      <c r="B32" s="222"/>
      <c r="C32" s="420"/>
      <c r="D32" s="462" t="s">
        <v>421</v>
      </c>
      <c r="E32" s="132" t="s">
        <v>422</v>
      </c>
      <c r="F32" s="38"/>
      <c r="G32" s="38"/>
      <c r="H32" s="63"/>
    </row>
    <row r="33" spans="1:8" ht="30" x14ac:dyDescent="0.25">
      <c r="A33" s="488"/>
      <c r="B33" s="222"/>
      <c r="C33" s="420"/>
      <c r="D33" s="462"/>
      <c r="E33" s="132" t="s">
        <v>428</v>
      </c>
      <c r="F33" s="34"/>
      <c r="G33" s="46"/>
      <c r="H33" s="61"/>
    </row>
    <row r="34" spans="1:8" ht="45" x14ac:dyDescent="0.25">
      <c r="A34" s="488"/>
      <c r="B34" s="222"/>
      <c r="C34" s="420"/>
      <c r="D34" s="462"/>
      <c r="E34" s="132" t="s">
        <v>429</v>
      </c>
      <c r="F34" s="38"/>
      <c r="G34" s="38"/>
      <c r="H34" s="63"/>
    </row>
    <row r="35" spans="1:8" ht="30" x14ac:dyDescent="0.25">
      <c r="A35" s="488"/>
      <c r="B35" s="222"/>
      <c r="C35" s="420"/>
      <c r="D35" s="462"/>
      <c r="E35" s="132" t="s">
        <v>430</v>
      </c>
      <c r="F35" s="38"/>
      <c r="G35" s="38"/>
      <c r="H35" s="63"/>
    </row>
    <row r="36" spans="1:8" ht="30" x14ac:dyDescent="0.25">
      <c r="A36" s="488"/>
      <c r="B36" s="222"/>
      <c r="C36" s="420"/>
      <c r="D36" s="462"/>
      <c r="E36" s="132" t="s">
        <v>432</v>
      </c>
      <c r="F36" s="38"/>
      <c r="G36" s="38"/>
      <c r="H36" s="63"/>
    </row>
    <row r="37" spans="1:8" ht="30" x14ac:dyDescent="0.25">
      <c r="A37" s="488"/>
      <c r="B37" s="222"/>
      <c r="C37" s="420"/>
      <c r="D37" s="462"/>
      <c r="E37" s="132" t="s">
        <v>434</v>
      </c>
      <c r="F37" s="34"/>
      <c r="G37" s="34"/>
      <c r="H37" s="61"/>
    </row>
    <row r="38" spans="1:8" ht="30" x14ac:dyDescent="0.25">
      <c r="A38" s="488"/>
      <c r="B38" s="222"/>
      <c r="C38" s="420"/>
      <c r="D38" s="462"/>
      <c r="E38" s="132" t="s">
        <v>436</v>
      </c>
      <c r="F38" s="38"/>
      <c r="G38" s="38"/>
      <c r="H38" s="63"/>
    </row>
    <row r="39" spans="1:8" ht="30" x14ac:dyDescent="0.25">
      <c r="A39" s="488"/>
      <c r="B39" s="222"/>
      <c r="C39" s="420"/>
      <c r="D39" s="462"/>
      <c r="E39" s="132" t="s">
        <v>437</v>
      </c>
      <c r="F39" s="38"/>
      <c r="G39" s="38"/>
      <c r="H39" s="63"/>
    </row>
    <row r="40" spans="1:8" x14ac:dyDescent="0.25">
      <c r="A40" s="488"/>
      <c r="B40" s="222"/>
      <c r="C40" s="420" t="s">
        <v>438</v>
      </c>
      <c r="D40" s="478" t="s">
        <v>369</v>
      </c>
      <c r="E40" s="129" t="s">
        <v>370</v>
      </c>
      <c r="F40" s="58"/>
      <c r="G40" s="55"/>
      <c r="H40" s="62"/>
    </row>
    <row r="41" spans="1:8" ht="30" x14ac:dyDescent="0.25">
      <c r="A41" s="488"/>
      <c r="B41" s="222"/>
      <c r="C41" s="420"/>
      <c r="D41" s="478"/>
      <c r="E41" s="132" t="s">
        <v>380</v>
      </c>
      <c r="F41" s="59"/>
      <c r="G41" s="54"/>
      <c r="H41" s="61"/>
    </row>
    <row r="42" spans="1:8" ht="30" x14ac:dyDescent="0.25">
      <c r="A42" s="488"/>
      <c r="B42" s="222"/>
      <c r="C42" s="420"/>
      <c r="D42" s="478"/>
      <c r="E42" s="132" t="s">
        <v>394</v>
      </c>
      <c r="F42" s="350">
        <v>2.3E-5</v>
      </c>
      <c r="G42" s="54" t="s">
        <v>385</v>
      </c>
      <c r="H42" s="61" t="s">
        <v>451</v>
      </c>
    </row>
    <row r="43" spans="1:8" ht="30" x14ac:dyDescent="0.25">
      <c r="A43" s="488"/>
      <c r="B43" s="222"/>
      <c r="C43" s="420"/>
      <c r="D43" s="478"/>
      <c r="E43" s="129" t="s">
        <v>405</v>
      </c>
      <c r="F43" s="60"/>
      <c r="G43" s="57"/>
      <c r="H43" s="168"/>
    </row>
    <row r="44" spans="1:8" ht="30" x14ac:dyDescent="0.25">
      <c r="A44" s="488"/>
      <c r="B44" s="222"/>
      <c r="C44" s="420"/>
      <c r="D44" s="462" t="s">
        <v>421</v>
      </c>
      <c r="E44" s="132" t="s">
        <v>453</v>
      </c>
      <c r="F44" s="38"/>
      <c r="G44" s="38"/>
      <c r="H44" s="63"/>
    </row>
    <row r="45" spans="1:8" ht="30" x14ac:dyDescent="0.25">
      <c r="A45" s="488"/>
      <c r="B45" s="222"/>
      <c r="C45" s="420"/>
      <c r="D45" s="462"/>
      <c r="E45" s="132" t="s">
        <v>428</v>
      </c>
      <c r="F45" s="38"/>
      <c r="G45" s="38"/>
      <c r="H45" s="63"/>
    </row>
    <row r="46" spans="1:8" ht="45" x14ac:dyDescent="0.25">
      <c r="A46" s="488"/>
      <c r="B46" s="222"/>
      <c r="C46" s="420"/>
      <c r="D46" s="462"/>
      <c r="E46" s="132" t="s">
        <v>429</v>
      </c>
      <c r="F46" s="38"/>
      <c r="G46" s="38"/>
      <c r="H46" s="63"/>
    </row>
    <row r="47" spans="1:8" ht="30" x14ac:dyDescent="0.25">
      <c r="A47" s="488"/>
      <c r="B47" s="222"/>
      <c r="C47" s="420"/>
      <c r="D47" s="462"/>
      <c r="E47" s="132" t="s">
        <v>430</v>
      </c>
      <c r="F47" s="38"/>
      <c r="G47" s="38"/>
      <c r="H47" s="63"/>
    </row>
    <row r="48" spans="1:8" ht="30" x14ac:dyDescent="0.25">
      <c r="A48" s="488"/>
      <c r="B48" s="222"/>
      <c r="C48" s="420"/>
      <c r="D48" s="462"/>
      <c r="E48" s="132" t="s">
        <v>432</v>
      </c>
      <c r="F48" s="38"/>
      <c r="G48" s="38"/>
      <c r="H48" s="63"/>
    </row>
    <row r="49" spans="1:8" ht="30" x14ac:dyDescent="0.25">
      <c r="A49" s="488"/>
      <c r="B49" s="222"/>
      <c r="C49" s="420"/>
      <c r="D49" s="462"/>
      <c r="E49" s="132" t="s">
        <v>434</v>
      </c>
      <c r="F49" s="38"/>
      <c r="G49" s="38"/>
      <c r="H49" s="63"/>
    </row>
    <row r="50" spans="1:8" ht="30" x14ac:dyDescent="0.25">
      <c r="A50" s="488"/>
      <c r="B50" s="222"/>
      <c r="C50" s="420"/>
      <c r="D50" s="462"/>
      <c r="E50" s="132" t="s">
        <v>436</v>
      </c>
      <c r="F50" s="38"/>
      <c r="G50" s="38"/>
      <c r="H50" s="63"/>
    </row>
    <row r="51" spans="1:8" ht="30.75" thickBot="1" x14ac:dyDescent="0.3">
      <c r="A51" s="488"/>
      <c r="B51" s="222"/>
      <c r="C51" s="427"/>
      <c r="D51" s="493"/>
      <c r="E51" s="194" t="s">
        <v>437</v>
      </c>
      <c r="F51" s="171"/>
      <c r="G51" s="171"/>
      <c r="H51" s="172"/>
    </row>
    <row r="52" spans="1:8" x14ac:dyDescent="0.25">
      <c r="A52" s="488"/>
      <c r="B52" s="222"/>
    </row>
    <row r="53" spans="1:8" x14ac:dyDescent="0.25">
      <c r="A53" s="488"/>
      <c r="B53" s="222"/>
    </row>
    <row r="54" spans="1:8" x14ac:dyDescent="0.25">
      <c r="A54" s="488"/>
      <c r="B54" s="222"/>
    </row>
    <row r="55" spans="1:8" x14ac:dyDescent="0.25">
      <c r="A55" s="488"/>
      <c r="B55" s="222"/>
    </row>
    <row r="56" spans="1:8" x14ac:dyDescent="0.25">
      <c r="A56" s="488"/>
      <c r="B56" s="222"/>
    </row>
    <row r="57" spans="1:8" x14ac:dyDescent="0.25">
      <c r="A57" s="488"/>
      <c r="B57" s="222"/>
    </row>
    <row r="58" spans="1:8" x14ac:dyDescent="0.25">
      <c r="A58" s="488"/>
      <c r="B58" s="222"/>
    </row>
    <row r="59" spans="1:8" x14ac:dyDescent="0.25">
      <c r="A59" s="488"/>
      <c r="B59" s="222"/>
    </row>
    <row r="60" spans="1:8" x14ac:dyDescent="0.25">
      <c r="A60" s="488"/>
      <c r="B60" s="222"/>
    </row>
    <row r="61" spans="1:8" x14ac:dyDescent="0.25">
      <c r="A61" s="488"/>
      <c r="B61" s="222"/>
    </row>
    <row r="62" spans="1:8" x14ac:dyDescent="0.25">
      <c r="A62" s="488"/>
      <c r="B62" s="222"/>
    </row>
    <row r="63" spans="1:8" x14ac:dyDescent="0.25">
      <c r="A63" s="488"/>
      <c r="B63" s="222"/>
    </row>
    <row r="64" spans="1:8" x14ac:dyDescent="0.25">
      <c r="A64" s="488"/>
      <c r="B64" s="222"/>
    </row>
    <row r="65" spans="1:2" x14ac:dyDescent="0.25">
      <c r="A65" s="488"/>
      <c r="B65" s="222"/>
    </row>
    <row r="66" spans="1:2" x14ac:dyDescent="0.25">
      <c r="A66" s="488"/>
      <c r="B66" s="222"/>
    </row>
    <row r="67" spans="1:2" x14ac:dyDescent="0.25">
      <c r="A67" s="488"/>
      <c r="B67" s="222"/>
    </row>
    <row r="68" spans="1:2" x14ac:dyDescent="0.25">
      <c r="A68" s="488"/>
      <c r="B68" s="222"/>
    </row>
    <row r="69" spans="1:2" x14ac:dyDescent="0.25">
      <c r="A69" s="488"/>
      <c r="B69" s="222"/>
    </row>
    <row r="70" spans="1:2" x14ac:dyDescent="0.25">
      <c r="A70" s="488"/>
      <c r="B70" s="222"/>
    </row>
    <row r="71" spans="1:2" x14ac:dyDescent="0.25">
      <c r="A71" s="488"/>
      <c r="B71" s="222"/>
    </row>
    <row r="72" spans="1:2" x14ac:dyDescent="0.25">
      <c r="A72" s="488"/>
      <c r="B72" s="222"/>
    </row>
    <row r="73" spans="1:2" x14ac:dyDescent="0.25">
      <c r="A73" s="488"/>
      <c r="B73" s="222"/>
    </row>
    <row r="74" spans="1:2" x14ac:dyDescent="0.25">
      <c r="A74" s="488"/>
      <c r="B74" s="222"/>
    </row>
    <row r="75" spans="1:2" x14ac:dyDescent="0.25">
      <c r="A75" s="488"/>
      <c r="B75" s="222"/>
    </row>
    <row r="76" spans="1:2" x14ac:dyDescent="0.25">
      <c r="A76" s="488"/>
      <c r="B76" s="222"/>
    </row>
    <row r="77" spans="1:2" x14ac:dyDescent="0.25">
      <c r="A77" s="488"/>
      <c r="B77" s="222"/>
    </row>
    <row r="78" spans="1:2" x14ac:dyDescent="0.25">
      <c r="A78" s="488"/>
      <c r="B78" s="222"/>
    </row>
    <row r="79" spans="1:2" x14ac:dyDescent="0.25">
      <c r="A79" s="488"/>
      <c r="B79" s="222"/>
    </row>
    <row r="80" spans="1:2" x14ac:dyDescent="0.25">
      <c r="A80" s="488"/>
      <c r="B80" s="222"/>
    </row>
    <row r="81" spans="1:2" x14ac:dyDescent="0.25">
      <c r="A81" s="488"/>
      <c r="B81" s="222"/>
    </row>
    <row r="82" spans="1:2" x14ac:dyDescent="0.25">
      <c r="A82" s="488"/>
      <c r="B82" s="222"/>
    </row>
    <row r="83" spans="1:2" x14ac:dyDescent="0.25">
      <c r="A83" s="488"/>
      <c r="B83" s="222"/>
    </row>
    <row r="84" spans="1:2" x14ac:dyDescent="0.25">
      <c r="A84" s="488"/>
      <c r="B84" s="222"/>
    </row>
    <row r="85" spans="1:2" x14ac:dyDescent="0.25">
      <c r="A85" s="488"/>
      <c r="B85" s="222"/>
    </row>
    <row r="86" spans="1:2" x14ac:dyDescent="0.25">
      <c r="A86" s="488"/>
      <c r="B86" s="222"/>
    </row>
    <row r="87" spans="1:2" x14ac:dyDescent="0.25">
      <c r="A87" s="488"/>
      <c r="B87" s="222"/>
    </row>
    <row r="88" spans="1:2" x14ac:dyDescent="0.25">
      <c r="A88" s="488"/>
      <c r="B88" s="222"/>
    </row>
    <row r="89" spans="1:2" x14ac:dyDescent="0.25">
      <c r="A89" s="488"/>
      <c r="B89" s="222"/>
    </row>
    <row r="90" spans="1:2" x14ac:dyDescent="0.25">
      <c r="A90" s="488"/>
      <c r="B90" s="222"/>
    </row>
    <row r="91" spans="1:2" x14ac:dyDescent="0.25">
      <c r="A91" s="488"/>
      <c r="B91" s="222"/>
    </row>
    <row r="92" spans="1:2" x14ac:dyDescent="0.25">
      <c r="A92" s="488"/>
      <c r="B92" s="222"/>
    </row>
    <row r="93" spans="1:2" x14ac:dyDescent="0.25">
      <c r="A93" s="488"/>
      <c r="B93" s="222"/>
    </row>
    <row r="94" spans="1:2" x14ac:dyDescent="0.25">
      <c r="A94" s="488"/>
      <c r="B94" s="222"/>
    </row>
    <row r="95" spans="1:2" x14ac:dyDescent="0.25">
      <c r="A95" s="488"/>
      <c r="B95" s="222"/>
    </row>
    <row r="96" spans="1:2" x14ac:dyDescent="0.25">
      <c r="A96" s="488"/>
      <c r="B96" s="222"/>
    </row>
    <row r="97" spans="1:2" x14ac:dyDescent="0.25">
      <c r="A97" s="488"/>
      <c r="B97" s="222"/>
    </row>
    <row r="98" spans="1:2" x14ac:dyDescent="0.25">
      <c r="A98" s="488"/>
      <c r="B98" s="222"/>
    </row>
    <row r="99" spans="1:2" x14ac:dyDescent="0.25">
      <c r="A99" s="488"/>
      <c r="B99" s="222"/>
    </row>
    <row r="100" spans="1:2" x14ac:dyDescent="0.25">
      <c r="A100" s="488"/>
      <c r="B100" s="222"/>
    </row>
    <row r="101" spans="1:2" x14ac:dyDescent="0.25">
      <c r="A101" s="488"/>
      <c r="B101" s="222"/>
    </row>
    <row r="102" spans="1:2" x14ac:dyDescent="0.25">
      <c r="A102" s="488"/>
      <c r="B102" s="222"/>
    </row>
    <row r="103" spans="1:2" x14ac:dyDescent="0.25">
      <c r="A103" s="488"/>
      <c r="B103" s="222"/>
    </row>
    <row r="104" spans="1:2" x14ac:dyDescent="0.25">
      <c r="A104" s="488"/>
      <c r="B104" s="222"/>
    </row>
    <row r="105" spans="1:2" x14ac:dyDescent="0.25">
      <c r="A105" s="488"/>
      <c r="B105" s="222"/>
    </row>
    <row r="106" spans="1:2" x14ac:dyDescent="0.25">
      <c r="A106" s="488"/>
      <c r="B106" s="222"/>
    </row>
    <row r="107" spans="1:2" x14ac:dyDescent="0.25">
      <c r="A107" s="488"/>
      <c r="B107" s="222"/>
    </row>
    <row r="108" spans="1:2" x14ac:dyDescent="0.25">
      <c r="A108" s="488"/>
      <c r="B108" s="222"/>
    </row>
    <row r="109" spans="1:2" x14ac:dyDescent="0.25">
      <c r="A109" s="488"/>
      <c r="B109" s="222"/>
    </row>
    <row r="110" spans="1:2" x14ac:dyDescent="0.25">
      <c r="A110" s="488"/>
      <c r="B110" s="222"/>
    </row>
    <row r="111" spans="1:2" x14ac:dyDescent="0.25">
      <c r="A111" s="488"/>
      <c r="B111" s="222"/>
    </row>
    <row r="112" spans="1:2" x14ac:dyDescent="0.25">
      <c r="A112" s="488"/>
      <c r="B112" s="222"/>
    </row>
    <row r="113" spans="1:2" x14ac:dyDescent="0.25">
      <c r="A113" s="488"/>
      <c r="B113" s="222"/>
    </row>
    <row r="114" spans="1:2" x14ac:dyDescent="0.25">
      <c r="A114" s="488"/>
      <c r="B114" s="222"/>
    </row>
    <row r="115" spans="1:2" x14ac:dyDescent="0.25">
      <c r="A115" s="488"/>
      <c r="B115" s="222"/>
    </row>
    <row r="116" spans="1:2" x14ac:dyDescent="0.25">
      <c r="A116" s="488"/>
      <c r="B116" s="222"/>
    </row>
    <row r="117" spans="1:2" x14ac:dyDescent="0.25">
      <c r="A117" s="488"/>
      <c r="B117" s="222"/>
    </row>
    <row r="118" spans="1:2" x14ac:dyDescent="0.25">
      <c r="A118" s="488"/>
      <c r="B118" s="222"/>
    </row>
    <row r="119" spans="1:2" x14ac:dyDescent="0.25">
      <c r="A119" s="488"/>
      <c r="B119" s="222"/>
    </row>
    <row r="120" spans="1:2" x14ac:dyDescent="0.25">
      <c r="A120" s="488"/>
      <c r="B120" s="222"/>
    </row>
    <row r="121" spans="1:2" x14ac:dyDescent="0.25">
      <c r="A121" s="488"/>
      <c r="B121" s="222"/>
    </row>
    <row r="122" spans="1:2" x14ac:dyDescent="0.25">
      <c r="A122" s="488"/>
      <c r="B122" s="222"/>
    </row>
    <row r="123" spans="1:2" x14ac:dyDescent="0.25">
      <c r="A123" s="488"/>
      <c r="B123" s="222"/>
    </row>
    <row r="124" spans="1:2" x14ac:dyDescent="0.25">
      <c r="A124" s="488"/>
      <c r="B124" s="222"/>
    </row>
    <row r="125" spans="1:2" x14ac:dyDescent="0.25">
      <c r="A125" s="488"/>
      <c r="B125" s="222"/>
    </row>
    <row r="126" spans="1:2" x14ac:dyDescent="0.25">
      <c r="A126" s="488"/>
      <c r="B126" s="222"/>
    </row>
  </sheetData>
  <mergeCells count="15">
    <mergeCell ref="I25:L25"/>
    <mergeCell ref="A7:A126"/>
    <mergeCell ref="C24:H24"/>
    <mergeCell ref="C25:D27"/>
    <mergeCell ref="F25:H25"/>
    <mergeCell ref="F26:H26"/>
    <mergeCell ref="C28:C39"/>
    <mergeCell ref="D28:D31"/>
    <mergeCell ref="D32:D39"/>
    <mergeCell ref="C40:C51"/>
    <mergeCell ref="D40:D43"/>
    <mergeCell ref="D44:D51"/>
    <mergeCell ref="B11:B12"/>
    <mergeCell ref="B14:B15"/>
    <mergeCell ref="B17:B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2F60-4DBD-4002-847B-D407A3E00B63}">
  <sheetPr>
    <tabColor theme="9" tint="0.59999389629810485"/>
  </sheetPr>
  <dimension ref="A1:AO98"/>
  <sheetViews>
    <sheetView zoomScale="70" zoomScaleNormal="70" workbookViewId="0"/>
  </sheetViews>
  <sheetFormatPr defaultRowHeight="15" x14ac:dyDescent="0.25"/>
  <cols>
    <col min="2" max="2" width="23.85546875" customWidth="1"/>
    <col min="3" max="3" width="13.7109375" style="1" customWidth="1"/>
    <col min="4" max="4" width="20.28515625" customWidth="1"/>
    <col min="5" max="5" width="19.140625" customWidth="1"/>
    <col min="7" max="7" width="11.140625" customWidth="1"/>
    <col min="8" max="8" width="14.85546875" customWidth="1"/>
    <col min="11" max="11" width="13.42578125" customWidth="1"/>
    <col min="12" max="12" width="13.28515625" customWidth="1"/>
    <col min="14" max="14" width="23.7109375" customWidth="1"/>
    <col min="15" max="15" width="14" customWidth="1"/>
    <col min="40" max="40" width="12.85546875" bestFit="1" customWidth="1"/>
    <col min="41" max="41" width="12.85546875" customWidth="1"/>
  </cols>
  <sheetData>
    <row r="1" spans="1:19" x14ac:dyDescent="0.25">
      <c r="B1" s="353" t="s">
        <v>653</v>
      </c>
      <c r="C1" s="354"/>
      <c r="D1" s="353"/>
      <c r="F1" s="391" t="s">
        <v>654</v>
      </c>
      <c r="G1" s="391"/>
      <c r="H1" s="391"/>
      <c r="I1" s="391"/>
      <c r="J1" s="391"/>
      <c r="K1" s="391"/>
      <c r="L1" s="391"/>
      <c r="M1" s="391"/>
      <c r="N1" s="391"/>
    </row>
    <row r="3" spans="1:19" ht="15" customHeight="1" x14ac:dyDescent="0.25">
      <c r="A3" s="494" t="s">
        <v>655</v>
      </c>
      <c r="B3" s="303" t="s">
        <v>655</v>
      </c>
      <c r="E3" s="1"/>
      <c r="F3" s="1"/>
    </row>
    <row r="4" spans="1:19" ht="15" customHeight="1" x14ac:dyDescent="0.25">
      <c r="A4" s="494"/>
      <c r="B4" s="303" t="s">
        <v>26</v>
      </c>
      <c r="E4" s="1"/>
      <c r="F4" s="1"/>
    </row>
    <row r="5" spans="1:19" x14ac:dyDescent="0.25">
      <c r="A5" s="494"/>
      <c r="B5" s="5" t="s">
        <v>656</v>
      </c>
      <c r="E5" s="1"/>
      <c r="F5" s="1"/>
    </row>
    <row r="6" spans="1:19" x14ac:dyDescent="0.25">
      <c r="A6" s="494"/>
      <c r="E6" s="1"/>
      <c r="F6" s="1"/>
    </row>
    <row r="7" spans="1:19" x14ac:dyDescent="0.25">
      <c r="A7" s="494"/>
      <c r="B7" s="2" t="s">
        <v>31</v>
      </c>
      <c r="E7" s="1"/>
      <c r="F7" s="1"/>
    </row>
    <row r="8" spans="1:19" x14ac:dyDescent="0.25">
      <c r="A8" s="494"/>
      <c r="B8" s="5"/>
      <c r="E8" s="1"/>
      <c r="F8" s="1"/>
    </row>
    <row r="9" spans="1:19" x14ac:dyDescent="0.25">
      <c r="A9" s="494"/>
      <c r="E9" s="1"/>
      <c r="F9" s="1"/>
    </row>
    <row r="10" spans="1:19" x14ac:dyDescent="0.25">
      <c r="A10" s="494"/>
      <c r="B10" s="12" t="s">
        <v>657</v>
      </c>
      <c r="E10" s="1"/>
      <c r="F10" s="1"/>
    </row>
    <row r="11" spans="1:19" x14ac:dyDescent="0.25">
      <c r="A11" s="494"/>
      <c r="B11" s="2" t="s">
        <v>658</v>
      </c>
      <c r="E11" s="1"/>
      <c r="F11" s="1"/>
    </row>
    <row r="12" spans="1:19" ht="60" x14ac:dyDescent="0.25">
      <c r="A12" s="494"/>
      <c r="B12" s="23" t="s">
        <v>659</v>
      </c>
      <c r="C12" s="17">
        <v>0.14499999999999999</v>
      </c>
      <c r="D12" s="24" t="s">
        <v>660</v>
      </c>
      <c r="E12" s="4"/>
      <c r="F12" s="223">
        <f>14.5/100</f>
        <v>0.14499999999999999</v>
      </c>
      <c r="G12" s="23" t="s">
        <v>661</v>
      </c>
      <c r="H12" s="23"/>
      <c r="I12" s="23"/>
      <c r="J12" s="23"/>
      <c r="K12" s="355">
        <f>EXP(-2.17)</f>
        <v>0.1141776169108365</v>
      </c>
      <c r="L12" s="356">
        <f>K12</f>
        <v>0.1141776169108365</v>
      </c>
      <c r="M12" s="23"/>
      <c r="N12" s="23"/>
      <c r="R12" s="8"/>
      <c r="S12" s="283"/>
    </row>
    <row r="13" spans="1:19" ht="58.9" customHeight="1" x14ac:dyDescent="0.25">
      <c r="A13" s="494"/>
      <c r="B13" s="4" t="s">
        <v>662</v>
      </c>
      <c r="C13" s="17" t="s">
        <v>663</v>
      </c>
      <c r="D13" s="474" t="s">
        <v>664</v>
      </c>
      <c r="E13" s="474"/>
      <c r="F13" s="474"/>
      <c r="G13" s="474"/>
      <c r="H13" s="474"/>
      <c r="I13" s="474"/>
      <c r="J13" s="474"/>
      <c r="K13" s="474"/>
      <c r="L13" s="474"/>
      <c r="M13" s="474"/>
    </row>
    <row r="14" spans="1:19" x14ac:dyDescent="0.25">
      <c r="A14" s="494"/>
      <c r="B14" t="s">
        <v>665</v>
      </c>
      <c r="C14" s="1">
        <v>158.5</v>
      </c>
      <c r="D14" t="s">
        <v>666</v>
      </c>
      <c r="E14" s="13" t="s">
        <v>667</v>
      </c>
      <c r="F14" s="1"/>
      <c r="J14" s="310">
        <f>C14/365</f>
        <v>0.43424657534246575</v>
      </c>
      <c r="K14" t="s">
        <v>668</v>
      </c>
    </row>
    <row r="15" spans="1:19" x14ac:dyDescent="0.25">
      <c r="A15" s="494"/>
      <c r="B15" t="s">
        <v>669</v>
      </c>
      <c r="C15" s="495">
        <v>102</v>
      </c>
      <c r="D15" s="496" t="s">
        <v>666</v>
      </c>
      <c r="E15" t="s">
        <v>670</v>
      </c>
      <c r="F15" s="1"/>
    </row>
    <row r="16" spans="1:19" x14ac:dyDescent="0.25">
      <c r="A16" s="494"/>
      <c r="C16" s="495"/>
      <c r="D16" s="496"/>
      <c r="E16" t="s">
        <v>671</v>
      </c>
      <c r="F16" s="1"/>
    </row>
    <row r="17" spans="1:41" x14ac:dyDescent="0.25">
      <c r="A17" s="494"/>
      <c r="B17" t="s">
        <v>672</v>
      </c>
      <c r="C17" s="1">
        <v>215</v>
      </c>
      <c r="D17" t="s">
        <v>666</v>
      </c>
      <c r="E17" t="s">
        <v>673</v>
      </c>
      <c r="F17" s="1"/>
    </row>
    <row r="18" spans="1:41" x14ac:dyDescent="0.25">
      <c r="A18" s="494"/>
      <c r="E18" s="13"/>
      <c r="F18" s="1"/>
    </row>
    <row r="19" spans="1:41" x14ac:dyDescent="0.25">
      <c r="A19" s="494"/>
      <c r="B19" s="2" t="s">
        <v>674</v>
      </c>
      <c r="E19" s="13"/>
      <c r="F19" s="1"/>
    </row>
    <row r="20" spans="1:41" x14ac:dyDescent="0.25">
      <c r="A20" s="494"/>
      <c r="E20" s="13"/>
      <c r="F20" s="1"/>
    </row>
    <row r="21" spans="1:41" x14ac:dyDescent="0.25">
      <c r="A21" s="494"/>
      <c r="B21" s="14" t="s">
        <v>675</v>
      </c>
      <c r="E21" s="13"/>
      <c r="F21" s="1"/>
    </row>
    <row r="22" spans="1:41" x14ac:dyDescent="0.25">
      <c r="A22" s="494"/>
      <c r="B22" t="s">
        <v>659</v>
      </c>
      <c r="C22" s="1">
        <v>6.93E-2</v>
      </c>
      <c r="D22" t="s">
        <v>676</v>
      </c>
      <c r="E22" t="s">
        <v>677</v>
      </c>
      <c r="F22" s="1"/>
      <c r="K22" s="56">
        <f>C22</f>
        <v>6.93E-2</v>
      </c>
      <c r="L22" t="s">
        <v>678</v>
      </c>
      <c r="P22" s="357" t="s">
        <v>679</v>
      </c>
      <c r="Q22" s="353"/>
      <c r="R22" s="353"/>
      <c r="S22" s="353"/>
      <c r="T22" s="353"/>
      <c r="U22" s="353"/>
      <c r="V22" s="353"/>
      <c r="W22" s="353"/>
      <c r="X22" s="353"/>
      <c r="Y22" s="353"/>
      <c r="Z22" s="353"/>
      <c r="AA22" s="353"/>
      <c r="AB22" s="353"/>
      <c r="AC22" s="353"/>
      <c r="AD22" s="353"/>
      <c r="AE22" s="353"/>
    </row>
    <row r="23" spans="1:41" x14ac:dyDescent="0.25">
      <c r="A23" s="494"/>
      <c r="B23" t="s">
        <v>680</v>
      </c>
      <c r="C23" s="1">
        <v>750</v>
      </c>
      <c r="D23" t="s">
        <v>681</v>
      </c>
      <c r="E23" s="13" t="s">
        <v>682</v>
      </c>
      <c r="F23" s="1"/>
      <c r="AN23" s="280"/>
    </row>
    <row r="24" spans="1:41" x14ac:dyDescent="0.25">
      <c r="A24" s="494"/>
      <c r="B24" t="s">
        <v>615</v>
      </c>
      <c r="C24" s="1">
        <v>22</v>
      </c>
      <c r="D24" s="88" t="s">
        <v>683</v>
      </c>
      <c r="E24" s="13"/>
      <c r="F24" s="13"/>
      <c r="AN24" s="280"/>
    </row>
    <row r="25" spans="1:41" x14ac:dyDescent="0.25">
      <c r="A25" s="494"/>
      <c r="B25" t="s">
        <v>684</v>
      </c>
      <c r="C25" s="214">
        <f>C23/C24</f>
        <v>34.090909090909093</v>
      </c>
      <c r="D25" s="13" t="s">
        <v>685</v>
      </c>
      <c r="E25" s="13"/>
      <c r="F25" s="13"/>
      <c r="AN25" s="280"/>
    </row>
    <row r="26" spans="1:41" x14ac:dyDescent="0.25">
      <c r="A26" s="494"/>
      <c r="D26" s="88"/>
      <c r="E26" s="13"/>
      <c r="F26" s="13"/>
      <c r="AN26" s="280"/>
    </row>
    <row r="27" spans="1:41" x14ac:dyDescent="0.25">
      <c r="A27" s="494"/>
      <c r="B27" s="14" t="s">
        <v>686</v>
      </c>
      <c r="E27" s="13"/>
      <c r="F27" s="1"/>
    </row>
    <row r="28" spans="1:41" ht="30" x14ac:dyDescent="0.25">
      <c r="A28" s="494"/>
      <c r="B28" t="s">
        <v>659</v>
      </c>
      <c r="C28" s="351">
        <f>0.000148</f>
        <v>1.4799999999999999E-4</v>
      </c>
      <c r="D28" t="s">
        <v>676</v>
      </c>
      <c r="E28" s="13" t="s">
        <v>687</v>
      </c>
      <c r="F28" s="1"/>
      <c r="N28" s="7" t="s">
        <v>688</v>
      </c>
      <c r="O28" s="392">
        <f>(O29+O30)/2</f>
        <v>7.8234999999999999E-5</v>
      </c>
      <c r="R28" s="8"/>
      <c r="S28" s="283"/>
    </row>
    <row r="29" spans="1:41" x14ac:dyDescent="0.25">
      <c r="A29" s="494"/>
      <c r="B29" t="s">
        <v>689</v>
      </c>
      <c r="C29" s="56">
        <v>4.74E-5</v>
      </c>
      <c r="D29" t="s">
        <v>676</v>
      </c>
      <c r="E29" s="13" t="s">
        <v>690</v>
      </c>
      <c r="F29" s="1"/>
      <c r="I29" s="390" t="s">
        <v>691</v>
      </c>
      <c r="O29" s="89">
        <v>3.6470000000000001E-5</v>
      </c>
      <c r="P29" t="s">
        <v>692</v>
      </c>
      <c r="R29" s="8"/>
      <c r="S29" s="283"/>
      <c r="AN29" s="281"/>
      <c r="AO29" s="89"/>
    </row>
    <row r="30" spans="1:41" x14ac:dyDescent="0.25">
      <c r="A30" s="494"/>
      <c r="B30" t="s">
        <v>693</v>
      </c>
      <c r="C30" s="56">
        <v>2.4800000000000001E-4</v>
      </c>
      <c r="D30" t="s">
        <v>676</v>
      </c>
      <c r="E30" s="13" t="s">
        <v>694</v>
      </c>
      <c r="F30" s="1"/>
      <c r="I30" s="390" t="s">
        <v>691</v>
      </c>
      <c r="O30" s="89">
        <v>1.2E-4</v>
      </c>
      <c r="P30" t="s">
        <v>695</v>
      </c>
      <c r="AN30" s="282"/>
    </row>
    <row r="31" spans="1:41" x14ac:dyDescent="0.25">
      <c r="A31" s="494"/>
      <c r="B31" s="13" t="s">
        <v>696</v>
      </c>
      <c r="C31" s="1">
        <v>750</v>
      </c>
      <c r="D31" t="s">
        <v>697</v>
      </c>
      <c r="E31" s="13" t="s">
        <v>698</v>
      </c>
      <c r="F31" s="1"/>
      <c r="AN31" s="282"/>
    </row>
    <row r="32" spans="1:41" ht="43.15" customHeight="1" x14ac:dyDescent="0.25">
      <c r="A32" s="494"/>
      <c r="B32" t="s">
        <v>699</v>
      </c>
      <c r="C32" s="1">
        <v>1749687</v>
      </c>
      <c r="D32" t="s">
        <v>697</v>
      </c>
      <c r="E32" s="487" t="s">
        <v>700</v>
      </c>
      <c r="F32" s="487"/>
      <c r="G32" s="487"/>
      <c r="H32" s="487"/>
      <c r="AN32" s="281"/>
    </row>
    <row r="33" spans="1:14" x14ac:dyDescent="0.25">
      <c r="A33" s="494"/>
      <c r="B33" t="s">
        <v>615</v>
      </c>
      <c r="C33" s="347">
        <v>90</v>
      </c>
      <c r="D33">
        <f>C32/90</f>
        <v>19440.966666666667</v>
      </c>
      <c r="E33" s="13"/>
      <c r="F33" s="1"/>
    </row>
    <row r="34" spans="1:14" x14ac:dyDescent="0.25">
      <c r="A34" s="494"/>
      <c r="B34" t="s">
        <v>684</v>
      </c>
      <c r="C34" s="352">
        <f>C32/90</f>
        <v>19440.966666666667</v>
      </c>
      <c r="E34" s="13"/>
      <c r="F34" s="1"/>
    </row>
    <row r="35" spans="1:14" x14ac:dyDescent="0.25">
      <c r="A35" s="494"/>
      <c r="C35" s="214"/>
      <c r="E35" s="13"/>
      <c r="F35" s="1"/>
    </row>
    <row r="36" spans="1:14" x14ac:dyDescent="0.25">
      <c r="A36" s="494"/>
      <c r="B36" s="12" t="s">
        <v>701</v>
      </c>
      <c r="E36" s="1"/>
      <c r="F36" s="1"/>
    </row>
    <row r="37" spans="1:14" x14ac:dyDescent="0.25">
      <c r="A37" s="494"/>
      <c r="B37" s="2" t="s">
        <v>702</v>
      </c>
      <c r="E37" s="13"/>
      <c r="F37" s="1"/>
    </row>
    <row r="38" spans="1:14" x14ac:dyDescent="0.25">
      <c r="A38" s="494"/>
      <c r="B38" s="14" t="s">
        <v>703</v>
      </c>
      <c r="E38" s="13"/>
      <c r="F38" s="1"/>
    </row>
    <row r="39" spans="1:14" x14ac:dyDescent="0.25">
      <c r="A39" s="494"/>
      <c r="B39" t="s">
        <v>659</v>
      </c>
      <c r="C39" s="359">
        <v>5.3999999999999999E-2</v>
      </c>
      <c r="D39" t="s">
        <v>704</v>
      </c>
      <c r="E39" t="s">
        <v>705</v>
      </c>
      <c r="F39" s="1"/>
      <c r="N39" s="358">
        <f>C39</f>
        <v>5.3999999999999999E-2</v>
      </c>
    </row>
    <row r="40" spans="1:14" x14ac:dyDescent="0.25">
      <c r="A40" s="494"/>
      <c r="B40" t="s">
        <v>665</v>
      </c>
      <c r="C40" s="1">
        <v>230</v>
      </c>
      <c r="D40" t="s">
        <v>666</v>
      </c>
      <c r="E40" t="s">
        <v>705</v>
      </c>
      <c r="F40" s="1"/>
    </row>
    <row r="41" spans="1:14" x14ac:dyDescent="0.25">
      <c r="A41" s="494"/>
      <c r="D41" s="360">
        <f>C40/365</f>
        <v>0.63013698630136983</v>
      </c>
      <c r="E41" s="13" t="s">
        <v>706</v>
      </c>
      <c r="F41" s="1"/>
    </row>
    <row r="42" spans="1:14" x14ac:dyDescent="0.25">
      <c r="A42" s="494"/>
      <c r="B42" s="14" t="s">
        <v>707</v>
      </c>
      <c r="E42" s="13"/>
      <c r="F42" s="1"/>
    </row>
    <row r="43" spans="1:14" x14ac:dyDescent="0.25">
      <c r="A43" s="494"/>
      <c r="B43" t="s">
        <v>708</v>
      </c>
      <c r="C43" s="56">
        <v>3.7000000000000002E-6</v>
      </c>
      <c r="D43" s="495" t="s">
        <v>676</v>
      </c>
      <c r="E43" t="s">
        <v>709</v>
      </c>
      <c r="F43" s="1"/>
    </row>
    <row r="44" spans="1:14" x14ac:dyDescent="0.25">
      <c r="A44" s="494"/>
      <c r="B44" t="s">
        <v>710</v>
      </c>
      <c r="C44" s="56">
        <v>6.1E-6</v>
      </c>
      <c r="D44" s="495"/>
      <c r="E44" s="13" t="s">
        <v>711</v>
      </c>
      <c r="F44" s="1"/>
    </row>
    <row r="45" spans="1:14" x14ac:dyDescent="0.25">
      <c r="A45" s="494"/>
      <c r="B45" t="s">
        <v>712</v>
      </c>
      <c r="C45" s="56">
        <v>1.7E-5</v>
      </c>
      <c r="D45" s="495"/>
      <c r="E45" s="13" t="s">
        <v>711</v>
      </c>
      <c r="F45" s="1"/>
    </row>
    <row r="46" spans="1:14" x14ac:dyDescent="0.25">
      <c r="A46" s="494"/>
      <c r="B46" t="s">
        <v>713</v>
      </c>
      <c r="C46" s="56">
        <v>18615</v>
      </c>
      <c r="D46" t="s">
        <v>683</v>
      </c>
      <c r="E46" s="13"/>
      <c r="F46" s="1"/>
    </row>
    <row r="47" spans="1:14" x14ac:dyDescent="0.25">
      <c r="A47" s="494"/>
      <c r="C47" s="56">
        <v>678500</v>
      </c>
      <c r="D47" t="s">
        <v>714</v>
      </c>
      <c r="E47" s="13"/>
      <c r="F47" s="1"/>
    </row>
    <row r="48" spans="1:14" x14ac:dyDescent="0.25">
      <c r="A48" s="494"/>
      <c r="C48" s="56">
        <v>1749687</v>
      </c>
      <c r="D48" t="s">
        <v>715</v>
      </c>
      <c r="E48" s="13"/>
      <c r="F48" s="1"/>
    </row>
    <row r="49" spans="1:7" x14ac:dyDescent="0.25">
      <c r="A49" s="494"/>
      <c r="B49" s="2" t="s">
        <v>716</v>
      </c>
      <c r="E49" s="13"/>
      <c r="F49" s="1"/>
    </row>
    <row r="50" spans="1:7" x14ac:dyDescent="0.25">
      <c r="A50" s="494"/>
      <c r="B50" t="s">
        <v>659</v>
      </c>
      <c r="C50" s="315">
        <v>5.3999999999999999E-2</v>
      </c>
      <c r="D50" t="s">
        <v>704</v>
      </c>
      <c r="E50" t="s">
        <v>705</v>
      </c>
      <c r="F50" s="1"/>
    </row>
    <row r="51" spans="1:7" x14ac:dyDescent="0.25">
      <c r="A51" s="494"/>
      <c r="B51" t="s">
        <v>665</v>
      </c>
      <c r="C51" s="1">
        <v>230</v>
      </c>
      <c r="D51" t="s">
        <v>666</v>
      </c>
      <c r="E51" t="s">
        <v>705</v>
      </c>
      <c r="F51" s="1"/>
    </row>
    <row r="52" spans="1:7" x14ac:dyDescent="0.25">
      <c r="A52" s="494"/>
      <c r="E52" s="13"/>
      <c r="F52" s="1"/>
    </row>
    <row r="53" spans="1:7" x14ac:dyDescent="0.25">
      <c r="A53" s="494"/>
      <c r="B53" s="14" t="s">
        <v>707</v>
      </c>
      <c r="E53" s="1"/>
      <c r="F53" s="1"/>
    </row>
    <row r="54" spans="1:7" x14ac:dyDescent="0.25">
      <c r="A54" s="494"/>
      <c r="B54" t="s">
        <v>708</v>
      </c>
      <c r="C54" s="313">
        <v>1.0000000000000001E-5</v>
      </c>
      <c r="D54" s="495" t="s">
        <v>676</v>
      </c>
      <c r="E54" s="13" t="s">
        <v>711</v>
      </c>
      <c r="F54" s="13" t="s">
        <v>717</v>
      </c>
    </row>
    <row r="55" spans="1:7" x14ac:dyDescent="0.25">
      <c r="A55" s="494"/>
      <c r="B55" t="s">
        <v>718</v>
      </c>
      <c r="C55" s="56">
        <v>2.0000000000000002E-5</v>
      </c>
      <c r="D55" s="495"/>
      <c r="E55" s="13" t="s">
        <v>711</v>
      </c>
      <c r="F55" s="1"/>
    </row>
    <row r="56" spans="1:7" x14ac:dyDescent="0.25">
      <c r="A56" s="494"/>
      <c r="B56" t="s">
        <v>712</v>
      </c>
      <c r="C56" s="313">
        <v>1E-4</v>
      </c>
      <c r="D56" s="495"/>
      <c r="E56" s="13" t="s">
        <v>711</v>
      </c>
      <c r="F56" s="1" t="s">
        <v>719</v>
      </c>
    </row>
    <row r="57" spans="1:7" x14ac:dyDescent="0.25">
      <c r="A57" s="494"/>
      <c r="B57" t="s">
        <v>720</v>
      </c>
      <c r="C57" s="214">
        <v>18615</v>
      </c>
      <c r="D57" t="s">
        <v>683</v>
      </c>
      <c r="E57" s="1"/>
      <c r="F57" s="1"/>
    </row>
    <row r="58" spans="1:7" x14ac:dyDescent="0.25">
      <c r="A58" s="494"/>
      <c r="B58" t="s">
        <v>721</v>
      </c>
      <c r="C58" s="214">
        <v>678500</v>
      </c>
      <c r="D58" t="s">
        <v>714</v>
      </c>
      <c r="E58" s="1"/>
      <c r="F58" s="1"/>
    </row>
    <row r="59" spans="1:7" x14ac:dyDescent="0.25">
      <c r="A59" s="494"/>
      <c r="B59" t="s">
        <v>722</v>
      </c>
      <c r="C59" s="214">
        <v>1749687</v>
      </c>
      <c r="D59" t="s">
        <v>723</v>
      </c>
      <c r="E59" s="1"/>
      <c r="F59" s="1"/>
    </row>
    <row r="60" spans="1:7" x14ac:dyDescent="0.25">
      <c r="A60" s="494"/>
      <c r="B60" t="s">
        <v>724</v>
      </c>
      <c r="C60" s="314">
        <f>365*2</f>
        <v>730</v>
      </c>
      <c r="D60" t="s">
        <v>725</v>
      </c>
      <c r="E60" s="1"/>
      <c r="F60" s="1"/>
    </row>
    <row r="61" spans="1:7" x14ac:dyDescent="0.25">
      <c r="A61" s="494"/>
      <c r="B61" t="s">
        <v>726</v>
      </c>
      <c r="C61" s="311">
        <v>90</v>
      </c>
      <c r="D61" t="s">
        <v>725</v>
      </c>
      <c r="E61" s="1"/>
      <c r="F61" s="1"/>
    </row>
    <row r="62" spans="1:7" x14ac:dyDescent="0.25">
      <c r="A62" s="494"/>
      <c r="B62" t="s">
        <v>727</v>
      </c>
      <c r="C62" s="311">
        <f>C57/C60</f>
        <v>25.5</v>
      </c>
      <c r="D62" t="s">
        <v>566</v>
      </c>
      <c r="E62" s="1"/>
      <c r="F62" s="1"/>
      <c r="G62" t="s">
        <v>728</v>
      </c>
    </row>
    <row r="63" spans="1:7" x14ac:dyDescent="0.25">
      <c r="A63" s="494"/>
      <c r="B63" t="s">
        <v>729</v>
      </c>
      <c r="C63" s="311">
        <f>C59/C61</f>
        <v>19440.966666666667</v>
      </c>
      <c r="E63" s="1"/>
      <c r="F63" s="1"/>
      <c r="G63" t="s">
        <v>730</v>
      </c>
    </row>
    <row r="64" spans="1:7" x14ac:dyDescent="0.25">
      <c r="A64" s="494"/>
      <c r="E64" s="1"/>
      <c r="F64" s="1"/>
      <c r="G64" t="s">
        <v>731</v>
      </c>
    </row>
    <row r="65" spans="1:15" x14ac:dyDescent="0.25">
      <c r="A65" s="494"/>
      <c r="E65" s="1"/>
      <c r="F65" s="1"/>
      <c r="G65" t="s">
        <v>732</v>
      </c>
    </row>
    <row r="66" spans="1:15" x14ac:dyDescent="0.25">
      <c r="A66" s="494"/>
      <c r="E66" s="1"/>
      <c r="F66" s="1"/>
    </row>
    <row r="67" spans="1:15" x14ac:dyDescent="0.25">
      <c r="A67" s="494"/>
      <c r="E67" s="1"/>
      <c r="F67" s="1"/>
    </row>
    <row r="68" spans="1:15" x14ac:dyDescent="0.25">
      <c r="A68" s="494"/>
      <c r="E68" s="1"/>
      <c r="F68" s="1"/>
    </row>
    <row r="69" spans="1:15" x14ac:dyDescent="0.25">
      <c r="A69" s="494"/>
      <c r="E69" s="1"/>
      <c r="F69" s="1"/>
    </row>
    <row r="70" spans="1:15" ht="15.75" thickBot="1" x14ac:dyDescent="0.3">
      <c r="A70" s="494"/>
      <c r="E70" s="1"/>
      <c r="F70" s="1"/>
    </row>
    <row r="71" spans="1:15" x14ac:dyDescent="0.25">
      <c r="A71" s="494"/>
      <c r="B71" s="489" t="s">
        <v>606</v>
      </c>
      <c r="C71" s="490"/>
      <c r="D71" s="490"/>
      <c r="E71" s="490"/>
      <c r="F71" s="490"/>
      <c r="G71" s="491"/>
      <c r="I71" s="475" t="s">
        <v>605</v>
      </c>
      <c r="J71" s="475"/>
      <c r="K71" s="475"/>
      <c r="L71" s="475"/>
      <c r="M71" s="309"/>
    </row>
    <row r="72" spans="1:15" ht="46.5" customHeight="1" x14ac:dyDescent="0.25">
      <c r="A72" s="494"/>
      <c r="B72" s="492" t="s">
        <v>319</v>
      </c>
      <c r="C72" s="478"/>
      <c r="D72" s="34" t="s">
        <v>607</v>
      </c>
      <c r="E72" s="423" t="s">
        <v>28</v>
      </c>
      <c r="F72" s="457"/>
      <c r="G72" s="458"/>
    </row>
    <row r="73" spans="1:15" x14ac:dyDescent="0.25">
      <c r="A73" s="494"/>
      <c r="B73" s="492"/>
      <c r="C73" s="478"/>
      <c r="D73" s="34" t="s">
        <v>19</v>
      </c>
      <c r="E73" s="462" t="s">
        <v>484</v>
      </c>
      <c r="F73" s="462"/>
      <c r="G73" s="463"/>
    </row>
    <row r="74" spans="1:15" ht="75" x14ac:dyDescent="0.25">
      <c r="A74" s="494"/>
      <c r="B74" s="492"/>
      <c r="C74" s="478"/>
      <c r="D74" s="34" t="s">
        <v>364</v>
      </c>
      <c r="E74" s="34" t="s">
        <v>365</v>
      </c>
      <c r="F74" s="34" t="s">
        <v>366</v>
      </c>
      <c r="G74" s="61" t="s">
        <v>367</v>
      </c>
    </row>
    <row r="75" spans="1:15" ht="58.9" customHeight="1" x14ac:dyDescent="0.25">
      <c r="A75" s="494"/>
      <c r="B75" s="420" t="s">
        <v>368</v>
      </c>
      <c r="C75" s="478" t="s">
        <v>369</v>
      </c>
      <c r="D75" s="129" t="s">
        <v>370</v>
      </c>
      <c r="E75" s="60">
        <v>0.1141776169108365</v>
      </c>
      <c r="F75" s="52">
        <v>0.434</v>
      </c>
      <c r="G75" s="62" t="s">
        <v>373</v>
      </c>
      <c r="H75" s="284"/>
      <c r="I75" s="23"/>
    </row>
    <row r="76" spans="1:15" ht="48" customHeight="1" x14ac:dyDescent="0.25">
      <c r="A76" s="494"/>
      <c r="B76" s="420"/>
      <c r="C76" s="478"/>
      <c r="D76" s="132" t="s">
        <v>380</v>
      </c>
      <c r="E76" s="59"/>
      <c r="F76" s="34"/>
      <c r="G76" s="61"/>
      <c r="H76" s="23"/>
      <c r="I76" s="23"/>
      <c r="J76" s="23"/>
      <c r="K76" s="23"/>
      <c r="L76" s="23"/>
      <c r="M76" s="23"/>
      <c r="N76" s="23"/>
      <c r="O76" s="23"/>
    </row>
    <row r="77" spans="1:15" ht="30" x14ac:dyDescent="0.25">
      <c r="A77" s="494"/>
      <c r="B77" s="420"/>
      <c r="C77" s="478"/>
      <c r="D77" s="132" t="s">
        <v>394</v>
      </c>
      <c r="E77" s="59"/>
      <c r="F77" s="54"/>
      <c r="G77" s="61"/>
    </row>
    <row r="78" spans="1:15" ht="75" x14ac:dyDescent="0.25">
      <c r="A78" s="494"/>
      <c r="B78" s="420"/>
      <c r="C78" s="478"/>
      <c r="D78" s="129" t="s">
        <v>405</v>
      </c>
      <c r="E78" s="60" t="s">
        <v>408</v>
      </c>
      <c r="F78" s="52">
        <v>19440</v>
      </c>
      <c r="G78" s="62">
        <v>90</v>
      </c>
      <c r="H78" s="23"/>
      <c r="I78" s="23"/>
      <c r="J78" s="23"/>
      <c r="K78" s="23"/>
      <c r="L78" s="23"/>
      <c r="M78" s="23"/>
      <c r="N78" s="23"/>
      <c r="O78" s="23"/>
    </row>
    <row r="79" spans="1:15" ht="30" x14ac:dyDescent="0.25">
      <c r="A79" s="11"/>
      <c r="B79" s="420"/>
      <c r="C79" s="462" t="s">
        <v>421</v>
      </c>
      <c r="D79" s="132" t="s">
        <v>422</v>
      </c>
      <c r="E79" s="38"/>
      <c r="F79" s="38"/>
      <c r="G79" s="63"/>
    </row>
    <row r="80" spans="1:15" ht="30" x14ac:dyDescent="0.25">
      <c r="B80" s="420"/>
      <c r="C80" s="462"/>
      <c r="D80" s="132" t="s">
        <v>428</v>
      </c>
      <c r="E80" s="34"/>
      <c r="F80" s="46"/>
      <c r="G80" s="61"/>
    </row>
    <row r="81" spans="2:8" ht="45" x14ac:dyDescent="0.25">
      <c r="B81" s="420"/>
      <c r="C81" s="462"/>
      <c r="D81" s="132" t="s">
        <v>429</v>
      </c>
      <c r="E81" s="38"/>
      <c r="F81" s="38"/>
      <c r="G81" s="63"/>
    </row>
    <row r="82" spans="2:8" ht="30" x14ac:dyDescent="0.25">
      <c r="B82" s="420"/>
      <c r="C82" s="462"/>
      <c r="D82" s="132" t="s">
        <v>430</v>
      </c>
      <c r="E82" s="38"/>
      <c r="F82" s="38"/>
      <c r="G82" s="63"/>
    </row>
    <row r="83" spans="2:8" ht="30" x14ac:dyDescent="0.25">
      <c r="B83" s="420"/>
      <c r="C83" s="462"/>
      <c r="D83" s="132" t="s">
        <v>432</v>
      </c>
      <c r="E83" s="59"/>
      <c r="F83" s="54"/>
      <c r="G83" s="61"/>
    </row>
    <row r="84" spans="2:8" ht="30" x14ac:dyDescent="0.25">
      <c r="B84" s="420"/>
      <c r="C84" s="462"/>
      <c r="D84" s="132" t="s">
        <v>434</v>
      </c>
      <c r="E84" s="59"/>
      <c r="F84" s="54"/>
      <c r="G84" s="61"/>
    </row>
    <row r="85" spans="2:8" ht="30" x14ac:dyDescent="0.25">
      <c r="B85" s="420"/>
      <c r="C85" s="462"/>
      <c r="D85" s="132" t="s">
        <v>436</v>
      </c>
      <c r="E85" s="34"/>
      <c r="F85" s="54"/>
      <c r="G85" s="61"/>
    </row>
    <row r="86" spans="2:8" ht="30" x14ac:dyDescent="0.25">
      <c r="B86" s="420"/>
      <c r="C86" s="462"/>
      <c r="D86" s="132" t="s">
        <v>437</v>
      </c>
      <c r="E86" s="59"/>
      <c r="F86" s="54"/>
      <c r="G86" s="61"/>
      <c r="H86" s="23"/>
    </row>
    <row r="87" spans="2:8" ht="26.65" customHeight="1" x14ac:dyDescent="0.25">
      <c r="B87" s="420" t="s">
        <v>438</v>
      </c>
      <c r="C87" s="478" t="s">
        <v>369</v>
      </c>
      <c r="D87" s="129" t="s">
        <v>370</v>
      </c>
      <c r="E87" s="58">
        <v>5.3999999999999999E-2</v>
      </c>
      <c r="F87" s="35">
        <v>0.63</v>
      </c>
      <c r="G87" s="62" t="s">
        <v>440</v>
      </c>
    </row>
    <row r="88" spans="2:8" ht="30" x14ac:dyDescent="0.25">
      <c r="B88" s="420"/>
      <c r="C88" s="478"/>
      <c r="D88" s="132" t="s">
        <v>380</v>
      </c>
      <c r="E88" s="59">
        <v>1E-4</v>
      </c>
      <c r="F88" s="34">
        <v>25</v>
      </c>
      <c r="G88" s="61">
        <v>730</v>
      </c>
      <c r="H88" s="23"/>
    </row>
    <row r="89" spans="2:8" ht="30" x14ac:dyDescent="0.25">
      <c r="B89" s="420"/>
      <c r="C89" s="478"/>
      <c r="D89" s="132" t="s">
        <v>394</v>
      </c>
      <c r="E89" s="59"/>
      <c r="F89" s="34"/>
      <c r="G89" s="61"/>
    </row>
    <row r="90" spans="2:8" ht="30" x14ac:dyDescent="0.25">
      <c r="B90" s="420"/>
      <c r="C90" s="478"/>
      <c r="D90" s="129" t="s">
        <v>405</v>
      </c>
      <c r="E90" s="60">
        <v>1.0000000000000001E-5</v>
      </c>
      <c r="F90" s="52">
        <v>19440</v>
      </c>
      <c r="G90" s="62">
        <v>90</v>
      </c>
      <c r="H90" s="23"/>
    </row>
    <row r="91" spans="2:8" ht="30" x14ac:dyDescent="0.25">
      <c r="B91" s="420"/>
      <c r="C91" s="462" t="s">
        <v>421</v>
      </c>
      <c r="D91" s="132" t="s">
        <v>453</v>
      </c>
      <c r="E91" s="38"/>
      <c r="F91" s="38"/>
      <c r="G91" s="63"/>
    </row>
    <row r="92" spans="2:8" ht="30" x14ac:dyDescent="0.25">
      <c r="B92" s="420"/>
      <c r="C92" s="462"/>
      <c r="D92" s="132" t="s">
        <v>428</v>
      </c>
      <c r="E92" s="38"/>
      <c r="F92" s="38"/>
      <c r="G92" s="63"/>
    </row>
    <row r="93" spans="2:8" ht="45" x14ac:dyDescent="0.25">
      <c r="B93" s="420"/>
      <c r="C93" s="462"/>
      <c r="D93" s="132" t="s">
        <v>429</v>
      </c>
      <c r="E93" s="38"/>
      <c r="F93" s="38"/>
      <c r="G93" s="63"/>
    </row>
    <row r="94" spans="2:8" ht="30" x14ac:dyDescent="0.25">
      <c r="B94" s="420"/>
      <c r="C94" s="462"/>
      <c r="D94" s="132" t="s">
        <v>430</v>
      </c>
      <c r="E94" s="38"/>
      <c r="F94" s="38"/>
      <c r="G94" s="63"/>
    </row>
    <row r="95" spans="2:8" ht="30" x14ac:dyDescent="0.25">
      <c r="B95" s="420"/>
      <c r="C95" s="462"/>
      <c r="D95" s="132" t="s">
        <v>432</v>
      </c>
      <c r="E95" s="59"/>
      <c r="F95" s="54"/>
      <c r="G95" s="61"/>
    </row>
    <row r="96" spans="2:8" ht="30" x14ac:dyDescent="0.25">
      <c r="B96" s="420"/>
      <c r="C96" s="462"/>
      <c r="D96" s="132" t="s">
        <v>434</v>
      </c>
      <c r="E96" s="59"/>
      <c r="F96" s="34"/>
      <c r="G96" s="61"/>
    </row>
    <row r="97" spans="2:8" ht="30" x14ac:dyDescent="0.25">
      <c r="B97" s="420"/>
      <c r="C97" s="462"/>
      <c r="D97" s="132" t="s">
        <v>436</v>
      </c>
      <c r="E97" s="34"/>
      <c r="F97" s="34"/>
      <c r="G97" s="61"/>
    </row>
    <row r="98" spans="2:8" ht="30.75" thickBot="1" x14ac:dyDescent="0.3">
      <c r="B98" s="427"/>
      <c r="C98" s="493"/>
      <c r="D98" s="194" t="s">
        <v>437</v>
      </c>
      <c r="E98" s="64"/>
      <c r="F98" s="65"/>
      <c r="G98" s="66"/>
      <c r="H98" s="23"/>
    </row>
  </sheetData>
  <mergeCells count="18">
    <mergeCell ref="I71:L71"/>
    <mergeCell ref="E32:H32"/>
    <mergeCell ref="D13:M13"/>
    <mergeCell ref="D15:D16"/>
    <mergeCell ref="D43:D45"/>
    <mergeCell ref="D54:D56"/>
    <mergeCell ref="A3:A78"/>
    <mergeCell ref="C15:C16"/>
    <mergeCell ref="B75:B86"/>
    <mergeCell ref="C75:C78"/>
    <mergeCell ref="C79:C86"/>
    <mergeCell ref="B71:G71"/>
    <mergeCell ref="B87:B98"/>
    <mergeCell ref="C87:C90"/>
    <mergeCell ref="C91:C98"/>
    <mergeCell ref="B72:C74"/>
    <mergeCell ref="E72:G72"/>
    <mergeCell ref="E73:G73"/>
  </mergeCells>
  <hyperlinks>
    <hyperlink ref="E15" r:id="rId1" xr:uid="{B96466DC-CF54-4B30-8268-60F1CF2B58EA}"/>
    <hyperlink ref="E17" r:id="rId2" display="Bachu &amp; Watson Evaluation of the Potential for Gas CO2 Leakage Along Wellbore, SPE Drilling &amp; Completions, Mar2009" xr:uid="{81D5F31F-6727-44ED-A33B-A9ADD5B5A071}"/>
    <hyperlink ref="E22" r:id="rId3" xr:uid="{20EE5004-AD25-45BC-877B-43A19712C6B6}"/>
    <hyperlink ref="E16" r:id="rId4" xr:uid="{52567BF3-B6AF-4FEB-8CF9-1E9AE1AE546F}"/>
    <hyperlink ref="B5" r:id="rId5" xr:uid="{190F4D20-A072-4356-B486-EFED47D28230}"/>
  </hyperlinks>
  <pageMargins left="0.7" right="0.7" top="0.75" bottom="0.75" header="0.3" footer="0.3"/>
  <pageSetup paperSize="9"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B46A8-4D1E-436D-9184-9CA1871E8BA6}">
  <sheetPr>
    <tabColor theme="9" tint="0.59999389629810485"/>
  </sheetPr>
  <dimension ref="A1:AX309"/>
  <sheetViews>
    <sheetView zoomScale="70" zoomScaleNormal="70" workbookViewId="0">
      <selection activeCell="A2" sqref="A2"/>
    </sheetView>
  </sheetViews>
  <sheetFormatPr defaultRowHeight="15" x14ac:dyDescent="0.25"/>
  <cols>
    <col min="1" max="1" width="13.28515625" customWidth="1"/>
    <col min="2" max="2" width="16.85546875" customWidth="1"/>
    <col min="3" max="3" width="25" bestFit="1" customWidth="1"/>
    <col min="4" max="4" width="26.42578125" customWidth="1"/>
    <col min="5" max="5" width="16.7109375" customWidth="1"/>
    <col min="6" max="6" width="19.42578125" customWidth="1"/>
    <col min="7" max="7" width="13.140625" customWidth="1"/>
    <col min="8" max="8" width="13.85546875" customWidth="1"/>
    <col min="9" max="9" width="10.28515625" customWidth="1"/>
    <col min="10" max="10" width="13.85546875" customWidth="1"/>
    <col min="11" max="11" width="15.7109375" customWidth="1"/>
    <col min="12" max="12" width="52.140625" customWidth="1"/>
    <col min="13" max="16" width="9.140625" bestFit="1" customWidth="1"/>
    <col min="17" max="17" width="12.140625" customWidth="1"/>
    <col min="18" max="19" width="9.140625" bestFit="1" customWidth="1"/>
    <col min="20" max="21" width="8.7109375" customWidth="1"/>
  </cols>
  <sheetData>
    <row r="1" spans="1:50" ht="141.4" customHeight="1" x14ac:dyDescent="0.25">
      <c r="A1" s="437" t="s">
        <v>322</v>
      </c>
      <c r="B1" s="438"/>
      <c r="C1" s="439"/>
      <c r="D1" s="74" t="s">
        <v>733</v>
      </c>
      <c r="E1" s="497" t="s">
        <v>734</v>
      </c>
      <c r="F1" s="497"/>
      <c r="G1" s="497"/>
      <c r="H1" s="497"/>
      <c r="I1" s="497"/>
      <c r="J1" s="497"/>
      <c r="K1" s="497"/>
      <c r="L1" s="5" t="s">
        <v>735</v>
      </c>
    </row>
    <row r="2" spans="1:50" x14ac:dyDescent="0.25">
      <c r="B2" s="353" t="s">
        <v>653</v>
      </c>
      <c r="C2" s="353"/>
      <c r="D2" s="353"/>
      <c r="E2" s="5" t="s">
        <v>735</v>
      </c>
    </row>
    <row r="4" spans="1:50" x14ac:dyDescent="0.25">
      <c r="B4" s="88">
        <v>23928.976931307345</v>
      </c>
      <c r="C4" s="2" t="s">
        <v>736</v>
      </c>
      <c r="Q4" s="7"/>
      <c r="R4" s="7"/>
      <c r="S4" s="7"/>
      <c r="T4" s="7"/>
      <c r="U4" s="7"/>
      <c r="V4" s="7"/>
      <c r="W4" s="7"/>
      <c r="X4" s="7"/>
      <c r="Y4" s="7"/>
      <c r="Z4" s="7"/>
      <c r="AA4" s="7"/>
    </row>
    <row r="5" spans="1:50" x14ac:dyDescent="0.25">
      <c r="B5" s="88">
        <v>23.253424657534246</v>
      </c>
      <c r="C5" s="2" t="s">
        <v>737</v>
      </c>
      <c r="P5" s="2"/>
      <c r="Q5" s="2"/>
      <c r="R5" s="2"/>
      <c r="S5" s="2"/>
      <c r="T5" s="2"/>
      <c r="U5" s="2"/>
      <c r="V5" s="2"/>
      <c r="W5" s="2"/>
      <c r="X5" s="2"/>
      <c r="Y5" s="2"/>
      <c r="Z5" s="2"/>
      <c r="AB5" s="2"/>
      <c r="AC5" s="2"/>
      <c r="AD5" s="2"/>
      <c r="AE5" s="2"/>
      <c r="AF5" s="2"/>
      <c r="AG5" s="2"/>
      <c r="AH5" s="2"/>
      <c r="AI5" s="2"/>
      <c r="AJ5" s="2"/>
      <c r="AK5" s="2"/>
      <c r="AL5" s="2"/>
      <c r="AM5" s="2"/>
      <c r="AN5" s="2"/>
      <c r="AO5" s="2"/>
      <c r="AP5" s="2"/>
      <c r="AQ5" s="2"/>
      <c r="AR5" s="2"/>
      <c r="AS5" s="2"/>
      <c r="AT5" s="2"/>
      <c r="AU5" s="2"/>
      <c r="AV5" s="2"/>
      <c r="AW5" s="2"/>
      <c r="AX5" s="2"/>
    </row>
    <row r="6" spans="1:50" x14ac:dyDescent="0.25">
      <c r="B6" s="267">
        <v>1029.051732539285</v>
      </c>
      <c r="C6" s="2" t="s">
        <v>738</v>
      </c>
      <c r="P6" s="267"/>
      <c r="Q6" s="88"/>
      <c r="R6" s="88"/>
      <c r="S6" s="267"/>
      <c r="T6" s="267"/>
    </row>
    <row r="7" spans="1:50" x14ac:dyDescent="0.25">
      <c r="P7" s="267"/>
      <c r="Q7" s="267"/>
      <c r="S7" s="267"/>
      <c r="T7" s="267"/>
      <c r="U7" s="286"/>
    </row>
    <row r="8" spans="1:50" x14ac:dyDescent="0.25">
      <c r="G8" t="s">
        <v>739</v>
      </c>
      <c r="P8" s="267"/>
      <c r="Q8" s="267"/>
      <c r="R8" s="267"/>
      <c r="S8" s="267"/>
      <c r="T8" s="267"/>
    </row>
    <row r="9" spans="1:50" x14ac:dyDescent="0.25">
      <c r="B9" t="s">
        <v>463</v>
      </c>
      <c r="C9" t="s">
        <v>740</v>
      </c>
      <c r="D9" s="285">
        <v>6.8023791017064031E-2</v>
      </c>
      <c r="E9" t="s">
        <v>741</v>
      </c>
      <c r="F9" s="358">
        <v>2.9253235606749189E-3</v>
      </c>
      <c r="G9" s="353" t="s">
        <v>742</v>
      </c>
      <c r="H9" t="s">
        <v>743</v>
      </c>
      <c r="P9" s="267"/>
      <c r="Q9" s="267"/>
      <c r="R9" s="267"/>
      <c r="S9" s="267"/>
      <c r="T9" s="267"/>
    </row>
    <row r="10" spans="1:50" x14ac:dyDescent="0.25">
      <c r="B10" t="s">
        <v>465</v>
      </c>
      <c r="E10" t="s">
        <v>741</v>
      </c>
      <c r="F10" s="358">
        <v>3.3014365899045515E-3</v>
      </c>
      <c r="G10" s="353" t="s">
        <v>744</v>
      </c>
      <c r="P10" s="267"/>
      <c r="Q10" s="88"/>
      <c r="S10" s="267"/>
      <c r="T10" s="267"/>
    </row>
    <row r="11" spans="1:50" x14ac:dyDescent="0.25">
      <c r="B11" t="s">
        <v>467</v>
      </c>
      <c r="E11" t="s">
        <v>741</v>
      </c>
      <c r="F11" s="358">
        <v>5.4327437555391355E-4</v>
      </c>
      <c r="G11" s="353" t="s">
        <v>745</v>
      </c>
      <c r="H11" t="s">
        <v>746</v>
      </c>
      <c r="L11" t="s">
        <v>747</v>
      </c>
      <c r="M11" s="353">
        <v>4.1790336581070271E-5</v>
      </c>
      <c r="P11" s="267"/>
      <c r="Q11" s="267"/>
      <c r="S11" s="88"/>
      <c r="T11" s="267"/>
    </row>
    <row r="12" spans="1:50" x14ac:dyDescent="0.25">
      <c r="B12" t="s">
        <v>469</v>
      </c>
      <c r="E12" t="s">
        <v>741</v>
      </c>
      <c r="F12" s="358">
        <v>2.0895168290535135E-4</v>
      </c>
      <c r="G12" s="353" t="s">
        <v>748</v>
      </c>
      <c r="P12" s="88"/>
      <c r="Q12" s="267"/>
      <c r="R12" s="267"/>
      <c r="S12" s="88"/>
      <c r="T12" s="267"/>
    </row>
    <row r="13" spans="1:50" x14ac:dyDescent="0.25">
      <c r="P13" s="267"/>
      <c r="R13" s="267"/>
      <c r="S13" s="88"/>
      <c r="T13" s="267"/>
    </row>
    <row r="14" spans="1:50" ht="15.75" thickBot="1" x14ac:dyDescent="0.3">
      <c r="P14" s="267"/>
      <c r="Q14" s="267"/>
      <c r="R14" s="267"/>
      <c r="S14" s="88"/>
      <c r="T14" s="267"/>
    </row>
    <row r="15" spans="1:50" ht="15.75" thickBot="1" x14ac:dyDescent="0.3">
      <c r="C15" s="489" t="s">
        <v>606</v>
      </c>
      <c r="D15" s="490"/>
      <c r="E15" s="490"/>
      <c r="F15" s="490"/>
      <c r="G15" s="490"/>
      <c r="H15" s="491"/>
      <c r="P15" s="88"/>
      <c r="Q15" s="267"/>
      <c r="R15" s="267"/>
      <c r="S15" s="88"/>
      <c r="T15" s="267"/>
    </row>
    <row r="16" spans="1:50" ht="30" x14ac:dyDescent="0.25">
      <c r="C16" s="492" t="s">
        <v>319</v>
      </c>
      <c r="D16" s="478"/>
      <c r="E16" s="34" t="s">
        <v>607</v>
      </c>
      <c r="F16" s="437" t="s">
        <v>322</v>
      </c>
      <c r="G16" s="438"/>
      <c r="H16" s="439"/>
      <c r="P16" s="267"/>
      <c r="Q16" s="267"/>
      <c r="R16" s="267"/>
      <c r="S16" s="88"/>
      <c r="T16" s="267"/>
    </row>
    <row r="17" spans="3:20" x14ac:dyDescent="0.25">
      <c r="C17" s="492"/>
      <c r="D17" s="478"/>
      <c r="E17" s="34" t="s">
        <v>19</v>
      </c>
      <c r="F17" s="462" t="s">
        <v>749</v>
      </c>
      <c r="G17" s="462"/>
      <c r="H17" s="463"/>
      <c r="P17" s="267"/>
      <c r="Q17" s="267"/>
      <c r="R17" s="267"/>
      <c r="S17" s="267"/>
      <c r="T17" s="267"/>
    </row>
    <row r="18" spans="3:20" ht="75" x14ac:dyDescent="0.25">
      <c r="C18" s="492"/>
      <c r="D18" s="478"/>
      <c r="E18" s="34" t="s">
        <v>364</v>
      </c>
      <c r="F18" s="34" t="s">
        <v>365</v>
      </c>
      <c r="G18" s="34" t="s">
        <v>366</v>
      </c>
      <c r="H18" s="61" t="s">
        <v>367</v>
      </c>
      <c r="N18" t="s">
        <v>435</v>
      </c>
      <c r="P18" s="267"/>
      <c r="Q18" s="267"/>
      <c r="R18" s="267"/>
      <c r="S18" s="267"/>
      <c r="T18" s="267"/>
    </row>
    <row r="19" spans="3:20" ht="90" customHeight="1" x14ac:dyDescent="0.25">
      <c r="C19" s="420" t="s">
        <v>368</v>
      </c>
      <c r="D19" s="478" t="s">
        <v>369</v>
      </c>
      <c r="E19" s="129" t="s">
        <v>370</v>
      </c>
      <c r="F19" s="94"/>
      <c r="G19" s="57"/>
      <c r="H19" s="62"/>
      <c r="I19" s="277"/>
      <c r="J19" s="278"/>
      <c r="K19" s="278"/>
      <c r="L19" s="278"/>
      <c r="P19" s="267"/>
      <c r="Q19" s="267"/>
      <c r="R19" s="88"/>
      <c r="S19" s="267"/>
      <c r="T19" s="267"/>
    </row>
    <row r="20" spans="3:20" ht="30" x14ac:dyDescent="0.25">
      <c r="C20" s="420"/>
      <c r="D20" s="478"/>
      <c r="E20" s="132" t="s">
        <v>380</v>
      </c>
      <c r="F20" s="241">
        <v>3.3014365899045515E-3</v>
      </c>
      <c r="G20" s="93" t="s">
        <v>382</v>
      </c>
      <c r="H20" s="61" t="s">
        <v>383</v>
      </c>
      <c r="P20" s="267"/>
      <c r="Q20" s="88"/>
      <c r="R20" s="88"/>
      <c r="S20" s="267"/>
      <c r="T20" s="267"/>
    </row>
    <row r="21" spans="3:20" ht="45" x14ac:dyDescent="0.25">
      <c r="C21" s="420"/>
      <c r="D21" s="478"/>
      <c r="E21" s="132" t="s">
        <v>394</v>
      </c>
      <c r="F21" s="269">
        <v>5.4327437555391355E-4</v>
      </c>
      <c r="G21" s="93" t="s">
        <v>395</v>
      </c>
      <c r="H21" s="61" t="s">
        <v>396</v>
      </c>
      <c r="P21" s="267"/>
      <c r="Q21" s="88"/>
      <c r="R21" s="88"/>
      <c r="S21" s="267"/>
      <c r="T21" s="267"/>
    </row>
    <row r="22" spans="3:20" ht="45" x14ac:dyDescent="0.25">
      <c r="C22" s="420"/>
      <c r="D22" s="478"/>
      <c r="E22" s="129" t="s">
        <v>405</v>
      </c>
      <c r="F22" s="270">
        <v>2.0895168290535135E-4</v>
      </c>
      <c r="G22" s="52" t="s">
        <v>406</v>
      </c>
      <c r="H22" s="62" t="s">
        <v>407</v>
      </c>
      <c r="I22" s="277"/>
      <c r="J22" s="33"/>
      <c r="K22" s="33"/>
      <c r="L22" s="33"/>
      <c r="P22" s="267"/>
      <c r="Q22" s="267"/>
      <c r="R22" s="88"/>
      <c r="S22" s="267"/>
      <c r="T22" s="267"/>
    </row>
    <row r="23" spans="3:20" ht="30" x14ac:dyDescent="0.25">
      <c r="C23" s="420"/>
      <c r="D23" s="462" t="s">
        <v>421</v>
      </c>
      <c r="E23" s="132" t="s">
        <v>422</v>
      </c>
      <c r="F23" s="76"/>
      <c r="G23" s="34"/>
      <c r="H23" s="61"/>
      <c r="P23" s="267"/>
      <c r="Q23" s="267"/>
      <c r="R23" s="88"/>
      <c r="S23" s="267"/>
      <c r="T23" s="267"/>
    </row>
    <row r="24" spans="3:20" ht="45" x14ac:dyDescent="0.25">
      <c r="C24" s="420"/>
      <c r="D24" s="462"/>
      <c r="E24" s="132" t="s">
        <v>428</v>
      </c>
      <c r="F24" s="76"/>
      <c r="G24" s="46"/>
      <c r="H24" s="61"/>
      <c r="J24" t="s">
        <v>435</v>
      </c>
      <c r="P24" s="267"/>
      <c r="Q24" s="267"/>
      <c r="R24" s="88"/>
      <c r="S24" s="267"/>
      <c r="T24" s="267"/>
    </row>
    <row r="25" spans="3:20" ht="45" x14ac:dyDescent="0.25">
      <c r="C25" s="420"/>
      <c r="D25" s="462"/>
      <c r="E25" s="132" t="s">
        <v>429</v>
      </c>
      <c r="F25" s="76"/>
      <c r="G25" s="34"/>
      <c r="H25" s="63"/>
      <c r="P25" s="267"/>
      <c r="Q25" s="267"/>
      <c r="R25" s="88"/>
      <c r="S25" s="267"/>
      <c r="T25" s="267"/>
    </row>
    <row r="26" spans="3:20" ht="45" x14ac:dyDescent="0.25">
      <c r="C26" s="420"/>
      <c r="D26" s="462"/>
      <c r="E26" s="132" t="s">
        <v>430</v>
      </c>
      <c r="F26" s="76"/>
      <c r="G26" s="34"/>
      <c r="H26" s="61"/>
      <c r="P26" s="267"/>
      <c r="Q26" s="88"/>
      <c r="R26" s="88"/>
      <c r="S26" s="267"/>
      <c r="T26" s="267"/>
    </row>
    <row r="27" spans="3:20" ht="30" x14ac:dyDescent="0.25">
      <c r="C27" s="420"/>
      <c r="D27" s="462"/>
      <c r="E27" s="132" t="s">
        <v>432</v>
      </c>
      <c r="F27" s="59"/>
      <c r="G27" s="34"/>
      <c r="H27" s="61"/>
      <c r="P27" s="267"/>
      <c r="Q27" s="88"/>
      <c r="R27" s="88"/>
      <c r="S27" s="267"/>
      <c r="T27" s="267"/>
    </row>
    <row r="28" spans="3:20" ht="30" x14ac:dyDescent="0.25">
      <c r="C28" s="420"/>
      <c r="D28" s="462"/>
      <c r="E28" s="132" t="s">
        <v>434</v>
      </c>
      <c r="F28" s="59"/>
      <c r="G28" s="54"/>
      <c r="H28" s="61"/>
      <c r="P28" s="88"/>
      <c r="Q28" s="88"/>
      <c r="R28" s="267"/>
      <c r="S28" s="267"/>
      <c r="T28" s="267"/>
    </row>
    <row r="29" spans="3:20" ht="45" x14ac:dyDescent="0.25">
      <c r="C29" s="420"/>
      <c r="D29" s="462"/>
      <c r="E29" s="132" t="s">
        <v>436</v>
      </c>
      <c r="F29" s="34"/>
      <c r="G29" s="54"/>
      <c r="H29" s="61"/>
      <c r="P29" s="88"/>
      <c r="Q29" s="267"/>
      <c r="R29" s="267"/>
      <c r="S29" s="267"/>
      <c r="T29" s="267"/>
    </row>
    <row r="30" spans="3:20" ht="45" x14ac:dyDescent="0.25">
      <c r="C30" s="420"/>
      <c r="D30" s="462"/>
      <c r="E30" s="132" t="s">
        <v>437</v>
      </c>
      <c r="F30" s="59"/>
      <c r="G30" s="34"/>
      <c r="H30" s="61"/>
      <c r="P30" s="88"/>
      <c r="Q30" s="267"/>
      <c r="R30" s="267"/>
      <c r="S30" s="267"/>
      <c r="T30" s="267"/>
    </row>
    <row r="31" spans="3:20" ht="30" x14ac:dyDescent="0.25">
      <c r="C31" s="420" t="s">
        <v>438</v>
      </c>
      <c r="D31" s="478" t="s">
        <v>369</v>
      </c>
      <c r="E31" s="129" t="s">
        <v>370</v>
      </c>
      <c r="F31" s="60"/>
      <c r="G31" s="57"/>
      <c r="H31" s="62"/>
      <c r="P31" s="267"/>
      <c r="Q31" s="267"/>
      <c r="R31" s="267"/>
      <c r="S31" s="267"/>
      <c r="T31" s="267"/>
    </row>
    <row r="32" spans="3:20" ht="30" x14ac:dyDescent="0.25">
      <c r="C32" s="420"/>
      <c r="D32" s="478"/>
      <c r="E32" s="132" t="s">
        <v>380</v>
      </c>
      <c r="F32" s="59"/>
      <c r="G32" s="34"/>
      <c r="H32" s="61"/>
      <c r="P32" s="267"/>
      <c r="Q32" s="267"/>
      <c r="R32" s="267"/>
      <c r="S32" s="267"/>
      <c r="T32" s="267"/>
    </row>
    <row r="33" spans="3:20" ht="45" x14ac:dyDescent="0.25">
      <c r="C33" s="420"/>
      <c r="D33" s="478"/>
      <c r="E33" s="132" t="s">
        <v>394</v>
      </c>
      <c r="F33" s="34"/>
      <c r="G33" s="34"/>
      <c r="H33" s="61"/>
      <c r="P33" s="267"/>
      <c r="Q33" s="267"/>
      <c r="R33" s="267"/>
      <c r="S33" s="267"/>
      <c r="T33" s="267"/>
    </row>
    <row r="34" spans="3:20" ht="45" x14ac:dyDescent="0.25">
      <c r="C34" s="420"/>
      <c r="D34" s="478"/>
      <c r="E34" s="129" t="s">
        <v>405</v>
      </c>
      <c r="F34" s="35"/>
      <c r="G34" s="57"/>
      <c r="H34" s="62"/>
      <c r="P34" s="88"/>
      <c r="Q34" s="267"/>
      <c r="R34" s="267"/>
      <c r="S34" s="267"/>
      <c r="T34" s="267"/>
    </row>
    <row r="35" spans="3:20" ht="30" x14ac:dyDescent="0.25">
      <c r="C35" s="420"/>
      <c r="D35" s="462" t="s">
        <v>421</v>
      </c>
      <c r="E35" s="132" t="s">
        <v>453</v>
      </c>
      <c r="F35" s="38"/>
      <c r="G35" s="38"/>
      <c r="H35" s="63"/>
      <c r="P35" s="267"/>
      <c r="R35" s="267"/>
      <c r="S35" s="267"/>
      <c r="T35" s="267"/>
    </row>
    <row r="36" spans="3:20" ht="45" x14ac:dyDescent="0.25">
      <c r="C36" s="420"/>
      <c r="D36" s="462"/>
      <c r="E36" s="132" t="s">
        <v>428</v>
      </c>
      <c r="F36" s="38"/>
      <c r="G36" s="38"/>
      <c r="H36" s="63"/>
      <c r="P36" s="88"/>
      <c r="Q36" s="267"/>
      <c r="R36" s="267"/>
      <c r="S36" s="267"/>
      <c r="T36" s="267"/>
    </row>
    <row r="37" spans="3:20" ht="45" x14ac:dyDescent="0.25">
      <c r="C37" s="420"/>
      <c r="D37" s="462"/>
      <c r="E37" s="132" t="s">
        <v>429</v>
      </c>
      <c r="F37" s="38"/>
      <c r="G37" s="38"/>
      <c r="H37" s="63"/>
      <c r="P37" s="267"/>
      <c r="Q37" s="88"/>
      <c r="R37" s="267"/>
      <c r="S37" s="267"/>
      <c r="T37" s="267"/>
    </row>
    <row r="38" spans="3:20" ht="45" x14ac:dyDescent="0.25">
      <c r="C38" s="420"/>
      <c r="D38" s="462"/>
      <c r="E38" s="132" t="s">
        <v>430</v>
      </c>
      <c r="F38" s="38"/>
      <c r="G38" s="38"/>
      <c r="H38" s="63"/>
      <c r="P38" s="267"/>
      <c r="Q38" s="267"/>
      <c r="R38" s="267"/>
      <c r="S38" s="267"/>
      <c r="T38" s="267"/>
    </row>
    <row r="39" spans="3:20" ht="30" x14ac:dyDescent="0.25">
      <c r="C39" s="420"/>
      <c r="D39" s="462"/>
      <c r="E39" s="132" t="s">
        <v>432</v>
      </c>
      <c r="F39" s="59"/>
      <c r="G39" s="54"/>
      <c r="H39" s="61"/>
      <c r="P39" s="267"/>
      <c r="Q39" s="267"/>
      <c r="R39" s="267"/>
      <c r="S39" s="267"/>
      <c r="T39" s="267"/>
    </row>
    <row r="40" spans="3:20" ht="30" x14ac:dyDescent="0.25">
      <c r="C40" s="420"/>
      <c r="D40" s="462"/>
      <c r="E40" s="132" t="s">
        <v>434</v>
      </c>
      <c r="F40" s="59"/>
      <c r="G40" s="34"/>
      <c r="H40" s="61"/>
      <c r="P40" s="267"/>
      <c r="Q40" s="267"/>
      <c r="R40" s="267"/>
      <c r="S40" s="267"/>
      <c r="T40" s="267"/>
    </row>
    <row r="41" spans="3:20" ht="45" x14ac:dyDescent="0.25">
      <c r="C41" s="420"/>
      <c r="D41" s="462"/>
      <c r="E41" s="132" t="s">
        <v>436</v>
      </c>
      <c r="F41" s="34"/>
      <c r="G41" s="34"/>
      <c r="H41" s="61"/>
      <c r="P41" s="267"/>
      <c r="Q41" s="267"/>
      <c r="R41" s="267"/>
      <c r="S41" s="267"/>
      <c r="T41" s="267"/>
    </row>
    <row r="42" spans="3:20" ht="45.75" thickBot="1" x14ac:dyDescent="0.3">
      <c r="C42" s="427"/>
      <c r="D42" s="428"/>
      <c r="E42" s="194" t="s">
        <v>437</v>
      </c>
      <c r="F42" s="268"/>
      <c r="G42" s="65"/>
      <c r="H42" s="66"/>
      <c r="P42" s="267"/>
      <c r="Q42" s="267"/>
      <c r="R42" s="267"/>
      <c r="S42" s="267"/>
      <c r="T42" s="267"/>
    </row>
    <row r="43" spans="3:20" x14ac:dyDescent="0.25">
      <c r="P43" s="88"/>
      <c r="Q43" s="88"/>
      <c r="R43" s="267"/>
      <c r="S43" s="267"/>
      <c r="T43" s="267"/>
    </row>
    <row r="44" spans="3:20" x14ac:dyDescent="0.25">
      <c r="P44" s="267"/>
      <c r="Q44" s="267"/>
      <c r="R44" s="267"/>
      <c r="S44" s="267"/>
      <c r="T44" s="267"/>
    </row>
    <row r="45" spans="3:20" x14ac:dyDescent="0.25">
      <c r="P45" s="88"/>
      <c r="Q45" s="267"/>
      <c r="R45" s="267"/>
      <c r="S45" s="267"/>
      <c r="T45" s="267"/>
    </row>
    <row r="46" spans="3:20" x14ac:dyDescent="0.25">
      <c r="P46" s="88"/>
      <c r="Q46" s="267"/>
      <c r="R46" s="267"/>
      <c r="S46" s="267"/>
      <c r="T46" s="267"/>
    </row>
    <row r="47" spans="3:20" x14ac:dyDescent="0.25">
      <c r="P47" s="267"/>
      <c r="Q47" s="267"/>
      <c r="R47" s="267"/>
      <c r="S47" s="267"/>
      <c r="T47" s="267"/>
    </row>
    <row r="48" spans="3:20" x14ac:dyDescent="0.25">
      <c r="P48" s="267"/>
      <c r="R48" s="267"/>
      <c r="S48" s="267"/>
      <c r="T48" s="267"/>
    </row>
    <row r="49" spans="16:20" x14ac:dyDescent="0.25">
      <c r="P49" s="267"/>
      <c r="R49" s="267"/>
      <c r="S49" s="267"/>
      <c r="T49" s="267"/>
    </row>
    <row r="50" spans="16:20" x14ac:dyDescent="0.25">
      <c r="P50" s="267"/>
      <c r="Q50" s="267"/>
      <c r="R50" s="267"/>
      <c r="S50" s="267"/>
      <c r="T50" s="267"/>
    </row>
    <row r="51" spans="16:20" x14ac:dyDescent="0.25">
      <c r="P51" s="88"/>
      <c r="Q51" s="267"/>
      <c r="R51" s="267"/>
      <c r="S51" s="267"/>
      <c r="T51" s="267"/>
    </row>
    <row r="52" spans="16:20" x14ac:dyDescent="0.25">
      <c r="P52" s="88"/>
      <c r="R52" s="267"/>
      <c r="S52" s="267"/>
      <c r="T52" s="267"/>
    </row>
    <row r="53" spans="16:20" x14ac:dyDescent="0.25">
      <c r="P53" s="267"/>
      <c r="R53" s="267"/>
      <c r="S53" s="267"/>
      <c r="T53" s="267"/>
    </row>
    <row r="54" spans="16:20" x14ac:dyDescent="0.25">
      <c r="P54" s="267"/>
      <c r="Q54" s="267"/>
      <c r="R54" s="267"/>
      <c r="S54" s="267"/>
      <c r="T54" s="267"/>
    </row>
    <row r="55" spans="16:20" x14ac:dyDescent="0.25">
      <c r="P55" s="88"/>
      <c r="Q55" s="267"/>
      <c r="R55" s="267"/>
      <c r="S55" s="267"/>
      <c r="T55" s="267"/>
    </row>
    <row r="56" spans="16:20" x14ac:dyDescent="0.25">
      <c r="P56" s="88"/>
      <c r="Q56" s="267"/>
      <c r="R56" s="267"/>
      <c r="S56" s="267"/>
      <c r="T56" s="267"/>
    </row>
    <row r="57" spans="16:20" x14ac:dyDescent="0.25">
      <c r="P57" s="88"/>
      <c r="Q57" s="267"/>
      <c r="R57" s="267"/>
      <c r="S57" s="267"/>
      <c r="T57" s="267"/>
    </row>
    <row r="58" spans="16:20" x14ac:dyDescent="0.25">
      <c r="P58" s="267"/>
      <c r="Q58" s="267"/>
      <c r="R58" s="267"/>
      <c r="S58" s="267"/>
      <c r="T58" s="267"/>
    </row>
    <row r="59" spans="16:20" x14ac:dyDescent="0.25">
      <c r="P59" s="88"/>
      <c r="Q59" s="267"/>
      <c r="R59" s="267"/>
      <c r="S59" s="267"/>
      <c r="T59" s="267"/>
    </row>
    <row r="60" spans="16:20" x14ac:dyDescent="0.25">
      <c r="P60" s="267"/>
      <c r="R60" s="267"/>
      <c r="S60" s="267"/>
      <c r="T60" s="267"/>
    </row>
    <row r="61" spans="16:20" x14ac:dyDescent="0.25">
      <c r="P61" s="267"/>
      <c r="R61" s="267"/>
      <c r="S61" s="267"/>
      <c r="T61" s="267"/>
    </row>
    <row r="62" spans="16:20" x14ac:dyDescent="0.25">
      <c r="P62" s="267"/>
      <c r="Q62" s="267"/>
      <c r="R62" s="267"/>
      <c r="S62" s="267"/>
      <c r="T62" s="267"/>
    </row>
    <row r="63" spans="16:20" x14ac:dyDescent="0.25">
      <c r="P63" s="88"/>
      <c r="Q63" s="267"/>
      <c r="R63" s="267"/>
      <c r="S63" s="267"/>
      <c r="T63" s="267"/>
    </row>
    <row r="64" spans="16:20" x14ac:dyDescent="0.25">
      <c r="P64" s="88"/>
      <c r="R64" s="267"/>
      <c r="S64" s="267"/>
      <c r="T64" s="267"/>
    </row>
    <row r="65" spans="16:20" x14ac:dyDescent="0.25">
      <c r="P65" s="267"/>
      <c r="Q65" s="267"/>
      <c r="R65" s="267"/>
      <c r="S65" s="267"/>
      <c r="T65" s="267"/>
    </row>
    <row r="66" spans="16:20" x14ac:dyDescent="0.25">
      <c r="P66" s="88"/>
      <c r="R66" s="267"/>
      <c r="S66" s="267"/>
      <c r="T66" s="267"/>
    </row>
    <row r="67" spans="16:20" x14ac:dyDescent="0.25">
      <c r="P67" s="267"/>
      <c r="Q67" s="267"/>
      <c r="R67" s="267"/>
      <c r="S67" s="267"/>
      <c r="T67" s="267"/>
    </row>
    <row r="68" spans="16:20" x14ac:dyDescent="0.25">
      <c r="P68" s="267"/>
      <c r="R68" s="267"/>
      <c r="S68" s="267"/>
      <c r="T68" s="267"/>
    </row>
    <row r="69" spans="16:20" x14ac:dyDescent="0.25">
      <c r="P69" s="267"/>
      <c r="Q69" s="267"/>
      <c r="R69" s="267"/>
      <c r="S69" s="267"/>
      <c r="T69" s="267"/>
    </row>
    <row r="70" spans="16:20" x14ac:dyDescent="0.25">
      <c r="P70" s="88"/>
      <c r="Q70" s="267"/>
      <c r="R70" s="267"/>
      <c r="S70" s="267"/>
      <c r="T70" s="267"/>
    </row>
    <row r="71" spans="16:20" x14ac:dyDescent="0.25">
      <c r="P71" s="88"/>
      <c r="Q71" s="267"/>
      <c r="R71" s="267"/>
      <c r="S71" s="267"/>
      <c r="T71" s="267"/>
    </row>
    <row r="72" spans="16:20" x14ac:dyDescent="0.25">
      <c r="P72" s="267"/>
      <c r="Q72" s="88"/>
      <c r="R72" s="267"/>
      <c r="S72" s="267"/>
      <c r="T72" s="267"/>
    </row>
    <row r="73" spans="16:20" x14ac:dyDescent="0.25">
      <c r="P73" s="267"/>
      <c r="Q73" s="267"/>
      <c r="R73" s="267"/>
      <c r="S73" s="267"/>
      <c r="T73" s="267"/>
    </row>
    <row r="74" spans="16:20" x14ac:dyDescent="0.25">
      <c r="P74" s="88"/>
      <c r="Q74" s="267"/>
      <c r="R74" s="267"/>
      <c r="S74" s="267"/>
      <c r="T74" s="267"/>
    </row>
    <row r="75" spans="16:20" x14ac:dyDescent="0.25">
      <c r="P75" s="267"/>
      <c r="Q75" s="88"/>
      <c r="R75" s="267"/>
      <c r="S75" s="267"/>
      <c r="T75" s="267"/>
    </row>
    <row r="76" spans="16:20" x14ac:dyDescent="0.25">
      <c r="P76" s="88"/>
      <c r="Q76" s="267"/>
      <c r="R76" s="267"/>
      <c r="S76" s="267"/>
      <c r="T76" s="267"/>
    </row>
    <row r="77" spans="16:20" x14ac:dyDescent="0.25">
      <c r="P77" s="88"/>
      <c r="R77" s="267"/>
      <c r="S77" s="267"/>
      <c r="T77" s="267"/>
    </row>
    <row r="78" spans="16:20" x14ac:dyDescent="0.25">
      <c r="P78" s="88"/>
      <c r="Q78" s="267"/>
      <c r="R78" s="267"/>
      <c r="S78" s="267"/>
      <c r="T78" s="267"/>
    </row>
    <row r="79" spans="16:20" x14ac:dyDescent="0.25">
      <c r="P79" s="88"/>
      <c r="R79" s="267"/>
      <c r="S79" s="267"/>
      <c r="T79" s="267"/>
    </row>
    <row r="80" spans="16:20" x14ac:dyDescent="0.25">
      <c r="P80" s="88"/>
      <c r="Q80" s="267"/>
      <c r="R80" s="267"/>
      <c r="S80" s="267"/>
      <c r="T80" s="267"/>
    </row>
    <row r="81" spans="16:20" x14ac:dyDescent="0.25">
      <c r="P81" s="88"/>
      <c r="Q81" s="88"/>
      <c r="R81" s="267"/>
      <c r="S81" s="267"/>
      <c r="T81" s="267"/>
    </row>
    <row r="82" spans="16:20" x14ac:dyDescent="0.25">
      <c r="P82" s="88"/>
      <c r="Q82" s="267"/>
      <c r="R82" s="267"/>
      <c r="S82" s="267"/>
      <c r="T82" s="267"/>
    </row>
    <row r="83" spans="16:20" x14ac:dyDescent="0.25">
      <c r="P83" s="88"/>
      <c r="Q83" s="267"/>
      <c r="R83" s="267"/>
      <c r="S83" s="267"/>
      <c r="T83" s="267"/>
    </row>
    <row r="84" spans="16:20" x14ac:dyDescent="0.25">
      <c r="P84" s="88"/>
      <c r="Q84" s="267"/>
      <c r="R84" s="267"/>
      <c r="S84" s="267"/>
      <c r="T84" s="267"/>
    </row>
    <row r="85" spans="16:20" x14ac:dyDescent="0.25">
      <c r="P85" s="88"/>
      <c r="Q85" s="88"/>
      <c r="R85" s="267"/>
      <c r="S85" s="267"/>
      <c r="T85" s="267"/>
    </row>
    <row r="86" spans="16:20" x14ac:dyDescent="0.25">
      <c r="P86" s="88"/>
      <c r="Q86" s="88"/>
      <c r="R86" s="267"/>
      <c r="S86" s="267"/>
      <c r="T86" s="267"/>
    </row>
    <row r="87" spans="16:20" x14ac:dyDescent="0.25">
      <c r="P87" s="88"/>
      <c r="Q87" s="88"/>
      <c r="R87" s="267"/>
      <c r="S87" s="267"/>
      <c r="T87" s="267"/>
    </row>
    <row r="88" spans="16:20" x14ac:dyDescent="0.25">
      <c r="P88" s="88"/>
      <c r="Q88" s="88"/>
      <c r="R88" s="267"/>
      <c r="S88" s="267"/>
      <c r="T88" s="267"/>
    </row>
    <row r="89" spans="16:20" x14ac:dyDescent="0.25">
      <c r="P89" s="88"/>
      <c r="Q89" s="88"/>
      <c r="R89" s="267"/>
      <c r="S89" s="267"/>
      <c r="T89" s="267"/>
    </row>
    <row r="90" spans="16:20" x14ac:dyDescent="0.25">
      <c r="P90" s="88"/>
      <c r="Q90" s="88"/>
      <c r="R90" s="267"/>
      <c r="S90" s="267"/>
      <c r="T90" s="267"/>
    </row>
    <row r="91" spans="16:20" x14ac:dyDescent="0.25">
      <c r="P91" s="88"/>
      <c r="Q91" s="88"/>
      <c r="R91" s="267"/>
      <c r="S91" s="267"/>
      <c r="T91" s="267"/>
    </row>
    <row r="92" spans="16:20" x14ac:dyDescent="0.25">
      <c r="P92" s="88"/>
      <c r="Q92" s="88"/>
      <c r="R92" s="267"/>
      <c r="S92" s="267"/>
      <c r="T92" s="267"/>
    </row>
    <row r="93" spans="16:20" x14ac:dyDescent="0.25">
      <c r="P93" s="88"/>
      <c r="Q93" s="88"/>
      <c r="R93" s="267"/>
      <c r="S93" s="267"/>
      <c r="T93" s="267"/>
    </row>
    <row r="94" spans="16:20" x14ac:dyDescent="0.25">
      <c r="P94" s="88"/>
      <c r="Q94" s="88"/>
      <c r="R94" s="267"/>
      <c r="S94" s="267"/>
      <c r="T94" s="267"/>
    </row>
    <row r="95" spans="16:20" x14ac:dyDescent="0.25">
      <c r="P95" s="88"/>
      <c r="Q95" s="88"/>
      <c r="R95" s="267"/>
      <c r="S95" s="267"/>
      <c r="T95" s="267"/>
    </row>
    <row r="96" spans="16:20" x14ac:dyDescent="0.25">
      <c r="P96" s="88"/>
      <c r="Q96" s="88"/>
      <c r="R96" s="267"/>
      <c r="S96" s="267"/>
      <c r="T96" s="267"/>
    </row>
    <row r="97" spans="16:20" x14ac:dyDescent="0.25">
      <c r="P97" s="88"/>
      <c r="Q97" s="88"/>
      <c r="R97" s="267"/>
      <c r="S97" s="267"/>
      <c r="T97" s="267"/>
    </row>
    <row r="98" spans="16:20" x14ac:dyDescent="0.25">
      <c r="P98" s="88"/>
      <c r="Q98" s="88"/>
      <c r="R98" s="267"/>
      <c r="S98" s="267"/>
      <c r="T98" s="267"/>
    </row>
    <row r="99" spans="16:20" x14ac:dyDescent="0.25">
      <c r="P99" s="88"/>
      <c r="Q99" s="88"/>
      <c r="R99" s="267"/>
      <c r="S99" s="267"/>
      <c r="T99" s="267"/>
    </row>
    <row r="100" spans="16:20" x14ac:dyDescent="0.25">
      <c r="P100" s="88"/>
      <c r="Q100" s="88"/>
      <c r="R100" s="267"/>
      <c r="S100" s="267"/>
      <c r="T100" s="267"/>
    </row>
    <row r="101" spans="16:20" x14ac:dyDescent="0.25">
      <c r="P101" s="88"/>
      <c r="Q101" s="88"/>
      <c r="R101" s="267"/>
      <c r="S101" s="267"/>
      <c r="T101" s="267"/>
    </row>
    <row r="102" spans="16:20" x14ac:dyDescent="0.25">
      <c r="P102" s="88"/>
      <c r="Q102" s="88"/>
      <c r="R102" s="267"/>
      <c r="S102" s="267"/>
      <c r="T102" s="267"/>
    </row>
    <row r="103" spans="16:20" x14ac:dyDescent="0.25">
      <c r="P103" s="88"/>
      <c r="Q103" s="88"/>
      <c r="R103" s="267"/>
      <c r="S103" s="267"/>
      <c r="T103" s="267"/>
    </row>
    <row r="104" spans="16:20" x14ac:dyDescent="0.25">
      <c r="P104" s="267"/>
      <c r="Q104" s="267"/>
      <c r="R104" s="267"/>
      <c r="S104" s="267"/>
      <c r="T104" s="267"/>
    </row>
    <row r="105" spans="16:20" x14ac:dyDescent="0.25">
      <c r="P105" s="267"/>
      <c r="Q105" s="267"/>
      <c r="R105" s="267"/>
      <c r="S105" s="267"/>
      <c r="T105" s="267"/>
    </row>
    <row r="106" spans="16:20" x14ac:dyDescent="0.25">
      <c r="P106" s="267"/>
      <c r="Q106" s="267"/>
      <c r="R106" s="267"/>
      <c r="S106" s="267"/>
      <c r="T106" s="267"/>
    </row>
    <row r="107" spans="16:20" x14ac:dyDescent="0.25">
      <c r="P107" s="267"/>
      <c r="Q107" s="267"/>
      <c r="R107" s="267"/>
      <c r="S107" s="267"/>
      <c r="T107" s="267"/>
    </row>
    <row r="108" spans="16:20" x14ac:dyDescent="0.25">
      <c r="P108" s="267"/>
      <c r="Q108" s="267"/>
      <c r="R108" s="267"/>
      <c r="S108" s="267"/>
      <c r="T108" s="267"/>
    </row>
    <row r="109" spans="16:20" x14ac:dyDescent="0.25">
      <c r="P109" s="267"/>
      <c r="Q109" s="267"/>
      <c r="R109" s="267"/>
      <c r="S109" s="267"/>
      <c r="T109" s="267"/>
    </row>
    <row r="110" spans="16:20" x14ac:dyDescent="0.25">
      <c r="P110" s="267"/>
      <c r="Q110" s="267"/>
      <c r="R110" s="267"/>
      <c r="S110" s="267"/>
      <c r="T110" s="267"/>
    </row>
    <row r="111" spans="16:20" x14ac:dyDescent="0.25">
      <c r="P111" s="267"/>
      <c r="Q111" s="267"/>
      <c r="R111" s="267"/>
      <c r="S111" s="267"/>
      <c r="T111" s="267"/>
    </row>
    <row r="112" spans="16:20" x14ac:dyDescent="0.25">
      <c r="P112" s="267"/>
      <c r="Q112" s="267"/>
      <c r="R112" s="267"/>
      <c r="S112" s="267"/>
      <c r="T112" s="267"/>
    </row>
    <row r="113" spans="16:20" x14ac:dyDescent="0.25">
      <c r="P113" s="267"/>
      <c r="Q113" s="267"/>
      <c r="R113" s="267"/>
      <c r="S113" s="267"/>
      <c r="T113" s="267"/>
    </row>
    <row r="114" spans="16:20" x14ac:dyDescent="0.25">
      <c r="P114" s="267"/>
      <c r="Q114" s="267"/>
      <c r="R114" s="267"/>
      <c r="S114" s="267"/>
      <c r="T114" s="267"/>
    </row>
    <row r="115" spans="16:20" x14ac:dyDescent="0.25">
      <c r="P115" s="267"/>
      <c r="Q115" s="267"/>
      <c r="R115" s="267"/>
      <c r="S115" s="267"/>
      <c r="T115" s="267"/>
    </row>
    <row r="116" spans="16:20" x14ac:dyDescent="0.25">
      <c r="P116" s="267"/>
      <c r="Q116" s="267"/>
      <c r="R116" s="267"/>
      <c r="S116" s="267"/>
      <c r="T116" s="267"/>
    </row>
    <row r="117" spans="16:20" x14ac:dyDescent="0.25">
      <c r="P117" s="267"/>
      <c r="Q117" s="267"/>
      <c r="R117" s="267"/>
      <c r="S117" s="267"/>
      <c r="T117" s="267"/>
    </row>
    <row r="118" spans="16:20" x14ac:dyDescent="0.25">
      <c r="P118" s="267"/>
      <c r="Q118" s="267"/>
      <c r="R118" s="267"/>
      <c r="S118" s="267"/>
      <c r="T118" s="267"/>
    </row>
    <row r="119" spans="16:20" x14ac:dyDescent="0.25">
      <c r="P119" s="267"/>
      <c r="Q119" s="267"/>
      <c r="R119" s="267"/>
      <c r="S119" s="267"/>
      <c r="T119" s="267"/>
    </row>
    <row r="120" spans="16:20" x14ac:dyDescent="0.25">
      <c r="P120" s="267"/>
      <c r="Q120" s="267"/>
      <c r="R120" s="267"/>
      <c r="S120" s="267"/>
      <c r="T120" s="267"/>
    </row>
    <row r="121" spans="16:20" x14ac:dyDescent="0.25">
      <c r="P121" s="267"/>
      <c r="Q121" s="267"/>
      <c r="R121" s="267"/>
      <c r="S121" s="267"/>
      <c r="T121" s="267"/>
    </row>
    <row r="122" spans="16:20" x14ac:dyDescent="0.25">
      <c r="P122" s="267"/>
      <c r="Q122" s="267"/>
      <c r="R122" s="267"/>
      <c r="S122" s="267"/>
      <c r="T122" s="267"/>
    </row>
    <row r="123" spans="16:20" x14ac:dyDescent="0.25">
      <c r="P123" s="267"/>
      <c r="Q123" s="267"/>
      <c r="R123" s="267"/>
      <c r="S123" s="267"/>
      <c r="T123" s="267"/>
    </row>
    <row r="124" spans="16:20" x14ac:dyDescent="0.25">
      <c r="P124" s="267"/>
      <c r="Q124" s="267"/>
      <c r="R124" s="267"/>
      <c r="S124" s="267"/>
      <c r="T124" s="267"/>
    </row>
    <row r="125" spans="16:20" x14ac:dyDescent="0.25">
      <c r="P125" s="267"/>
      <c r="Q125" s="267"/>
      <c r="R125" s="267"/>
      <c r="S125" s="267"/>
      <c r="T125" s="267"/>
    </row>
    <row r="126" spans="16:20" x14ac:dyDescent="0.25">
      <c r="P126" s="267"/>
      <c r="Q126" s="267"/>
      <c r="R126" s="267"/>
      <c r="S126" s="267"/>
      <c r="T126" s="267"/>
    </row>
    <row r="127" spans="16:20" x14ac:dyDescent="0.25">
      <c r="P127" s="267"/>
      <c r="Q127" s="267"/>
      <c r="R127" s="267"/>
      <c r="S127" s="267"/>
      <c r="T127" s="267"/>
    </row>
    <row r="128" spans="16:20" x14ac:dyDescent="0.25">
      <c r="P128" s="267"/>
      <c r="Q128" s="267"/>
      <c r="R128" s="267"/>
      <c r="S128" s="267"/>
      <c r="T128" s="267"/>
    </row>
    <row r="129" spans="16:20" x14ac:dyDescent="0.25">
      <c r="P129" s="267"/>
      <c r="Q129" s="267"/>
      <c r="R129" s="267"/>
      <c r="S129" s="267"/>
      <c r="T129" s="267"/>
    </row>
    <row r="130" spans="16:20" x14ac:dyDescent="0.25">
      <c r="P130" s="267"/>
      <c r="Q130" s="267"/>
      <c r="R130" s="267"/>
      <c r="S130" s="267"/>
      <c r="T130" s="267"/>
    </row>
    <row r="131" spans="16:20" x14ac:dyDescent="0.25">
      <c r="P131" s="267"/>
      <c r="Q131" s="267"/>
      <c r="R131" s="267"/>
      <c r="S131" s="267"/>
      <c r="T131" s="267"/>
    </row>
    <row r="132" spans="16:20" x14ac:dyDescent="0.25">
      <c r="P132" s="267"/>
      <c r="Q132" s="267"/>
      <c r="R132" s="267"/>
      <c r="S132" s="267"/>
      <c r="T132" s="267"/>
    </row>
    <row r="133" spans="16:20" x14ac:dyDescent="0.25">
      <c r="P133" s="267"/>
      <c r="Q133" s="267"/>
      <c r="R133" s="267"/>
      <c r="S133" s="267"/>
      <c r="T133" s="267"/>
    </row>
    <row r="134" spans="16:20" x14ac:dyDescent="0.25">
      <c r="P134" s="267"/>
      <c r="Q134" s="267"/>
      <c r="R134" s="267"/>
      <c r="S134" s="267"/>
      <c r="T134" s="267"/>
    </row>
    <row r="135" spans="16:20" x14ac:dyDescent="0.25">
      <c r="P135" s="267"/>
      <c r="Q135" s="267"/>
      <c r="R135" s="267"/>
      <c r="S135" s="267"/>
      <c r="T135" s="267"/>
    </row>
    <row r="136" spans="16:20" x14ac:dyDescent="0.25">
      <c r="P136" s="267"/>
      <c r="Q136" s="267"/>
      <c r="R136" s="267"/>
      <c r="S136" s="267"/>
      <c r="T136" s="267"/>
    </row>
    <row r="137" spans="16:20" x14ac:dyDescent="0.25">
      <c r="P137" s="267"/>
      <c r="Q137" s="267"/>
      <c r="R137" s="267"/>
      <c r="S137" s="267"/>
      <c r="T137" s="267"/>
    </row>
    <row r="138" spans="16:20" x14ac:dyDescent="0.25">
      <c r="P138" s="267"/>
      <c r="Q138" s="267"/>
      <c r="R138" s="267"/>
      <c r="S138" s="267"/>
      <c r="T138" s="267"/>
    </row>
    <row r="139" spans="16:20" x14ac:dyDescent="0.25">
      <c r="P139" s="267"/>
      <c r="Q139" s="267"/>
      <c r="R139" s="267"/>
      <c r="S139" s="267"/>
      <c r="T139" s="267"/>
    </row>
    <row r="140" spans="16:20" x14ac:dyDescent="0.25">
      <c r="P140" s="267"/>
      <c r="Q140" s="267"/>
      <c r="R140" s="267"/>
      <c r="S140" s="267"/>
      <c r="T140" s="267"/>
    </row>
    <row r="141" spans="16:20" x14ac:dyDescent="0.25">
      <c r="P141" s="267"/>
      <c r="Q141" s="267"/>
      <c r="R141" s="267"/>
      <c r="S141" s="267"/>
      <c r="T141" s="267"/>
    </row>
    <row r="142" spans="16:20" x14ac:dyDescent="0.25">
      <c r="P142" s="267"/>
      <c r="Q142" s="267"/>
      <c r="R142" s="267"/>
      <c r="S142" s="267"/>
      <c r="T142" s="267"/>
    </row>
    <row r="143" spans="16:20" x14ac:dyDescent="0.25">
      <c r="P143" s="267"/>
      <c r="Q143" s="267"/>
      <c r="R143" s="267"/>
      <c r="S143" s="267"/>
      <c r="T143" s="267"/>
    </row>
    <row r="144" spans="16:20" x14ac:dyDescent="0.25">
      <c r="P144" s="267"/>
      <c r="Q144" s="267"/>
      <c r="R144" s="267"/>
      <c r="S144" s="267"/>
      <c r="T144" s="267"/>
    </row>
    <row r="145" spans="16:20" x14ac:dyDescent="0.25">
      <c r="P145" s="267"/>
      <c r="Q145" s="267"/>
      <c r="R145" s="267"/>
      <c r="S145" s="267"/>
      <c r="T145" s="267"/>
    </row>
    <row r="146" spans="16:20" x14ac:dyDescent="0.25">
      <c r="P146" s="267"/>
      <c r="Q146" s="267"/>
      <c r="R146" s="267"/>
      <c r="S146" s="267"/>
      <c r="T146" s="267"/>
    </row>
    <row r="147" spans="16:20" x14ac:dyDescent="0.25">
      <c r="P147" s="267"/>
      <c r="Q147" s="267"/>
      <c r="R147" s="267"/>
      <c r="S147" s="267"/>
      <c r="T147" s="267"/>
    </row>
    <row r="148" spans="16:20" x14ac:dyDescent="0.25">
      <c r="P148" s="267"/>
      <c r="Q148" s="267"/>
      <c r="R148" s="267"/>
      <c r="S148" s="267"/>
      <c r="T148" s="267"/>
    </row>
    <row r="149" spans="16:20" x14ac:dyDescent="0.25">
      <c r="P149" s="267"/>
      <c r="Q149" s="267"/>
      <c r="R149" s="267"/>
      <c r="S149" s="267"/>
      <c r="T149" s="267"/>
    </row>
    <row r="150" spans="16:20" x14ac:dyDescent="0.25">
      <c r="P150" s="267"/>
      <c r="Q150" s="267"/>
      <c r="R150" s="267"/>
      <c r="S150" s="267"/>
      <c r="T150" s="267"/>
    </row>
    <row r="151" spans="16:20" x14ac:dyDescent="0.25">
      <c r="P151" s="267"/>
      <c r="Q151" s="267"/>
      <c r="R151" s="267"/>
      <c r="S151" s="267"/>
      <c r="T151" s="267"/>
    </row>
    <row r="152" spans="16:20" x14ac:dyDescent="0.25">
      <c r="P152" s="267"/>
      <c r="Q152" s="267"/>
      <c r="R152" s="267"/>
      <c r="S152" s="267"/>
      <c r="T152" s="267"/>
    </row>
    <row r="153" spans="16:20" x14ac:dyDescent="0.25">
      <c r="P153" s="267"/>
      <c r="Q153" s="267"/>
      <c r="R153" s="267"/>
      <c r="S153" s="267"/>
      <c r="T153" s="267"/>
    </row>
    <row r="154" spans="16:20" x14ac:dyDescent="0.25">
      <c r="P154" s="267"/>
      <c r="Q154" s="267"/>
      <c r="R154" s="267"/>
      <c r="S154" s="267"/>
      <c r="T154" s="267"/>
    </row>
    <row r="155" spans="16:20" x14ac:dyDescent="0.25">
      <c r="P155" s="267"/>
      <c r="Q155" s="267"/>
      <c r="R155" s="267"/>
      <c r="S155" s="267"/>
      <c r="T155" s="267"/>
    </row>
    <row r="156" spans="16:20" x14ac:dyDescent="0.25">
      <c r="P156" s="267"/>
      <c r="Q156" s="267"/>
      <c r="R156" s="267"/>
      <c r="S156" s="267"/>
      <c r="T156" s="267"/>
    </row>
    <row r="157" spans="16:20" x14ac:dyDescent="0.25">
      <c r="P157" s="267"/>
      <c r="Q157" s="267"/>
      <c r="R157" s="267"/>
      <c r="S157" s="267"/>
      <c r="T157" s="267"/>
    </row>
    <row r="158" spans="16:20" x14ac:dyDescent="0.25">
      <c r="P158" s="267"/>
      <c r="R158" s="267"/>
      <c r="S158" s="267"/>
      <c r="T158" s="267"/>
    </row>
    <row r="159" spans="16:20" x14ac:dyDescent="0.25">
      <c r="P159" s="267"/>
      <c r="R159" s="267"/>
      <c r="S159" s="267"/>
      <c r="T159" s="267"/>
    </row>
    <row r="160" spans="16:20" x14ac:dyDescent="0.25">
      <c r="P160" s="267"/>
      <c r="R160" s="267"/>
      <c r="S160" s="267"/>
      <c r="T160" s="267"/>
    </row>
    <row r="161" spans="16:21" x14ac:dyDescent="0.25">
      <c r="P161" s="267"/>
      <c r="R161" s="267"/>
      <c r="S161" s="267"/>
      <c r="T161" s="267"/>
    </row>
    <row r="162" spans="16:21" x14ac:dyDescent="0.25">
      <c r="P162" s="267"/>
      <c r="R162" s="267"/>
      <c r="S162" s="267"/>
      <c r="T162" s="267"/>
    </row>
    <row r="163" spans="16:21" x14ac:dyDescent="0.25">
      <c r="P163" s="267"/>
      <c r="S163" s="267"/>
      <c r="T163" s="267"/>
    </row>
    <row r="164" spans="16:21" x14ac:dyDescent="0.25">
      <c r="P164" s="267"/>
      <c r="S164" s="267"/>
      <c r="T164" s="267"/>
    </row>
    <row r="165" spans="16:21" x14ac:dyDescent="0.25">
      <c r="P165" s="267"/>
      <c r="S165" s="267"/>
      <c r="T165" s="267"/>
    </row>
    <row r="166" spans="16:21" x14ac:dyDescent="0.25">
      <c r="P166" s="267"/>
      <c r="S166" s="267"/>
      <c r="T166" s="267"/>
    </row>
    <row r="167" spans="16:21" x14ac:dyDescent="0.25">
      <c r="P167" s="267"/>
      <c r="S167" s="267"/>
      <c r="T167" s="267"/>
    </row>
    <row r="168" spans="16:21" x14ac:dyDescent="0.25">
      <c r="P168" s="267"/>
      <c r="S168" s="267"/>
      <c r="T168" s="267"/>
    </row>
    <row r="169" spans="16:21" x14ac:dyDescent="0.25">
      <c r="P169" s="267"/>
      <c r="S169" s="267"/>
      <c r="T169" s="267"/>
    </row>
    <row r="170" spans="16:21" x14ac:dyDescent="0.25">
      <c r="P170" s="267"/>
      <c r="S170" s="267"/>
      <c r="T170" s="267"/>
    </row>
    <row r="171" spans="16:21" x14ac:dyDescent="0.25">
      <c r="P171" s="267"/>
      <c r="S171" s="267"/>
      <c r="T171" s="267"/>
    </row>
    <row r="172" spans="16:21" x14ac:dyDescent="0.25">
      <c r="Q172" s="267"/>
      <c r="T172" s="267"/>
      <c r="U172" s="267"/>
    </row>
    <row r="173" spans="16:21" x14ac:dyDescent="0.25">
      <c r="Q173" s="267"/>
      <c r="T173" s="267"/>
      <c r="U173" s="267"/>
    </row>
    <row r="174" spans="16:21" x14ac:dyDescent="0.25">
      <c r="Q174" s="267"/>
      <c r="T174" s="267"/>
      <c r="U174" s="267"/>
    </row>
    <row r="175" spans="16:21" x14ac:dyDescent="0.25">
      <c r="Q175" s="267"/>
      <c r="T175" s="267"/>
      <c r="U175" s="267"/>
    </row>
    <row r="176" spans="16:21" x14ac:dyDescent="0.25">
      <c r="Q176" s="267"/>
      <c r="T176" s="267"/>
      <c r="U176" s="267"/>
    </row>
    <row r="177" spans="17:21" x14ac:dyDescent="0.25">
      <c r="Q177" s="267"/>
      <c r="T177" s="267"/>
      <c r="U177" s="267"/>
    </row>
    <row r="178" spans="17:21" x14ac:dyDescent="0.25">
      <c r="Q178" s="267"/>
      <c r="T178" s="267"/>
      <c r="U178" s="267"/>
    </row>
    <row r="179" spans="17:21" x14ac:dyDescent="0.25">
      <c r="Q179" s="267"/>
      <c r="T179" s="267"/>
      <c r="U179" s="267"/>
    </row>
    <row r="180" spans="17:21" x14ac:dyDescent="0.25">
      <c r="Q180" s="267"/>
      <c r="T180" s="267"/>
      <c r="U180" s="267"/>
    </row>
    <row r="181" spans="17:21" x14ac:dyDescent="0.25">
      <c r="Q181" s="267"/>
      <c r="T181" s="267"/>
      <c r="U181" s="267"/>
    </row>
    <row r="182" spans="17:21" x14ac:dyDescent="0.25">
      <c r="Q182" s="267"/>
      <c r="T182" s="267"/>
      <c r="U182" s="267"/>
    </row>
    <row r="183" spans="17:21" x14ac:dyDescent="0.25">
      <c r="Q183" s="267"/>
      <c r="T183" s="267"/>
      <c r="U183" s="267"/>
    </row>
    <row r="184" spans="17:21" x14ac:dyDescent="0.25">
      <c r="Q184" s="267"/>
      <c r="U184" s="267"/>
    </row>
    <row r="185" spans="17:21" x14ac:dyDescent="0.25">
      <c r="Q185" s="267"/>
      <c r="U185" s="267"/>
    </row>
    <row r="186" spans="17:21" x14ac:dyDescent="0.25">
      <c r="Q186" s="267"/>
      <c r="U186" s="267"/>
    </row>
    <row r="187" spans="17:21" x14ac:dyDescent="0.25">
      <c r="Q187" s="267"/>
      <c r="U187" s="267"/>
    </row>
    <row r="188" spans="17:21" x14ac:dyDescent="0.25">
      <c r="Q188" s="267"/>
      <c r="U188" s="267"/>
    </row>
    <row r="189" spans="17:21" x14ac:dyDescent="0.25">
      <c r="Q189" s="267"/>
      <c r="U189" s="267"/>
    </row>
    <row r="190" spans="17:21" x14ac:dyDescent="0.25">
      <c r="Q190" s="267"/>
      <c r="U190" s="267"/>
    </row>
    <row r="191" spans="17:21" x14ac:dyDescent="0.25">
      <c r="Q191" s="267"/>
      <c r="U191" s="267"/>
    </row>
    <row r="192" spans="17:21" x14ac:dyDescent="0.25">
      <c r="Q192" s="267"/>
      <c r="U192" s="267"/>
    </row>
    <row r="193" spans="17:21" x14ac:dyDescent="0.25">
      <c r="Q193" s="267"/>
      <c r="U193" s="267"/>
    </row>
    <row r="194" spans="17:21" x14ac:dyDescent="0.25">
      <c r="Q194" s="267"/>
      <c r="U194" s="267"/>
    </row>
    <row r="195" spans="17:21" x14ac:dyDescent="0.25">
      <c r="Q195" s="267"/>
      <c r="U195" s="267"/>
    </row>
    <row r="196" spans="17:21" x14ac:dyDescent="0.25">
      <c r="Q196" s="267"/>
      <c r="U196" s="267"/>
    </row>
    <row r="197" spans="17:21" x14ac:dyDescent="0.25">
      <c r="Q197" s="267"/>
      <c r="U197" s="267"/>
    </row>
    <row r="198" spans="17:21" x14ac:dyDescent="0.25">
      <c r="Q198" s="267"/>
      <c r="U198" s="267"/>
    </row>
    <row r="199" spans="17:21" x14ac:dyDescent="0.25">
      <c r="Q199" s="267"/>
      <c r="U199" s="267"/>
    </row>
    <row r="200" spans="17:21" x14ac:dyDescent="0.25">
      <c r="Q200" s="267"/>
      <c r="U200" s="267"/>
    </row>
    <row r="201" spans="17:21" x14ac:dyDescent="0.25">
      <c r="Q201" s="267"/>
      <c r="U201" s="267"/>
    </row>
    <row r="202" spans="17:21" x14ac:dyDescent="0.25">
      <c r="Q202" s="267"/>
      <c r="U202" s="267"/>
    </row>
    <row r="203" spans="17:21" x14ac:dyDescent="0.25">
      <c r="Q203" s="267"/>
      <c r="U203" s="267"/>
    </row>
    <row r="204" spans="17:21" x14ac:dyDescent="0.25">
      <c r="Q204" s="267"/>
      <c r="U204" s="267"/>
    </row>
    <row r="205" spans="17:21" x14ac:dyDescent="0.25">
      <c r="Q205" s="267"/>
      <c r="U205" s="267"/>
    </row>
    <row r="206" spans="17:21" x14ac:dyDescent="0.25">
      <c r="Q206" s="267"/>
      <c r="U206" s="267"/>
    </row>
    <row r="207" spans="17:21" x14ac:dyDescent="0.25">
      <c r="Q207" s="267"/>
      <c r="U207" s="267"/>
    </row>
    <row r="208" spans="17:21" x14ac:dyDescent="0.25">
      <c r="Q208" s="267"/>
      <c r="U208" s="267"/>
    </row>
    <row r="209" spans="17:21" x14ac:dyDescent="0.25">
      <c r="Q209" s="267"/>
      <c r="U209" s="267"/>
    </row>
    <row r="210" spans="17:21" x14ac:dyDescent="0.25">
      <c r="Q210" s="267"/>
      <c r="U210" s="267"/>
    </row>
    <row r="211" spans="17:21" x14ac:dyDescent="0.25">
      <c r="Q211" s="267"/>
      <c r="U211" s="267"/>
    </row>
    <row r="212" spans="17:21" x14ac:dyDescent="0.25">
      <c r="Q212" s="267"/>
      <c r="U212" s="267"/>
    </row>
    <row r="213" spans="17:21" x14ac:dyDescent="0.25">
      <c r="Q213" s="267"/>
      <c r="U213" s="267"/>
    </row>
    <row r="214" spans="17:21" x14ac:dyDescent="0.25">
      <c r="Q214" s="267"/>
      <c r="U214" s="267"/>
    </row>
    <row r="215" spans="17:21" x14ac:dyDescent="0.25">
      <c r="Q215" s="267"/>
      <c r="U215" s="267"/>
    </row>
    <row r="216" spans="17:21" x14ac:dyDescent="0.25">
      <c r="Q216" s="267"/>
      <c r="U216" s="267"/>
    </row>
    <row r="217" spans="17:21" x14ac:dyDescent="0.25">
      <c r="Q217" s="267"/>
      <c r="U217" s="267"/>
    </row>
    <row r="218" spans="17:21" x14ac:dyDescent="0.25">
      <c r="Q218" s="267"/>
      <c r="U218" s="267"/>
    </row>
    <row r="219" spans="17:21" x14ac:dyDescent="0.25">
      <c r="Q219" s="267"/>
      <c r="U219" s="267"/>
    </row>
    <row r="220" spans="17:21" x14ac:dyDescent="0.25">
      <c r="Q220" s="267"/>
      <c r="U220" s="267"/>
    </row>
    <row r="221" spans="17:21" x14ac:dyDescent="0.25">
      <c r="Q221" s="267"/>
      <c r="U221" s="267"/>
    </row>
    <row r="222" spans="17:21" x14ac:dyDescent="0.25">
      <c r="Q222" s="267"/>
      <c r="U222" s="267"/>
    </row>
    <row r="223" spans="17:21" x14ac:dyDescent="0.25">
      <c r="Q223" s="267"/>
      <c r="U223" s="267"/>
    </row>
    <row r="224" spans="17:21" x14ac:dyDescent="0.25">
      <c r="Q224" s="267"/>
      <c r="U224" s="267"/>
    </row>
    <row r="225" spans="17:21" x14ac:dyDescent="0.25">
      <c r="Q225" s="267"/>
      <c r="U225" s="267"/>
    </row>
    <row r="226" spans="17:21" x14ac:dyDescent="0.25">
      <c r="Q226" s="267"/>
      <c r="U226" s="267"/>
    </row>
    <row r="227" spans="17:21" x14ac:dyDescent="0.25">
      <c r="Q227" s="267"/>
      <c r="U227" s="267"/>
    </row>
    <row r="228" spans="17:21" x14ac:dyDescent="0.25">
      <c r="Q228" s="267"/>
      <c r="U228" s="267"/>
    </row>
    <row r="229" spans="17:21" x14ac:dyDescent="0.25">
      <c r="Q229" s="267"/>
      <c r="U229" s="267"/>
    </row>
    <row r="230" spans="17:21" x14ac:dyDescent="0.25">
      <c r="Q230" s="267"/>
      <c r="U230" s="267"/>
    </row>
    <row r="231" spans="17:21" x14ac:dyDescent="0.25">
      <c r="Q231" s="267"/>
      <c r="U231" s="267"/>
    </row>
    <row r="232" spans="17:21" x14ac:dyDescent="0.25">
      <c r="Q232" s="267"/>
      <c r="U232" s="267"/>
    </row>
    <row r="233" spans="17:21" x14ac:dyDescent="0.25">
      <c r="Q233" s="267"/>
      <c r="U233" s="267"/>
    </row>
    <row r="234" spans="17:21" x14ac:dyDescent="0.25">
      <c r="Q234" s="267"/>
      <c r="U234" s="267"/>
    </row>
    <row r="235" spans="17:21" x14ac:dyDescent="0.25">
      <c r="Q235" s="267"/>
      <c r="U235" s="267"/>
    </row>
    <row r="236" spans="17:21" x14ac:dyDescent="0.25">
      <c r="Q236" s="267"/>
      <c r="U236" s="267"/>
    </row>
    <row r="237" spans="17:21" x14ac:dyDescent="0.25">
      <c r="Q237" s="267"/>
      <c r="U237" s="267"/>
    </row>
    <row r="238" spans="17:21" x14ac:dyDescent="0.25">
      <c r="Q238" s="267"/>
      <c r="U238" s="267"/>
    </row>
    <row r="239" spans="17:21" x14ac:dyDescent="0.25">
      <c r="Q239" s="267"/>
      <c r="U239" s="267"/>
    </row>
    <row r="240" spans="17:21" x14ac:dyDescent="0.25">
      <c r="Q240" s="267"/>
      <c r="U240" s="267"/>
    </row>
    <row r="241" spans="17:21" x14ac:dyDescent="0.25">
      <c r="Q241" s="267"/>
      <c r="U241" s="267"/>
    </row>
    <row r="242" spans="17:21" x14ac:dyDescent="0.25">
      <c r="Q242" s="267"/>
      <c r="U242" s="267"/>
    </row>
    <row r="243" spans="17:21" x14ac:dyDescent="0.25">
      <c r="U243" s="267"/>
    </row>
    <row r="244" spans="17:21" x14ac:dyDescent="0.25">
      <c r="U244" s="267"/>
    </row>
    <row r="245" spans="17:21" x14ac:dyDescent="0.25">
      <c r="U245" s="267"/>
    </row>
    <row r="246" spans="17:21" x14ac:dyDescent="0.25">
      <c r="U246" s="267"/>
    </row>
    <row r="247" spans="17:21" x14ac:dyDescent="0.25">
      <c r="U247" s="267"/>
    </row>
    <row r="248" spans="17:21" x14ac:dyDescent="0.25">
      <c r="U248" s="267"/>
    </row>
    <row r="249" spans="17:21" x14ac:dyDescent="0.25">
      <c r="U249" s="267"/>
    </row>
    <row r="250" spans="17:21" x14ac:dyDescent="0.25">
      <c r="U250" s="267"/>
    </row>
    <row r="251" spans="17:21" x14ac:dyDescent="0.25">
      <c r="U251" s="267"/>
    </row>
    <row r="252" spans="17:21" x14ac:dyDescent="0.25">
      <c r="U252" s="267"/>
    </row>
    <row r="253" spans="17:21" x14ac:dyDescent="0.25">
      <c r="U253" s="267"/>
    </row>
    <row r="254" spans="17:21" x14ac:dyDescent="0.25">
      <c r="U254" s="267"/>
    </row>
    <row r="255" spans="17:21" x14ac:dyDescent="0.25">
      <c r="U255" s="267"/>
    </row>
    <row r="256" spans="17:21" x14ac:dyDescent="0.25">
      <c r="U256" s="267"/>
    </row>
    <row r="257" spans="21:21" x14ac:dyDescent="0.25">
      <c r="U257" s="267"/>
    </row>
    <row r="258" spans="21:21" x14ac:dyDescent="0.25">
      <c r="U258" s="267"/>
    </row>
    <row r="259" spans="21:21" x14ac:dyDescent="0.25">
      <c r="U259" s="267"/>
    </row>
    <row r="260" spans="21:21" x14ac:dyDescent="0.25">
      <c r="U260" s="267"/>
    </row>
    <row r="261" spans="21:21" x14ac:dyDescent="0.25">
      <c r="U261" s="267"/>
    </row>
    <row r="262" spans="21:21" x14ac:dyDescent="0.25">
      <c r="U262" s="267"/>
    </row>
    <row r="263" spans="21:21" x14ac:dyDescent="0.25">
      <c r="U263" s="267"/>
    </row>
    <row r="264" spans="21:21" x14ac:dyDescent="0.25">
      <c r="U264" s="267"/>
    </row>
    <row r="265" spans="21:21" x14ac:dyDescent="0.25">
      <c r="U265" s="267"/>
    </row>
    <row r="266" spans="21:21" x14ac:dyDescent="0.25">
      <c r="U266" s="267"/>
    </row>
    <row r="267" spans="21:21" x14ac:dyDescent="0.25">
      <c r="U267" s="267"/>
    </row>
    <row r="268" spans="21:21" x14ac:dyDescent="0.25">
      <c r="U268" s="267"/>
    </row>
    <row r="269" spans="21:21" x14ac:dyDescent="0.25">
      <c r="U269" s="267"/>
    </row>
    <row r="270" spans="21:21" x14ac:dyDescent="0.25">
      <c r="U270" s="267"/>
    </row>
    <row r="271" spans="21:21" x14ac:dyDescent="0.25">
      <c r="U271" s="267"/>
    </row>
    <row r="272" spans="21:21" x14ac:dyDescent="0.25">
      <c r="U272" s="267"/>
    </row>
    <row r="273" spans="21:21" x14ac:dyDescent="0.25">
      <c r="U273" s="267"/>
    </row>
    <row r="274" spans="21:21" x14ac:dyDescent="0.25">
      <c r="U274" s="267"/>
    </row>
    <row r="275" spans="21:21" x14ac:dyDescent="0.25">
      <c r="U275" s="267"/>
    </row>
    <row r="276" spans="21:21" x14ac:dyDescent="0.25">
      <c r="U276" s="267"/>
    </row>
    <row r="277" spans="21:21" x14ac:dyDescent="0.25">
      <c r="U277" s="267"/>
    </row>
    <row r="278" spans="21:21" x14ac:dyDescent="0.25">
      <c r="U278" s="267"/>
    </row>
    <row r="279" spans="21:21" x14ac:dyDescent="0.25">
      <c r="U279" s="267"/>
    </row>
    <row r="280" spans="21:21" x14ac:dyDescent="0.25">
      <c r="U280" s="267"/>
    </row>
    <row r="281" spans="21:21" x14ac:dyDescent="0.25">
      <c r="U281" s="267"/>
    </row>
    <row r="282" spans="21:21" x14ac:dyDescent="0.25">
      <c r="U282" s="267"/>
    </row>
    <row r="283" spans="21:21" x14ac:dyDescent="0.25">
      <c r="U283" s="267"/>
    </row>
    <row r="284" spans="21:21" x14ac:dyDescent="0.25">
      <c r="U284" s="267"/>
    </row>
    <row r="285" spans="21:21" x14ac:dyDescent="0.25">
      <c r="U285" s="267"/>
    </row>
    <row r="286" spans="21:21" x14ac:dyDescent="0.25">
      <c r="U286" s="267"/>
    </row>
    <row r="287" spans="21:21" x14ac:dyDescent="0.25">
      <c r="U287" s="267"/>
    </row>
    <row r="288" spans="21:21" x14ac:dyDescent="0.25">
      <c r="U288" s="267"/>
    </row>
    <row r="289" spans="21:21" x14ac:dyDescent="0.25">
      <c r="U289" s="267"/>
    </row>
    <row r="290" spans="21:21" x14ac:dyDescent="0.25">
      <c r="U290" s="267"/>
    </row>
    <row r="291" spans="21:21" x14ac:dyDescent="0.25">
      <c r="U291" s="267"/>
    </row>
    <row r="292" spans="21:21" x14ac:dyDescent="0.25">
      <c r="U292" s="267"/>
    </row>
    <row r="293" spans="21:21" x14ac:dyDescent="0.25">
      <c r="U293" s="267"/>
    </row>
    <row r="294" spans="21:21" x14ac:dyDescent="0.25">
      <c r="U294" s="267"/>
    </row>
    <row r="295" spans="21:21" x14ac:dyDescent="0.25">
      <c r="U295" s="267"/>
    </row>
    <row r="296" spans="21:21" x14ac:dyDescent="0.25">
      <c r="U296" s="267"/>
    </row>
    <row r="297" spans="21:21" x14ac:dyDescent="0.25">
      <c r="U297" s="267"/>
    </row>
    <row r="298" spans="21:21" x14ac:dyDescent="0.25">
      <c r="U298" s="267"/>
    </row>
    <row r="299" spans="21:21" x14ac:dyDescent="0.25">
      <c r="U299" s="267"/>
    </row>
    <row r="300" spans="21:21" x14ac:dyDescent="0.25">
      <c r="U300" s="267"/>
    </row>
    <row r="301" spans="21:21" x14ac:dyDescent="0.25">
      <c r="U301" s="267"/>
    </row>
    <row r="302" spans="21:21" x14ac:dyDescent="0.25">
      <c r="U302" s="267"/>
    </row>
    <row r="303" spans="21:21" x14ac:dyDescent="0.25">
      <c r="U303" s="267"/>
    </row>
    <row r="304" spans="21:21" x14ac:dyDescent="0.25">
      <c r="U304" s="267"/>
    </row>
    <row r="305" spans="21:21" x14ac:dyDescent="0.25">
      <c r="U305" s="267"/>
    </row>
    <row r="306" spans="21:21" x14ac:dyDescent="0.25">
      <c r="U306" s="267"/>
    </row>
    <row r="307" spans="21:21" x14ac:dyDescent="0.25">
      <c r="U307" s="267"/>
    </row>
    <row r="308" spans="21:21" x14ac:dyDescent="0.25">
      <c r="U308" s="267"/>
    </row>
    <row r="309" spans="21:21" x14ac:dyDescent="0.25">
      <c r="U309" s="267"/>
    </row>
  </sheetData>
  <mergeCells count="12">
    <mergeCell ref="A1:C1"/>
    <mergeCell ref="E1:K1"/>
    <mergeCell ref="D23:D30"/>
    <mergeCell ref="C31:C42"/>
    <mergeCell ref="D31:D34"/>
    <mergeCell ref="D35:D42"/>
    <mergeCell ref="C15:H15"/>
    <mergeCell ref="C16:D18"/>
    <mergeCell ref="F16:H16"/>
    <mergeCell ref="F17:H17"/>
    <mergeCell ref="C19:C30"/>
    <mergeCell ref="D19:D22"/>
  </mergeCells>
  <hyperlinks>
    <hyperlink ref="L1" r:id="rId1" xr:uid="{894AF02E-6EA5-4844-9DBA-3EAF4D65834D}"/>
    <hyperlink ref="E2" r:id="rId2" xr:uid="{D3EA5AA1-26C7-42F5-82B1-BBDFFBEACB8F}"/>
  </hyperlinks>
  <pageMargins left="0.7" right="0.7" top="0.75" bottom="0.75" header="0.3" footer="0.3"/>
  <pageSetup paperSize="9"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14C5E-ADD1-4701-9A56-44346F631103}">
  <sheetPr>
    <tabColor theme="9" tint="0.59999389629810485"/>
  </sheetPr>
  <dimension ref="A1:N52"/>
  <sheetViews>
    <sheetView zoomScale="80" zoomScaleNormal="80" workbookViewId="0">
      <selection activeCell="A2" sqref="A2"/>
    </sheetView>
  </sheetViews>
  <sheetFormatPr defaultRowHeight="15" x14ac:dyDescent="0.25"/>
  <cols>
    <col min="1" max="1" width="13.28515625" customWidth="1"/>
    <col min="2" max="2" width="16.85546875" customWidth="1"/>
    <col min="3" max="3" width="17.85546875" customWidth="1"/>
    <col min="4" max="4" width="26.42578125" customWidth="1"/>
    <col min="5" max="5" width="13.7109375" customWidth="1"/>
    <col min="6" max="6" width="19.42578125" customWidth="1"/>
    <col min="7" max="7" width="13.140625" customWidth="1"/>
    <col min="8" max="8" width="13.85546875" customWidth="1"/>
    <col min="9" max="9" width="10.28515625" customWidth="1"/>
    <col min="10" max="10" width="13.85546875" customWidth="1"/>
    <col min="11" max="11" width="34.28515625" customWidth="1"/>
    <col min="12" max="12" width="42.5703125" customWidth="1"/>
    <col min="13" max="16" width="9.140625" bestFit="1" customWidth="1"/>
    <col min="17" max="17" width="12.140625" customWidth="1"/>
    <col min="18" max="19" width="9.140625" bestFit="1" customWidth="1"/>
    <col min="20" max="21" width="8.7109375" customWidth="1"/>
  </cols>
  <sheetData>
    <row r="1" spans="1:11" ht="141.4" customHeight="1" x14ac:dyDescent="0.25">
      <c r="A1" s="500" t="s">
        <v>258</v>
      </c>
      <c r="B1" s="500"/>
      <c r="C1" s="500"/>
      <c r="D1" s="74" t="s">
        <v>256</v>
      </c>
      <c r="E1" s="497" t="s">
        <v>750</v>
      </c>
      <c r="F1" s="497"/>
      <c r="G1" s="497"/>
      <c r="H1" s="497"/>
      <c r="I1" s="497"/>
      <c r="J1" s="497"/>
      <c r="K1" s="497"/>
    </row>
    <row r="2" spans="1:11" x14ac:dyDescent="0.25">
      <c r="B2" s="310" t="s">
        <v>751</v>
      </c>
      <c r="C2" s="310"/>
    </row>
    <row r="5" spans="1:11" x14ac:dyDescent="0.25">
      <c r="B5" s="2" t="s">
        <v>752</v>
      </c>
    </row>
    <row r="6" spans="1:11" x14ac:dyDescent="0.25">
      <c r="B6" t="s">
        <v>753</v>
      </c>
    </row>
    <row r="7" spans="1:11" x14ac:dyDescent="0.25">
      <c r="B7" t="s">
        <v>754</v>
      </c>
    </row>
    <row r="8" spans="1:11" x14ac:dyDescent="0.25">
      <c r="B8" t="s">
        <v>755</v>
      </c>
    </row>
    <row r="10" spans="1:11" x14ac:dyDescent="0.25">
      <c r="B10" t="s">
        <v>756</v>
      </c>
      <c r="E10" s="1" t="s">
        <v>757</v>
      </c>
      <c r="F10" s="1" t="s">
        <v>758</v>
      </c>
      <c r="G10" s="1" t="s">
        <v>759</v>
      </c>
    </row>
    <row r="11" spans="1:11" x14ac:dyDescent="0.25">
      <c r="B11" t="s">
        <v>760</v>
      </c>
      <c r="C11">
        <v>14138</v>
      </c>
      <c r="D11" t="s">
        <v>761</v>
      </c>
      <c r="E11">
        <v>12440</v>
      </c>
      <c r="F11">
        <v>1561</v>
      </c>
      <c r="G11">
        <v>137</v>
      </c>
    </row>
    <row r="12" spans="1:11" x14ac:dyDescent="0.25">
      <c r="B12" t="s">
        <v>762</v>
      </c>
      <c r="C12">
        <v>17000</v>
      </c>
      <c r="D12" t="s">
        <v>763</v>
      </c>
    </row>
    <row r="15" spans="1:11" x14ac:dyDescent="0.25">
      <c r="B15" s="2" t="s">
        <v>764</v>
      </c>
    </row>
    <row r="16" spans="1:11" ht="90" customHeight="1" x14ac:dyDescent="0.25">
      <c r="B16" s="2"/>
      <c r="C16" s="8" t="s">
        <v>765</v>
      </c>
      <c r="D16" s="8" t="s">
        <v>766</v>
      </c>
      <c r="E16" t="s">
        <v>767</v>
      </c>
    </row>
    <row r="17" spans="1:14" x14ac:dyDescent="0.25">
      <c r="A17" s="495" t="s">
        <v>768</v>
      </c>
      <c r="B17" t="s">
        <v>757</v>
      </c>
      <c r="C17" s="89">
        <v>4.5999999999999999E-3</v>
      </c>
      <c r="D17" s="267">
        <f>$E$11/(308+47)</f>
        <v>35.04225352112676</v>
      </c>
      <c r="E17" s="312">
        <f t="shared" ref="E17:E22" si="0">C17/D17</f>
        <v>1.312700964630225E-4</v>
      </c>
      <c r="F17" s="89"/>
    </row>
    <row r="18" spans="1:14" x14ac:dyDescent="0.25">
      <c r="A18" s="495"/>
      <c r="B18" t="s">
        <v>758</v>
      </c>
      <c r="C18" s="89">
        <v>1.9300000000000001E-2</v>
      </c>
      <c r="D18" s="267">
        <f>$F$11/(44+4)</f>
        <v>32.520833333333336</v>
      </c>
      <c r="E18" s="312">
        <f t="shared" si="0"/>
        <v>5.9346572709801412E-4</v>
      </c>
      <c r="F18" s="89"/>
    </row>
    <row r="19" spans="1:14" x14ac:dyDescent="0.25">
      <c r="A19" s="495" t="s">
        <v>769</v>
      </c>
      <c r="B19" t="s">
        <v>757</v>
      </c>
      <c r="C19" s="89">
        <v>5.8200000000000005E-4</v>
      </c>
      <c r="D19" s="267">
        <f>$E$11/(308+47)</f>
        <v>35.04225352112676</v>
      </c>
      <c r="E19" s="312">
        <f t="shared" si="0"/>
        <v>1.6608520900321545E-5</v>
      </c>
    </row>
    <row r="20" spans="1:14" x14ac:dyDescent="0.25">
      <c r="A20" s="495"/>
      <c r="B20" t="s">
        <v>758</v>
      </c>
      <c r="C20" s="89">
        <v>2.8600000000000001E-4</v>
      </c>
      <c r="D20" s="267">
        <f>$F$11/(44+4)</f>
        <v>32.520833333333336</v>
      </c>
      <c r="E20" s="89">
        <f t="shared" si="0"/>
        <v>8.7943625880845613E-6</v>
      </c>
      <c r="F20" s="353" t="s">
        <v>770</v>
      </c>
      <c r="G20" s="353"/>
      <c r="H20" s="353"/>
      <c r="I20" s="353"/>
    </row>
    <row r="21" spans="1:14" x14ac:dyDescent="0.25">
      <c r="A21" s="495" t="s">
        <v>771</v>
      </c>
      <c r="B21" t="s">
        <v>757</v>
      </c>
      <c r="C21" s="89">
        <v>8.3800000000000004E-5</v>
      </c>
      <c r="D21" s="267">
        <f>$E$11/(308+47)</f>
        <v>35.04225352112676</v>
      </c>
      <c r="E21" s="312">
        <f t="shared" si="0"/>
        <v>2.3913987138263666E-6</v>
      </c>
    </row>
    <row r="22" spans="1:14" x14ac:dyDescent="0.25">
      <c r="A22" s="495"/>
      <c r="B22" t="s">
        <v>758</v>
      </c>
      <c r="C22" s="89">
        <v>2.8600000000000001E-4</v>
      </c>
      <c r="D22" s="267">
        <f>$F$11/(44+4)</f>
        <v>32.520833333333336</v>
      </c>
      <c r="E22" s="89">
        <f t="shared" si="0"/>
        <v>8.7943625880845613E-6</v>
      </c>
      <c r="F22" s="353" t="s">
        <v>770</v>
      </c>
      <c r="G22" s="353"/>
      <c r="H22" s="353"/>
      <c r="I22" s="353"/>
    </row>
    <row r="24" spans="1:14" ht="15.75" thickBot="1" x14ac:dyDescent="0.3"/>
    <row r="25" spans="1:14" x14ac:dyDescent="0.25">
      <c r="C25" s="489" t="s">
        <v>606</v>
      </c>
      <c r="D25" s="490"/>
      <c r="E25" s="490"/>
      <c r="F25" s="490"/>
      <c r="G25" s="490"/>
      <c r="H25" s="491"/>
    </row>
    <row r="26" spans="1:14" ht="30" x14ac:dyDescent="0.25">
      <c r="C26" s="492" t="s">
        <v>319</v>
      </c>
      <c r="D26" s="478"/>
      <c r="E26" s="34" t="s">
        <v>607</v>
      </c>
      <c r="F26" s="423" t="s">
        <v>258</v>
      </c>
      <c r="G26" s="457"/>
      <c r="H26" s="458"/>
    </row>
    <row r="27" spans="1:14" x14ac:dyDescent="0.25">
      <c r="C27" s="492"/>
      <c r="D27" s="478"/>
      <c r="E27" s="34" t="s">
        <v>19</v>
      </c>
      <c r="F27" s="462" t="s">
        <v>256</v>
      </c>
      <c r="G27" s="462"/>
      <c r="H27" s="463"/>
    </row>
    <row r="28" spans="1:14" ht="105" x14ac:dyDescent="0.25">
      <c r="C28" s="492"/>
      <c r="D28" s="478"/>
      <c r="E28" s="34" t="s">
        <v>364</v>
      </c>
      <c r="F28" s="34" t="s">
        <v>365</v>
      </c>
      <c r="G28" s="34" t="s">
        <v>366</v>
      </c>
      <c r="H28" s="61" t="s">
        <v>367</v>
      </c>
      <c r="N28" t="s">
        <v>435</v>
      </c>
    </row>
    <row r="29" spans="1:14" ht="30" x14ac:dyDescent="0.25">
      <c r="C29" s="420" t="s">
        <v>368</v>
      </c>
      <c r="D29" s="478" t="s">
        <v>369</v>
      </c>
      <c r="E29" s="129" t="s">
        <v>370</v>
      </c>
      <c r="F29" s="94"/>
      <c r="G29" s="57"/>
      <c r="H29" s="62"/>
      <c r="I29" s="498"/>
      <c r="J29" s="499"/>
      <c r="K29" s="499"/>
      <c r="L29" s="499"/>
    </row>
    <row r="30" spans="1:14" ht="45" x14ac:dyDescent="0.25">
      <c r="C30" s="420"/>
      <c r="D30" s="478"/>
      <c r="E30" s="132" t="s">
        <v>380</v>
      </c>
      <c r="F30" s="241" t="s">
        <v>387</v>
      </c>
      <c r="G30" s="116"/>
      <c r="H30" s="61"/>
    </row>
    <row r="31" spans="1:14" ht="60" x14ac:dyDescent="0.25">
      <c r="C31" s="420"/>
      <c r="D31" s="478"/>
      <c r="E31" s="132" t="s">
        <v>394</v>
      </c>
      <c r="F31" s="269" t="s">
        <v>398</v>
      </c>
      <c r="G31" s="116"/>
      <c r="H31" s="61"/>
    </row>
    <row r="32" spans="1:14" ht="45" x14ac:dyDescent="0.25">
      <c r="C32" s="420"/>
      <c r="D32" s="478"/>
      <c r="E32" s="129" t="s">
        <v>405</v>
      </c>
      <c r="F32" s="270" t="s">
        <v>409</v>
      </c>
      <c r="G32" s="57"/>
      <c r="H32" s="62"/>
      <c r="I32" s="498"/>
      <c r="J32" s="414"/>
      <c r="K32" s="414"/>
      <c r="L32" s="414"/>
    </row>
    <row r="33" spans="3:10" ht="30" x14ac:dyDescent="0.25">
      <c r="C33" s="420"/>
      <c r="D33" s="462" t="s">
        <v>421</v>
      </c>
      <c r="E33" s="132" t="s">
        <v>422</v>
      </c>
      <c r="F33" s="76"/>
      <c r="G33" s="34"/>
      <c r="H33" s="61"/>
    </row>
    <row r="34" spans="3:10" ht="45" x14ac:dyDescent="0.25">
      <c r="C34" s="420"/>
      <c r="D34" s="462"/>
      <c r="E34" s="132" t="s">
        <v>428</v>
      </c>
      <c r="F34" s="76"/>
      <c r="G34" s="46"/>
      <c r="H34" s="61"/>
      <c r="J34" t="s">
        <v>435</v>
      </c>
    </row>
    <row r="35" spans="3:10" ht="60" x14ac:dyDescent="0.25">
      <c r="C35" s="420"/>
      <c r="D35" s="462"/>
      <c r="E35" s="132" t="s">
        <v>429</v>
      </c>
      <c r="F35" s="76"/>
      <c r="G35" s="34"/>
      <c r="H35" s="63"/>
    </row>
    <row r="36" spans="3:10" ht="60" x14ac:dyDescent="0.25">
      <c r="C36" s="420"/>
      <c r="D36" s="462"/>
      <c r="E36" s="132" t="s">
        <v>430</v>
      </c>
      <c r="F36" s="76"/>
      <c r="G36" s="34"/>
      <c r="H36" s="61"/>
    </row>
    <row r="37" spans="3:10" ht="45" x14ac:dyDescent="0.25">
      <c r="C37" s="420"/>
      <c r="D37" s="462"/>
      <c r="E37" s="132" t="s">
        <v>432</v>
      </c>
      <c r="F37" s="59"/>
      <c r="G37" s="34"/>
      <c r="H37" s="61"/>
    </row>
    <row r="38" spans="3:10" ht="45" x14ac:dyDescent="0.25">
      <c r="C38" s="420"/>
      <c r="D38" s="462"/>
      <c r="E38" s="132" t="s">
        <v>434</v>
      </c>
      <c r="F38" s="59"/>
      <c r="G38" s="54"/>
      <c r="H38" s="61"/>
    </row>
    <row r="39" spans="3:10" ht="60" x14ac:dyDescent="0.25">
      <c r="C39" s="420"/>
      <c r="D39" s="462"/>
      <c r="E39" s="132" t="s">
        <v>436</v>
      </c>
      <c r="F39" s="34"/>
      <c r="G39" s="54"/>
      <c r="H39" s="61"/>
    </row>
    <row r="40" spans="3:10" ht="60" x14ac:dyDescent="0.25">
      <c r="C40" s="420"/>
      <c r="D40" s="462"/>
      <c r="E40" s="132" t="s">
        <v>437</v>
      </c>
      <c r="F40" s="59"/>
      <c r="G40" s="34"/>
      <c r="H40" s="61"/>
    </row>
    <row r="41" spans="3:10" ht="30" x14ac:dyDescent="0.25">
      <c r="C41" s="420" t="s">
        <v>438</v>
      </c>
      <c r="D41" s="478" t="s">
        <v>369</v>
      </c>
      <c r="E41" s="129" t="s">
        <v>370</v>
      </c>
      <c r="F41" s="60"/>
      <c r="G41" s="57"/>
      <c r="H41" s="62"/>
    </row>
    <row r="42" spans="3:10" ht="45" x14ac:dyDescent="0.25">
      <c r="C42" s="420"/>
      <c r="D42" s="478"/>
      <c r="E42" s="132" t="s">
        <v>380</v>
      </c>
      <c r="F42" s="59"/>
      <c r="G42" s="34"/>
      <c r="H42" s="61"/>
    </row>
    <row r="43" spans="3:10" ht="60" x14ac:dyDescent="0.25">
      <c r="C43" s="420"/>
      <c r="D43" s="478"/>
      <c r="E43" s="132" t="s">
        <v>394</v>
      </c>
      <c r="F43" s="34"/>
      <c r="G43" s="34"/>
      <c r="H43" s="61"/>
    </row>
    <row r="44" spans="3:10" ht="45" x14ac:dyDescent="0.25">
      <c r="C44" s="420"/>
      <c r="D44" s="478"/>
      <c r="E44" s="129" t="s">
        <v>405</v>
      </c>
      <c r="F44" s="35"/>
      <c r="G44" s="57"/>
      <c r="H44" s="62"/>
    </row>
    <row r="45" spans="3:10" ht="45" x14ac:dyDescent="0.25">
      <c r="C45" s="420"/>
      <c r="D45" s="462" t="s">
        <v>421</v>
      </c>
      <c r="E45" s="132" t="s">
        <v>453</v>
      </c>
      <c r="F45" s="38"/>
      <c r="G45" s="38"/>
      <c r="H45" s="63"/>
    </row>
    <row r="46" spans="3:10" ht="45" x14ac:dyDescent="0.25">
      <c r="C46" s="420"/>
      <c r="D46" s="462"/>
      <c r="E46" s="132" t="s">
        <v>428</v>
      </c>
      <c r="F46" s="38"/>
      <c r="G46" s="38"/>
      <c r="H46" s="63"/>
    </row>
    <row r="47" spans="3:10" ht="60" x14ac:dyDescent="0.25">
      <c r="C47" s="420"/>
      <c r="D47" s="462"/>
      <c r="E47" s="132" t="s">
        <v>429</v>
      </c>
      <c r="F47" s="38"/>
      <c r="G47" s="38"/>
      <c r="H47" s="63"/>
    </row>
    <row r="48" spans="3:10" ht="60" x14ac:dyDescent="0.25">
      <c r="C48" s="420"/>
      <c r="D48" s="462"/>
      <c r="E48" s="132" t="s">
        <v>430</v>
      </c>
      <c r="F48" s="38"/>
      <c r="G48" s="38"/>
      <c r="H48" s="63"/>
    </row>
    <row r="49" spans="3:8" ht="45" x14ac:dyDescent="0.25">
      <c r="C49" s="420"/>
      <c r="D49" s="462"/>
      <c r="E49" s="132" t="s">
        <v>432</v>
      </c>
      <c r="F49" s="59"/>
      <c r="G49" s="54"/>
      <c r="H49" s="61"/>
    </row>
    <row r="50" spans="3:8" ht="45" x14ac:dyDescent="0.25">
      <c r="C50" s="420"/>
      <c r="D50" s="462"/>
      <c r="E50" s="132" t="s">
        <v>434</v>
      </c>
      <c r="F50" s="59"/>
      <c r="G50" s="34"/>
      <c r="H50" s="61"/>
    </row>
    <row r="51" spans="3:8" ht="60" x14ac:dyDescent="0.25">
      <c r="C51" s="420"/>
      <c r="D51" s="462"/>
      <c r="E51" s="132" t="s">
        <v>436</v>
      </c>
      <c r="F51" s="34"/>
      <c r="G51" s="34"/>
      <c r="H51" s="61"/>
    </row>
    <row r="52" spans="3:8" ht="60.75" thickBot="1" x14ac:dyDescent="0.3">
      <c r="C52" s="427"/>
      <c r="D52" s="428"/>
      <c r="E52" s="194" t="s">
        <v>437</v>
      </c>
      <c r="F52" s="268"/>
      <c r="G52" s="65"/>
      <c r="H52" s="66"/>
    </row>
  </sheetData>
  <mergeCells count="17">
    <mergeCell ref="I29:L29"/>
    <mergeCell ref="I32:L32"/>
    <mergeCell ref="D33:D40"/>
    <mergeCell ref="A17:A18"/>
    <mergeCell ref="A1:C1"/>
    <mergeCell ref="E1:K1"/>
    <mergeCell ref="C25:H25"/>
    <mergeCell ref="C26:D28"/>
    <mergeCell ref="F26:H26"/>
    <mergeCell ref="F27:H27"/>
    <mergeCell ref="A19:A20"/>
    <mergeCell ref="A21:A22"/>
    <mergeCell ref="C41:C52"/>
    <mergeCell ref="D41:D44"/>
    <mergeCell ref="D45:D52"/>
    <mergeCell ref="C29:C40"/>
    <mergeCell ref="D29:D3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046AE-6DAD-49A9-87E3-10B65FC86C16}">
  <sheetPr>
    <tabColor theme="9" tint="0.59999389629810485"/>
  </sheetPr>
  <dimension ref="A1:N32"/>
  <sheetViews>
    <sheetView zoomScale="60" zoomScaleNormal="60" workbookViewId="0">
      <selection activeCell="A2" sqref="A2"/>
    </sheetView>
  </sheetViews>
  <sheetFormatPr defaultRowHeight="15" x14ac:dyDescent="0.25"/>
  <cols>
    <col min="1" max="1" width="13.28515625" customWidth="1"/>
    <col min="2" max="2" width="11.7109375" customWidth="1"/>
    <col min="3" max="4" width="17.85546875" customWidth="1"/>
    <col min="5" max="6" width="13.7109375" customWidth="1"/>
    <col min="7" max="7" width="13.140625" customWidth="1"/>
    <col min="8" max="8" width="13.85546875" customWidth="1"/>
    <col min="9" max="9" width="10.28515625" customWidth="1"/>
    <col min="10" max="10" width="13.85546875" customWidth="1"/>
    <col min="11" max="11" width="15.7109375" customWidth="1"/>
    <col min="12" max="12" width="34.85546875" customWidth="1"/>
    <col min="17" max="17" width="12.140625" customWidth="1"/>
    <col min="20" max="21" width="8.7109375" customWidth="1"/>
  </cols>
  <sheetData>
    <row r="1" spans="1:14" ht="141.4" customHeight="1" x14ac:dyDescent="0.25">
      <c r="A1" s="501" t="s">
        <v>772</v>
      </c>
      <c r="B1" s="501"/>
      <c r="C1" s="501"/>
      <c r="D1" s="502" t="s">
        <v>345</v>
      </c>
      <c r="E1" s="503"/>
      <c r="F1" s="503"/>
      <c r="G1" s="503"/>
      <c r="H1" s="503"/>
      <c r="I1" s="503"/>
      <c r="J1" s="503"/>
      <c r="K1" s="504"/>
    </row>
    <row r="3" spans="1:14" ht="20.25" customHeight="1" x14ac:dyDescent="0.25"/>
    <row r="4" spans="1:14" ht="15.75" thickBot="1" x14ac:dyDescent="0.3"/>
    <row r="5" spans="1:14" x14ac:dyDescent="0.25">
      <c r="C5" s="489" t="s">
        <v>606</v>
      </c>
      <c r="D5" s="490"/>
      <c r="E5" s="490"/>
      <c r="F5" s="490"/>
      <c r="G5" s="490"/>
      <c r="H5" s="491"/>
    </row>
    <row r="6" spans="1:14" ht="30" x14ac:dyDescent="0.25">
      <c r="C6" s="492" t="s">
        <v>319</v>
      </c>
      <c r="D6" s="478"/>
      <c r="E6" s="34" t="s">
        <v>607</v>
      </c>
      <c r="F6" s="423" t="s">
        <v>326</v>
      </c>
      <c r="G6" s="457"/>
      <c r="H6" s="458"/>
    </row>
    <row r="7" spans="1:14" x14ac:dyDescent="0.25">
      <c r="C7" s="492"/>
      <c r="D7" s="478"/>
      <c r="E7" s="34" t="s">
        <v>19</v>
      </c>
      <c r="F7" s="462" t="s">
        <v>345</v>
      </c>
      <c r="G7" s="462"/>
      <c r="H7" s="463"/>
    </row>
    <row r="8" spans="1:14" ht="105" x14ac:dyDescent="0.25">
      <c r="C8" s="492"/>
      <c r="D8" s="478"/>
      <c r="E8" s="34" t="s">
        <v>364</v>
      </c>
      <c r="F8" s="34" t="s">
        <v>365</v>
      </c>
      <c r="G8" s="34" t="s">
        <v>366</v>
      </c>
      <c r="H8" s="61" t="s">
        <v>367</v>
      </c>
      <c r="N8" t="s">
        <v>435</v>
      </c>
    </row>
    <row r="9" spans="1:14" ht="30" x14ac:dyDescent="0.25">
      <c r="C9" s="420" t="s">
        <v>368</v>
      </c>
      <c r="D9" s="478" t="s">
        <v>369</v>
      </c>
      <c r="E9" s="129" t="s">
        <v>370</v>
      </c>
      <c r="F9" s="94"/>
      <c r="G9" s="57"/>
      <c r="H9" s="62"/>
    </row>
    <row r="10" spans="1:14" ht="45" x14ac:dyDescent="0.25">
      <c r="C10" s="420"/>
      <c r="D10" s="478"/>
      <c r="E10" s="132" t="s">
        <v>380</v>
      </c>
      <c r="F10" s="29"/>
      <c r="G10" s="116"/>
      <c r="H10" s="61"/>
    </row>
    <row r="11" spans="1:14" ht="60" x14ac:dyDescent="0.25">
      <c r="C11" s="420"/>
      <c r="D11" s="478"/>
      <c r="E11" s="132" t="s">
        <v>394</v>
      </c>
      <c r="F11" s="118"/>
      <c r="G11" s="116"/>
      <c r="H11" s="61"/>
    </row>
    <row r="12" spans="1:14" ht="45" x14ac:dyDescent="0.25">
      <c r="C12" s="420"/>
      <c r="D12" s="478"/>
      <c r="E12" s="129" t="s">
        <v>405</v>
      </c>
      <c r="F12" s="117" t="s">
        <v>410</v>
      </c>
      <c r="G12" s="57" t="s">
        <v>411</v>
      </c>
      <c r="H12" s="62" t="s">
        <v>412</v>
      </c>
    </row>
    <row r="13" spans="1:14" ht="30" x14ac:dyDescent="0.25">
      <c r="C13" s="420"/>
      <c r="D13" s="462" t="s">
        <v>421</v>
      </c>
      <c r="E13" s="132" t="s">
        <v>422</v>
      </c>
      <c r="F13" s="76"/>
      <c r="G13" s="34"/>
      <c r="H13" s="61"/>
    </row>
    <row r="14" spans="1:14" ht="45" x14ac:dyDescent="0.25">
      <c r="C14" s="420"/>
      <c r="D14" s="462"/>
      <c r="E14" s="132" t="s">
        <v>428</v>
      </c>
      <c r="F14" s="76"/>
      <c r="G14" s="46"/>
      <c r="H14" s="61"/>
      <c r="J14" t="s">
        <v>435</v>
      </c>
    </row>
    <row r="15" spans="1:14" ht="60" x14ac:dyDescent="0.25">
      <c r="C15" s="420"/>
      <c r="D15" s="462"/>
      <c r="E15" s="132" t="s">
        <v>429</v>
      </c>
      <c r="F15" s="76"/>
      <c r="G15" s="34"/>
      <c r="H15" s="63"/>
    </row>
    <row r="16" spans="1:14" ht="60" x14ac:dyDescent="0.25">
      <c r="C16" s="420"/>
      <c r="D16" s="462"/>
      <c r="E16" s="132" t="s">
        <v>430</v>
      </c>
      <c r="F16" s="76"/>
      <c r="G16" s="34"/>
      <c r="H16" s="61"/>
    </row>
    <row r="17" spans="3:8" ht="45" x14ac:dyDescent="0.25">
      <c r="C17" s="420"/>
      <c r="D17" s="462"/>
      <c r="E17" s="132" t="s">
        <v>432</v>
      </c>
      <c r="F17" s="59"/>
      <c r="G17" s="34"/>
      <c r="H17" s="61"/>
    </row>
    <row r="18" spans="3:8" ht="45" x14ac:dyDescent="0.25">
      <c r="C18" s="420"/>
      <c r="D18" s="462"/>
      <c r="E18" s="132" t="s">
        <v>434</v>
      </c>
      <c r="F18" s="59"/>
      <c r="G18" s="54"/>
      <c r="H18" s="61"/>
    </row>
    <row r="19" spans="3:8" ht="60" x14ac:dyDescent="0.25">
      <c r="C19" s="420"/>
      <c r="D19" s="462"/>
      <c r="E19" s="132" t="s">
        <v>436</v>
      </c>
      <c r="F19" s="34"/>
      <c r="G19" s="54"/>
      <c r="H19" s="61"/>
    </row>
    <row r="20" spans="3:8" ht="60" x14ac:dyDescent="0.25">
      <c r="C20" s="420"/>
      <c r="D20" s="462"/>
      <c r="E20" s="132" t="s">
        <v>437</v>
      </c>
      <c r="F20" s="59"/>
      <c r="G20" s="34"/>
      <c r="H20" s="61"/>
    </row>
    <row r="21" spans="3:8" ht="30" x14ac:dyDescent="0.25">
      <c r="C21" s="420" t="s">
        <v>438</v>
      </c>
      <c r="D21" s="478" t="s">
        <v>369</v>
      </c>
      <c r="E21" s="129" t="s">
        <v>370</v>
      </c>
      <c r="F21" s="60"/>
      <c r="G21" s="57"/>
      <c r="H21" s="62"/>
    </row>
    <row r="22" spans="3:8" ht="45" x14ac:dyDescent="0.25">
      <c r="C22" s="420"/>
      <c r="D22" s="478"/>
      <c r="E22" s="132" t="s">
        <v>380</v>
      </c>
      <c r="F22" s="59"/>
      <c r="G22" s="34"/>
      <c r="H22" s="61"/>
    </row>
    <row r="23" spans="3:8" ht="60" x14ac:dyDescent="0.25">
      <c r="C23" s="420"/>
      <c r="D23" s="478"/>
      <c r="E23" s="132" t="s">
        <v>394</v>
      </c>
      <c r="F23" s="34"/>
      <c r="G23" s="34"/>
      <c r="H23" s="61"/>
    </row>
    <row r="24" spans="3:8" ht="45" x14ac:dyDescent="0.25">
      <c r="C24" s="420"/>
      <c r="D24" s="478"/>
      <c r="E24" s="129" t="s">
        <v>405</v>
      </c>
      <c r="F24" s="35"/>
      <c r="G24" s="57"/>
      <c r="H24" s="62"/>
    </row>
    <row r="25" spans="3:8" ht="45" x14ac:dyDescent="0.25">
      <c r="C25" s="420"/>
      <c r="D25" s="462" t="s">
        <v>421</v>
      </c>
      <c r="E25" s="132" t="s">
        <v>453</v>
      </c>
      <c r="F25" s="38"/>
      <c r="G25" s="38"/>
      <c r="H25" s="63"/>
    </row>
    <row r="26" spans="3:8" ht="45" x14ac:dyDescent="0.25">
      <c r="C26" s="420"/>
      <c r="D26" s="462"/>
      <c r="E26" s="132" t="s">
        <v>428</v>
      </c>
      <c r="F26" s="38"/>
      <c r="G26" s="38"/>
      <c r="H26" s="63"/>
    </row>
    <row r="27" spans="3:8" ht="60" x14ac:dyDescent="0.25">
      <c r="C27" s="420"/>
      <c r="D27" s="462"/>
      <c r="E27" s="132" t="s">
        <v>429</v>
      </c>
      <c r="F27" s="38"/>
      <c r="G27" s="38"/>
      <c r="H27" s="63"/>
    </row>
    <row r="28" spans="3:8" ht="60" x14ac:dyDescent="0.25">
      <c r="C28" s="420"/>
      <c r="D28" s="462"/>
      <c r="E28" s="132" t="s">
        <v>430</v>
      </c>
      <c r="F28" s="38"/>
      <c r="G28" s="38"/>
      <c r="H28" s="63"/>
    </row>
    <row r="29" spans="3:8" ht="45" x14ac:dyDescent="0.25">
      <c r="C29" s="420"/>
      <c r="D29" s="462"/>
      <c r="E29" s="132" t="s">
        <v>432</v>
      </c>
      <c r="F29" s="59"/>
      <c r="G29" s="54"/>
      <c r="H29" s="61"/>
    </row>
    <row r="30" spans="3:8" ht="45" x14ac:dyDescent="0.25">
      <c r="C30" s="420"/>
      <c r="D30" s="462"/>
      <c r="E30" s="132" t="s">
        <v>434</v>
      </c>
      <c r="F30" s="59"/>
      <c r="G30" s="34"/>
      <c r="H30" s="61"/>
    </row>
    <row r="31" spans="3:8" ht="60" x14ac:dyDescent="0.25">
      <c r="C31" s="420"/>
      <c r="D31" s="462"/>
      <c r="E31" s="132" t="s">
        <v>436</v>
      </c>
      <c r="F31" s="34"/>
      <c r="G31" s="34"/>
      <c r="H31" s="61"/>
    </row>
    <row r="32" spans="3:8" ht="60.75" thickBot="1" x14ac:dyDescent="0.3">
      <c r="C32" s="427"/>
      <c r="D32" s="493"/>
      <c r="E32" s="194" t="s">
        <v>437</v>
      </c>
      <c r="F32" s="64"/>
      <c r="G32" s="65"/>
      <c r="H32" s="66"/>
    </row>
  </sheetData>
  <mergeCells count="12">
    <mergeCell ref="C21:C32"/>
    <mergeCell ref="D21:D24"/>
    <mergeCell ref="D25:D32"/>
    <mergeCell ref="A1:C1"/>
    <mergeCell ref="C5:H5"/>
    <mergeCell ref="C6:D8"/>
    <mergeCell ref="F6:H6"/>
    <mergeCell ref="F7:H7"/>
    <mergeCell ref="C9:C20"/>
    <mergeCell ref="D9:D12"/>
    <mergeCell ref="D13:D20"/>
    <mergeCell ref="D1:K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C22F5-C1C1-4D70-B09A-CC777227434F}">
  <sheetPr>
    <tabColor theme="9" tint="0.59999389629810485"/>
  </sheetPr>
  <dimension ref="A1:T50"/>
  <sheetViews>
    <sheetView zoomScale="80" zoomScaleNormal="80" workbookViewId="0"/>
  </sheetViews>
  <sheetFormatPr defaultRowHeight="15" x14ac:dyDescent="0.25"/>
  <cols>
    <col min="3" max="3" width="31.140625" customWidth="1"/>
    <col min="4" max="4" width="20.7109375" customWidth="1"/>
    <col min="5" max="5" width="10.85546875" customWidth="1"/>
    <col min="6" max="6" width="11.42578125" customWidth="1"/>
    <col min="7" max="7" width="17" customWidth="1"/>
    <col min="8" max="9" width="18.42578125" customWidth="1"/>
    <col min="10" max="10" width="20.7109375" customWidth="1"/>
    <col min="11" max="11" width="16.28515625" customWidth="1"/>
    <col min="14" max="14" width="15.28515625" customWidth="1"/>
    <col min="15" max="15" width="9.140625" customWidth="1"/>
    <col min="18" max="18" width="33.85546875" customWidth="1"/>
  </cols>
  <sheetData>
    <row r="1" spans="1:20" x14ac:dyDescent="0.25">
      <c r="I1" s="358" t="s">
        <v>653</v>
      </c>
      <c r="J1" s="358"/>
      <c r="K1" s="358"/>
    </row>
    <row r="2" spans="1:20" x14ac:dyDescent="0.25">
      <c r="A2" s="303" t="s">
        <v>205</v>
      </c>
    </row>
    <row r="3" spans="1:20" x14ac:dyDescent="0.25">
      <c r="A3" s="2" t="s">
        <v>487</v>
      </c>
    </row>
    <row r="4" spans="1:20" x14ac:dyDescent="0.25">
      <c r="A4" s="2" t="s">
        <v>204</v>
      </c>
    </row>
    <row r="5" spans="1:20" ht="84.75" customHeight="1" x14ac:dyDescent="0.25">
      <c r="A5" s="505" t="s">
        <v>773</v>
      </c>
      <c r="B5" s="505"/>
      <c r="C5" s="505"/>
      <c r="D5" s="505"/>
      <c r="E5" s="505"/>
      <c r="F5" s="505"/>
      <c r="G5" s="78"/>
      <c r="H5" s="78"/>
      <c r="I5" s="78"/>
      <c r="J5" s="8"/>
      <c r="K5" s="78"/>
      <c r="L5" s="78"/>
      <c r="M5" s="78"/>
      <c r="N5" s="78"/>
    </row>
    <row r="6" spans="1:20" x14ac:dyDescent="0.25">
      <c r="G6" s="28"/>
    </row>
    <row r="9" spans="1:20" x14ac:dyDescent="0.25">
      <c r="B9" s="2" t="s">
        <v>774</v>
      </c>
    </row>
    <row r="10" spans="1:20" x14ac:dyDescent="0.25">
      <c r="B10" s="2" t="s">
        <v>775</v>
      </c>
    </row>
    <row r="11" spans="1:20" x14ac:dyDescent="0.25">
      <c r="B11" s="2" t="s">
        <v>776</v>
      </c>
    </row>
    <row r="13" spans="1:20" x14ac:dyDescent="0.25">
      <c r="C13" s="2" t="s">
        <v>777</v>
      </c>
    </row>
    <row r="14" spans="1:20" ht="51.75" customHeight="1" x14ac:dyDescent="0.25">
      <c r="C14" s="24" t="s">
        <v>590</v>
      </c>
      <c r="D14" s="335">
        <v>2.2000000000000001E-4</v>
      </c>
      <c r="E14" s="469" t="s">
        <v>591</v>
      </c>
      <c r="F14" s="469"/>
      <c r="G14" s="469"/>
      <c r="H14" s="469"/>
      <c r="I14" s="469"/>
      <c r="J14" s="469"/>
      <c r="K14" s="469"/>
      <c r="L14" s="469"/>
      <c r="M14" s="469"/>
      <c r="N14" s="469"/>
      <c r="O14" s="469"/>
      <c r="P14" s="469"/>
      <c r="Q14" s="469"/>
      <c r="R14" s="469"/>
      <c r="S14" s="469"/>
      <c r="T14" s="469"/>
    </row>
    <row r="15" spans="1:20" ht="45" x14ac:dyDescent="0.25">
      <c r="C15" s="24" t="s">
        <v>592</v>
      </c>
      <c r="D15" s="335">
        <v>1.7000000000000001E-4</v>
      </c>
      <c r="E15" s="469" t="s">
        <v>593</v>
      </c>
      <c r="F15" s="469"/>
      <c r="G15" s="469"/>
      <c r="H15" s="469"/>
      <c r="I15" s="469"/>
      <c r="J15" s="469"/>
      <c r="K15" s="469"/>
      <c r="L15" s="469"/>
      <c r="M15" s="469"/>
      <c r="N15" s="469"/>
      <c r="O15" s="469"/>
      <c r="P15" s="469"/>
      <c r="Q15" s="469"/>
      <c r="R15" s="469"/>
      <c r="S15" s="469"/>
      <c r="T15" s="469"/>
    </row>
    <row r="17" spans="2:10" ht="15.75" thickBot="1" x14ac:dyDescent="0.3">
      <c r="C17" s="2" t="s">
        <v>778</v>
      </c>
    </row>
    <row r="18" spans="2:10" x14ac:dyDescent="0.25">
      <c r="C18" s="361" t="s">
        <v>779</v>
      </c>
      <c r="D18" s="362">
        <v>0.4505061389684315</v>
      </c>
      <c r="E18" t="s">
        <v>450</v>
      </c>
    </row>
    <row r="19" spans="2:10" ht="15.75" thickBot="1" x14ac:dyDescent="0.3">
      <c r="C19" s="363" t="s">
        <v>780</v>
      </c>
      <c r="D19" s="364">
        <v>7.1830371368169447E-4</v>
      </c>
      <c r="E19" t="s">
        <v>781</v>
      </c>
    </row>
    <row r="22" spans="2:10" ht="15.75" thickBot="1" x14ac:dyDescent="0.3">
      <c r="J22" s="23"/>
    </row>
    <row r="23" spans="2:10" x14ac:dyDescent="0.25">
      <c r="B23" s="489" t="s">
        <v>606</v>
      </c>
      <c r="C23" s="490"/>
      <c r="D23" s="490"/>
      <c r="E23" s="490"/>
      <c r="F23" s="490"/>
      <c r="G23" s="491"/>
    </row>
    <row r="24" spans="2:10" x14ac:dyDescent="0.25">
      <c r="B24" s="417" t="s">
        <v>782</v>
      </c>
      <c r="C24" s="506"/>
      <c r="D24" s="34" t="s">
        <v>783</v>
      </c>
      <c r="E24" s="423" t="s">
        <v>205</v>
      </c>
      <c r="F24" s="457"/>
      <c r="G24" s="458"/>
    </row>
    <row r="25" spans="2:10" ht="27.4" customHeight="1" x14ac:dyDescent="0.25">
      <c r="B25" s="417"/>
      <c r="C25" s="506"/>
      <c r="D25" s="34" t="s">
        <v>19</v>
      </c>
      <c r="E25" s="462" t="s">
        <v>487</v>
      </c>
      <c r="F25" s="462"/>
      <c r="G25" s="463"/>
    </row>
    <row r="26" spans="2:10" ht="70.150000000000006" customHeight="1" x14ac:dyDescent="0.25">
      <c r="B26" s="417"/>
      <c r="C26" s="506"/>
      <c r="D26" s="34" t="s">
        <v>364</v>
      </c>
      <c r="E26" s="34" t="s">
        <v>365</v>
      </c>
      <c r="F26" s="83" t="s">
        <v>366</v>
      </c>
      <c r="G26" s="61" t="s">
        <v>367</v>
      </c>
    </row>
    <row r="27" spans="2:10" x14ac:dyDescent="0.25">
      <c r="B27" s="420" t="s">
        <v>368</v>
      </c>
      <c r="C27" s="478" t="s">
        <v>369</v>
      </c>
      <c r="D27" s="129" t="s">
        <v>370</v>
      </c>
      <c r="E27" s="81"/>
      <c r="F27" s="85"/>
      <c r="G27" s="82"/>
    </row>
    <row r="28" spans="2:10" ht="30" x14ac:dyDescent="0.25">
      <c r="B28" s="420"/>
      <c r="C28" s="478"/>
      <c r="D28" s="132" t="s">
        <v>380</v>
      </c>
      <c r="E28" s="59"/>
      <c r="F28" s="84"/>
      <c r="G28" s="61"/>
    </row>
    <row r="29" spans="2:10" ht="30" x14ac:dyDescent="0.25">
      <c r="B29" s="420"/>
      <c r="C29" s="478"/>
      <c r="D29" s="132" t="s">
        <v>394</v>
      </c>
      <c r="E29" s="59"/>
      <c r="F29" s="54"/>
      <c r="G29" s="61"/>
    </row>
    <row r="30" spans="2:10" ht="30" x14ac:dyDescent="0.25">
      <c r="B30" s="420"/>
      <c r="C30" s="478"/>
      <c r="D30" s="129" t="s">
        <v>405</v>
      </c>
      <c r="E30" s="60"/>
      <c r="F30" s="57"/>
      <c r="G30" s="62"/>
    </row>
    <row r="31" spans="2:10" ht="30" x14ac:dyDescent="0.25">
      <c r="B31" s="420"/>
      <c r="C31" s="462" t="s">
        <v>421</v>
      </c>
      <c r="D31" s="132" t="s">
        <v>422</v>
      </c>
      <c r="E31" s="76"/>
      <c r="F31" s="34"/>
      <c r="G31" s="63"/>
    </row>
    <row r="32" spans="2:10" ht="30" x14ac:dyDescent="0.25">
      <c r="B32" s="420"/>
      <c r="C32" s="462"/>
      <c r="D32" s="132" t="s">
        <v>428</v>
      </c>
      <c r="E32" s="76"/>
      <c r="F32" s="46"/>
      <c r="G32" s="61"/>
    </row>
    <row r="33" spans="2:10" ht="45" x14ac:dyDescent="0.25">
      <c r="B33" s="420"/>
      <c r="C33" s="462"/>
      <c r="D33" s="132" t="s">
        <v>429</v>
      </c>
      <c r="E33" s="76"/>
      <c r="F33" s="34"/>
      <c r="G33" s="63"/>
    </row>
    <row r="34" spans="2:10" ht="30" x14ac:dyDescent="0.25">
      <c r="B34" s="420"/>
      <c r="C34" s="462"/>
      <c r="D34" s="132" t="s">
        <v>430</v>
      </c>
      <c r="E34" s="76"/>
      <c r="F34" s="34"/>
      <c r="G34" s="63"/>
    </row>
    <row r="35" spans="2:10" ht="30" x14ac:dyDescent="0.25">
      <c r="B35" s="420"/>
      <c r="C35" s="462"/>
      <c r="D35" s="132" t="s">
        <v>432</v>
      </c>
      <c r="E35" s="59"/>
      <c r="F35" s="54"/>
      <c r="G35" s="61"/>
    </row>
    <row r="36" spans="2:10" ht="30" x14ac:dyDescent="0.25">
      <c r="B36" s="420"/>
      <c r="C36" s="462"/>
      <c r="D36" s="132" t="s">
        <v>434</v>
      </c>
      <c r="E36" s="59"/>
      <c r="F36" s="54"/>
      <c r="G36" s="61"/>
    </row>
    <row r="37" spans="2:10" ht="30" x14ac:dyDescent="0.25">
      <c r="B37" s="420"/>
      <c r="C37" s="462"/>
      <c r="D37" s="132" t="s">
        <v>436</v>
      </c>
      <c r="E37" s="34"/>
      <c r="F37" s="54"/>
      <c r="G37" s="61"/>
    </row>
    <row r="38" spans="2:10" ht="30" x14ac:dyDescent="0.25">
      <c r="B38" s="420"/>
      <c r="C38" s="462"/>
      <c r="D38" s="132" t="s">
        <v>437</v>
      </c>
      <c r="E38" s="59"/>
      <c r="F38" s="54"/>
      <c r="G38" s="61"/>
    </row>
    <row r="39" spans="2:10" x14ac:dyDescent="0.25">
      <c r="B39" s="420" t="s">
        <v>438</v>
      </c>
      <c r="C39" s="478" t="s">
        <v>369</v>
      </c>
      <c r="D39" s="129" t="s">
        <v>370</v>
      </c>
      <c r="E39" s="60">
        <f>D18</f>
        <v>0.4505061389684315</v>
      </c>
      <c r="F39" s="52" t="s">
        <v>441</v>
      </c>
      <c r="G39" s="62" t="s">
        <v>373</v>
      </c>
      <c r="H39" s="353" t="s">
        <v>784</v>
      </c>
      <c r="I39" s="353"/>
      <c r="J39" s="353"/>
    </row>
    <row r="40" spans="2:10" ht="30" x14ac:dyDescent="0.25">
      <c r="B40" s="420"/>
      <c r="C40" s="478"/>
      <c r="D40" s="132" t="s">
        <v>380</v>
      </c>
      <c r="E40" s="59">
        <f>D19</f>
        <v>7.1830371368169447E-4</v>
      </c>
      <c r="F40" s="86" t="s">
        <v>448</v>
      </c>
      <c r="G40" s="61" t="s">
        <v>373</v>
      </c>
    </row>
    <row r="41" spans="2:10" ht="30" x14ac:dyDescent="0.25">
      <c r="B41" s="420"/>
      <c r="C41" s="478"/>
      <c r="D41" s="132" t="s">
        <v>394</v>
      </c>
      <c r="E41" s="59"/>
      <c r="F41" s="34"/>
      <c r="G41" s="61"/>
    </row>
    <row r="42" spans="2:10" ht="30" x14ac:dyDescent="0.25">
      <c r="B42" s="420"/>
      <c r="C42" s="478"/>
      <c r="D42" s="129" t="s">
        <v>405</v>
      </c>
      <c r="E42" s="60"/>
      <c r="F42" s="52"/>
      <c r="G42" s="62"/>
    </row>
    <row r="43" spans="2:10" ht="30" x14ac:dyDescent="0.25">
      <c r="B43" s="420"/>
      <c r="C43" s="462" t="s">
        <v>421</v>
      </c>
      <c r="D43" s="132" t="s">
        <v>453</v>
      </c>
      <c r="E43" s="38"/>
      <c r="F43" s="34"/>
      <c r="G43" s="63"/>
    </row>
    <row r="44" spans="2:10" ht="30" x14ac:dyDescent="0.25">
      <c r="B44" s="420"/>
      <c r="C44" s="462"/>
      <c r="D44" s="132" t="s">
        <v>428</v>
      </c>
      <c r="E44" s="38"/>
      <c r="F44" s="34"/>
      <c r="G44" s="63"/>
    </row>
    <row r="45" spans="2:10" ht="45" x14ac:dyDescent="0.25">
      <c r="B45" s="420"/>
      <c r="C45" s="462"/>
      <c r="D45" s="132" t="s">
        <v>429</v>
      </c>
      <c r="E45" s="38"/>
      <c r="F45" s="38"/>
      <c r="G45" s="63"/>
    </row>
    <row r="46" spans="2:10" ht="30" x14ac:dyDescent="0.25">
      <c r="B46" s="420"/>
      <c r="C46" s="462"/>
      <c r="D46" s="132" t="s">
        <v>430</v>
      </c>
      <c r="E46" s="38"/>
      <c r="F46" s="38"/>
      <c r="G46" s="63"/>
    </row>
    <row r="47" spans="2:10" ht="30" x14ac:dyDescent="0.25">
      <c r="B47" s="420"/>
      <c r="C47" s="462"/>
      <c r="D47" s="132" t="s">
        <v>432</v>
      </c>
      <c r="E47" s="59"/>
      <c r="F47" s="54"/>
      <c r="G47" s="61"/>
    </row>
    <row r="48" spans="2:10" ht="30" x14ac:dyDescent="0.25">
      <c r="B48" s="420"/>
      <c r="C48" s="462"/>
      <c r="D48" s="132" t="s">
        <v>434</v>
      </c>
      <c r="E48" s="59"/>
      <c r="F48" s="34"/>
      <c r="G48" s="61"/>
    </row>
    <row r="49" spans="2:7" ht="30" x14ac:dyDescent="0.25">
      <c r="B49" s="420"/>
      <c r="C49" s="462"/>
      <c r="D49" s="132" t="s">
        <v>436</v>
      </c>
      <c r="E49" s="34"/>
      <c r="F49" s="34"/>
      <c r="G49" s="61"/>
    </row>
    <row r="50" spans="2:7" ht="30.75" thickBot="1" x14ac:dyDescent="0.3">
      <c r="B50" s="427"/>
      <c r="C50" s="493"/>
      <c r="D50" s="194" t="s">
        <v>437</v>
      </c>
      <c r="E50" s="64"/>
      <c r="F50" s="65"/>
      <c r="G50" s="66"/>
    </row>
  </sheetData>
  <mergeCells count="13">
    <mergeCell ref="B27:B38"/>
    <mergeCell ref="C27:C30"/>
    <mergeCell ref="C31:C38"/>
    <mergeCell ref="B39:B50"/>
    <mergeCell ref="C39:C42"/>
    <mergeCell ref="C43:C50"/>
    <mergeCell ref="E14:T14"/>
    <mergeCell ref="E15:T15"/>
    <mergeCell ref="A5:F5"/>
    <mergeCell ref="B23:G23"/>
    <mergeCell ref="B24:C26"/>
    <mergeCell ref="E24:G24"/>
    <mergeCell ref="E25:G25"/>
  </mergeCells>
  <phoneticPr fontId="16"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A712-3E82-4DF1-8453-8EE1A6485DE6}">
  <sheetPr>
    <tabColor theme="9" tint="0.59999389629810485"/>
  </sheetPr>
  <dimension ref="B2:L44"/>
  <sheetViews>
    <sheetView zoomScale="60" zoomScaleNormal="60" workbookViewId="0"/>
  </sheetViews>
  <sheetFormatPr defaultRowHeight="15" x14ac:dyDescent="0.25"/>
  <cols>
    <col min="2" max="2" width="41.7109375" bestFit="1" customWidth="1"/>
    <col min="3" max="3" width="27.28515625" bestFit="1" customWidth="1"/>
    <col min="4" max="4" width="36" customWidth="1"/>
    <col min="5" max="5" width="20" customWidth="1"/>
    <col min="6" max="6" width="53.140625" customWidth="1"/>
    <col min="7" max="7" width="26.5703125" customWidth="1"/>
  </cols>
  <sheetData>
    <row r="2" spans="2:12" ht="75.75" customHeight="1" x14ac:dyDescent="0.25">
      <c r="B2" s="507" t="s">
        <v>785</v>
      </c>
      <c r="C2" s="508" t="s">
        <v>83</v>
      </c>
      <c r="D2" s="509" t="s">
        <v>208</v>
      </c>
      <c r="E2" s="511">
        <v>2006</v>
      </c>
      <c r="F2" s="9" t="s">
        <v>786</v>
      </c>
      <c r="G2" s="353" t="s">
        <v>653</v>
      </c>
      <c r="H2" s="353"/>
      <c r="I2" s="353"/>
      <c r="J2" s="353"/>
      <c r="K2" s="353"/>
      <c r="L2" s="353"/>
    </row>
    <row r="3" spans="2:12" ht="75.75" customHeight="1" x14ac:dyDescent="0.25">
      <c r="B3" s="507"/>
      <c r="C3" s="508"/>
      <c r="D3" s="510"/>
      <c r="E3" s="511"/>
      <c r="F3" s="9" t="s">
        <v>787</v>
      </c>
    </row>
    <row r="4" spans="2:12" ht="75.75" customHeight="1" x14ac:dyDescent="0.25">
      <c r="B4" s="507"/>
      <c r="C4" s="508"/>
      <c r="D4" s="510"/>
      <c r="E4" s="511"/>
      <c r="F4" s="9" t="s">
        <v>788</v>
      </c>
    </row>
    <row r="6" spans="2:12" x14ac:dyDescent="0.25">
      <c r="B6" s="2" t="s">
        <v>789</v>
      </c>
    </row>
    <row r="7" spans="2:12" x14ac:dyDescent="0.25">
      <c r="B7" t="s">
        <v>790</v>
      </c>
      <c r="C7" t="s">
        <v>791</v>
      </c>
      <c r="D7" t="s">
        <v>792</v>
      </c>
      <c r="G7" s="353">
        <f>12000/365</f>
        <v>32.876712328767127</v>
      </c>
      <c r="H7" t="s">
        <v>706</v>
      </c>
    </row>
    <row r="9" spans="2:12" x14ac:dyDescent="0.25">
      <c r="B9" s="2" t="s">
        <v>793</v>
      </c>
    </row>
    <row r="10" spans="2:12" x14ac:dyDescent="0.25">
      <c r="B10" t="s">
        <v>794</v>
      </c>
      <c r="C10" t="s">
        <v>795</v>
      </c>
      <c r="D10" t="s">
        <v>796</v>
      </c>
      <c r="G10" s="353">
        <f>300*24</f>
        <v>7200</v>
      </c>
      <c r="H10" t="s">
        <v>706</v>
      </c>
    </row>
    <row r="12" spans="2:12" x14ac:dyDescent="0.25">
      <c r="B12" s="2" t="s">
        <v>797</v>
      </c>
    </row>
    <row r="13" spans="2:12" ht="60" x14ac:dyDescent="0.25">
      <c r="B13" s="8" t="s">
        <v>798</v>
      </c>
      <c r="C13" t="s">
        <v>799</v>
      </c>
      <c r="D13" t="s">
        <v>800</v>
      </c>
      <c r="E13" t="s">
        <v>801</v>
      </c>
      <c r="G13" s="353">
        <f>3000000/538/365</f>
        <v>15.277282680653869</v>
      </c>
      <c r="H13" t="s">
        <v>706</v>
      </c>
    </row>
    <row r="14" spans="2:12" x14ac:dyDescent="0.25">
      <c r="B14" s="8"/>
    </row>
    <row r="16" spans="2:12" ht="15.75" thickBot="1" x14ac:dyDescent="0.3"/>
    <row r="17" spans="2:7" x14ac:dyDescent="0.25">
      <c r="B17" s="489" t="s">
        <v>606</v>
      </c>
      <c r="C17" s="490"/>
      <c r="D17" s="490"/>
      <c r="E17" s="490"/>
      <c r="F17" s="490"/>
      <c r="G17" s="491"/>
    </row>
    <row r="18" spans="2:7" x14ac:dyDescent="0.25">
      <c r="B18" s="492" t="s">
        <v>319</v>
      </c>
      <c r="C18" s="478"/>
      <c r="D18" s="34" t="s">
        <v>607</v>
      </c>
      <c r="E18" s="423" t="s">
        <v>208</v>
      </c>
      <c r="F18" s="457"/>
      <c r="G18" s="458"/>
    </row>
    <row r="19" spans="2:7" x14ac:dyDescent="0.25">
      <c r="B19" s="492"/>
      <c r="C19" s="478"/>
      <c r="D19" s="34" t="s">
        <v>19</v>
      </c>
      <c r="E19" s="462" t="s">
        <v>802</v>
      </c>
      <c r="F19" s="462"/>
      <c r="G19" s="463"/>
    </row>
    <row r="20" spans="2:7" ht="30" x14ac:dyDescent="0.25">
      <c r="B20" s="492"/>
      <c r="C20" s="478"/>
      <c r="D20" s="34" t="s">
        <v>364</v>
      </c>
      <c r="E20" s="34" t="s">
        <v>365</v>
      </c>
      <c r="F20" s="34" t="s">
        <v>366</v>
      </c>
      <c r="G20" s="61" t="s">
        <v>367</v>
      </c>
    </row>
    <row r="21" spans="2:7" x14ac:dyDescent="0.25">
      <c r="B21" s="420" t="s">
        <v>368</v>
      </c>
      <c r="C21" s="478" t="s">
        <v>369</v>
      </c>
      <c r="D21" s="129" t="s">
        <v>370</v>
      </c>
      <c r="E21" s="60"/>
      <c r="F21" s="57"/>
      <c r="G21" s="62"/>
    </row>
    <row r="22" spans="2:7" ht="30" x14ac:dyDescent="0.25">
      <c r="B22" s="420"/>
      <c r="C22" s="478"/>
      <c r="D22" s="132" t="s">
        <v>380</v>
      </c>
      <c r="E22" s="59"/>
      <c r="F22" s="54">
        <v>15.2</v>
      </c>
      <c r="G22" s="61" t="s">
        <v>388</v>
      </c>
    </row>
    <row r="23" spans="2:7" x14ac:dyDescent="0.25">
      <c r="B23" s="420"/>
      <c r="C23" s="478"/>
      <c r="D23" s="132" t="s">
        <v>394</v>
      </c>
      <c r="E23" s="59"/>
      <c r="F23" s="54"/>
      <c r="G23" s="61"/>
    </row>
    <row r="24" spans="2:7" ht="30" x14ac:dyDescent="0.25">
      <c r="B24" s="420"/>
      <c r="C24" s="478"/>
      <c r="D24" s="129" t="s">
        <v>405</v>
      </c>
      <c r="E24" s="60"/>
      <c r="F24" s="57">
        <v>7200</v>
      </c>
      <c r="G24" s="135" t="s">
        <v>413</v>
      </c>
    </row>
    <row r="25" spans="2:7" x14ac:dyDescent="0.25">
      <c r="B25" s="420"/>
      <c r="C25" s="462" t="s">
        <v>421</v>
      </c>
      <c r="D25" s="132" t="s">
        <v>422</v>
      </c>
      <c r="E25" s="38"/>
      <c r="F25" s="38"/>
      <c r="G25" s="63"/>
    </row>
    <row r="26" spans="2:7" x14ac:dyDescent="0.25">
      <c r="B26" s="420"/>
      <c r="C26" s="462"/>
      <c r="D26" s="132" t="s">
        <v>428</v>
      </c>
      <c r="E26" s="34"/>
      <c r="F26" s="46"/>
      <c r="G26" s="61"/>
    </row>
    <row r="27" spans="2:7" ht="30" x14ac:dyDescent="0.25">
      <c r="B27" s="420"/>
      <c r="C27" s="462"/>
      <c r="D27" s="132" t="s">
        <v>429</v>
      </c>
      <c r="E27" s="38"/>
      <c r="F27" s="38"/>
      <c r="G27" s="63"/>
    </row>
    <row r="28" spans="2:7" ht="30" x14ac:dyDescent="0.25">
      <c r="B28" s="420"/>
      <c r="C28" s="462"/>
      <c r="D28" s="132" t="s">
        <v>430</v>
      </c>
      <c r="E28" s="38"/>
      <c r="F28" s="38"/>
      <c r="G28" s="63"/>
    </row>
    <row r="29" spans="2:7" x14ac:dyDescent="0.25">
      <c r="B29" s="420"/>
      <c r="C29" s="462"/>
      <c r="D29" s="132" t="s">
        <v>432</v>
      </c>
      <c r="E29" s="59"/>
      <c r="F29" s="54"/>
      <c r="G29" s="61"/>
    </row>
    <row r="30" spans="2:7" x14ac:dyDescent="0.25">
      <c r="B30" s="420"/>
      <c r="C30" s="462"/>
      <c r="D30" s="132" t="s">
        <v>434</v>
      </c>
      <c r="E30" s="59"/>
      <c r="F30" s="54"/>
      <c r="G30" s="61"/>
    </row>
    <row r="31" spans="2:7" x14ac:dyDescent="0.25">
      <c r="B31" s="420"/>
      <c r="C31" s="462"/>
      <c r="D31" s="132" t="s">
        <v>436</v>
      </c>
      <c r="E31" s="34"/>
      <c r="F31" s="54"/>
      <c r="G31" s="61"/>
    </row>
    <row r="32" spans="2:7" x14ac:dyDescent="0.25">
      <c r="B32" s="420"/>
      <c r="C32" s="462"/>
      <c r="D32" s="132" t="s">
        <v>437</v>
      </c>
      <c r="E32" s="59"/>
      <c r="F32" s="54"/>
      <c r="G32" s="61"/>
    </row>
    <row r="33" spans="2:7" x14ac:dyDescent="0.25">
      <c r="B33" s="420" t="s">
        <v>438</v>
      </c>
      <c r="C33" s="478" t="s">
        <v>369</v>
      </c>
      <c r="D33" s="129" t="s">
        <v>370</v>
      </c>
      <c r="E33" s="60"/>
      <c r="F33" s="57"/>
      <c r="G33" s="62"/>
    </row>
    <row r="34" spans="2:7" ht="30" x14ac:dyDescent="0.25">
      <c r="B34" s="420"/>
      <c r="C34" s="478"/>
      <c r="D34" s="132" t="s">
        <v>380</v>
      </c>
      <c r="E34" s="59"/>
      <c r="F34" s="34">
        <v>32.799999999999997</v>
      </c>
      <c r="G34" s="61" t="s">
        <v>449</v>
      </c>
    </row>
    <row r="35" spans="2:7" x14ac:dyDescent="0.25">
      <c r="B35" s="420"/>
      <c r="C35" s="478"/>
      <c r="D35" s="132" t="s">
        <v>394</v>
      </c>
      <c r="E35" s="34"/>
      <c r="F35" s="34"/>
      <c r="G35" s="61"/>
    </row>
    <row r="36" spans="2:7" x14ac:dyDescent="0.25">
      <c r="B36" s="420"/>
      <c r="C36" s="478"/>
      <c r="D36" s="129" t="s">
        <v>405</v>
      </c>
      <c r="E36" s="35"/>
      <c r="F36" s="57"/>
      <c r="G36" s="62"/>
    </row>
    <row r="37" spans="2:7" x14ac:dyDescent="0.25">
      <c r="B37" s="420"/>
      <c r="C37" s="462" t="s">
        <v>421</v>
      </c>
      <c r="D37" s="132" t="s">
        <v>453</v>
      </c>
      <c r="E37" s="38"/>
      <c r="F37" s="38"/>
      <c r="G37" s="63"/>
    </row>
    <row r="38" spans="2:7" x14ac:dyDescent="0.25">
      <c r="B38" s="420"/>
      <c r="C38" s="462"/>
      <c r="D38" s="132" t="s">
        <v>428</v>
      </c>
      <c r="E38" s="38"/>
      <c r="F38" s="38"/>
      <c r="G38" s="63"/>
    </row>
    <row r="39" spans="2:7" ht="30" x14ac:dyDescent="0.25">
      <c r="B39" s="420"/>
      <c r="C39" s="462"/>
      <c r="D39" s="132" t="s">
        <v>429</v>
      </c>
      <c r="E39" s="38"/>
      <c r="F39" s="38"/>
      <c r="G39" s="63"/>
    </row>
    <row r="40" spans="2:7" ht="30" x14ac:dyDescent="0.25">
      <c r="B40" s="420"/>
      <c r="C40" s="462"/>
      <c r="D40" s="132" t="s">
        <v>430</v>
      </c>
      <c r="E40" s="38"/>
      <c r="F40" s="38"/>
      <c r="G40" s="63"/>
    </row>
    <row r="41" spans="2:7" x14ac:dyDescent="0.25">
      <c r="B41" s="420"/>
      <c r="C41" s="462"/>
      <c r="D41" s="132" t="s">
        <v>432</v>
      </c>
      <c r="E41" s="59"/>
      <c r="F41" s="54"/>
      <c r="G41" s="61"/>
    </row>
    <row r="42" spans="2:7" x14ac:dyDescent="0.25">
      <c r="B42" s="420"/>
      <c r="C42" s="462"/>
      <c r="D42" s="132" t="s">
        <v>434</v>
      </c>
      <c r="E42" s="59"/>
      <c r="F42" s="34"/>
      <c r="G42" s="61"/>
    </row>
    <row r="43" spans="2:7" x14ac:dyDescent="0.25">
      <c r="B43" s="420"/>
      <c r="C43" s="462"/>
      <c r="D43" s="132" t="s">
        <v>436</v>
      </c>
      <c r="E43" s="34"/>
      <c r="F43" s="34"/>
      <c r="G43" s="61"/>
    </row>
    <row r="44" spans="2:7" ht="15.75" thickBot="1" x14ac:dyDescent="0.3">
      <c r="B44" s="427"/>
      <c r="C44" s="493"/>
      <c r="D44" s="194" t="s">
        <v>437</v>
      </c>
      <c r="E44" s="64"/>
      <c r="F44" s="65"/>
      <c r="G44" s="66"/>
    </row>
  </sheetData>
  <mergeCells count="14">
    <mergeCell ref="B2:B4"/>
    <mergeCell ref="C2:C4"/>
    <mergeCell ref="D2:D4"/>
    <mergeCell ref="E2:E4"/>
    <mergeCell ref="B17:G17"/>
    <mergeCell ref="B33:B44"/>
    <mergeCell ref="C33:C36"/>
    <mergeCell ref="C37:C44"/>
    <mergeCell ref="B18:C20"/>
    <mergeCell ref="E18:G18"/>
    <mergeCell ref="E19:G19"/>
    <mergeCell ref="B21:B32"/>
    <mergeCell ref="C21:C24"/>
    <mergeCell ref="C25:C32"/>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385E9-F676-407E-A733-3C11E689554E}">
  <sheetPr>
    <tabColor theme="9" tint="0.59999389629810485"/>
  </sheetPr>
  <dimension ref="B3:H35"/>
  <sheetViews>
    <sheetView zoomScale="80" zoomScaleNormal="80" workbookViewId="0"/>
  </sheetViews>
  <sheetFormatPr defaultRowHeight="15" x14ac:dyDescent="0.25"/>
  <cols>
    <col min="2" max="2" width="24.42578125" customWidth="1"/>
    <col min="4" max="4" width="22.28515625" customWidth="1"/>
    <col min="5" max="5" width="25" customWidth="1"/>
    <col min="6" max="6" width="24.140625" customWidth="1"/>
  </cols>
  <sheetData>
    <row r="3" spans="2:8" ht="60" x14ac:dyDescent="0.25">
      <c r="B3" s="394" t="s">
        <v>803</v>
      </c>
      <c r="C3" s="2"/>
      <c r="D3" s="2" t="s">
        <v>804</v>
      </c>
      <c r="E3" s="2"/>
      <c r="F3" s="7" t="s">
        <v>327</v>
      </c>
      <c r="G3" s="212">
        <v>2008</v>
      </c>
    </row>
    <row r="5" spans="2:8" ht="15.75" thickBot="1" x14ac:dyDescent="0.3"/>
    <row r="6" spans="2:8" x14ac:dyDescent="0.25">
      <c r="B6" s="489" t="s">
        <v>606</v>
      </c>
      <c r="C6" s="490"/>
      <c r="D6" s="490"/>
      <c r="E6" s="490"/>
      <c r="F6" s="490"/>
      <c r="G6" s="491"/>
    </row>
    <row r="7" spans="2:8" x14ac:dyDescent="0.25">
      <c r="B7" s="492" t="s">
        <v>319</v>
      </c>
      <c r="C7" s="478"/>
      <c r="D7" s="34" t="s">
        <v>607</v>
      </c>
      <c r="E7" s="423" t="s">
        <v>327</v>
      </c>
      <c r="F7" s="457"/>
      <c r="G7" s="458"/>
    </row>
    <row r="8" spans="2:8" x14ac:dyDescent="0.25">
      <c r="B8" s="492"/>
      <c r="C8" s="478"/>
      <c r="D8" s="34" t="s">
        <v>19</v>
      </c>
      <c r="E8" s="462" t="s">
        <v>534</v>
      </c>
      <c r="F8" s="462"/>
      <c r="G8" s="463"/>
    </row>
    <row r="9" spans="2:8" ht="60" x14ac:dyDescent="0.25">
      <c r="B9" s="492"/>
      <c r="C9" s="478"/>
      <c r="D9" s="34" t="s">
        <v>364</v>
      </c>
      <c r="E9" s="34" t="s">
        <v>365</v>
      </c>
      <c r="F9" s="34" t="s">
        <v>366</v>
      </c>
      <c r="G9" s="61" t="s">
        <v>367</v>
      </c>
    </row>
    <row r="10" spans="2:8" x14ac:dyDescent="0.25">
      <c r="B10" s="420" t="s">
        <v>368</v>
      </c>
      <c r="C10" s="478" t="s">
        <v>369</v>
      </c>
      <c r="D10" s="129" t="s">
        <v>370</v>
      </c>
      <c r="E10" s="60"/>
      <c r="F10" s="57"/>
      <c r="G10" s="62"/>
    </row>
    <row r="11" spans="2:8" ht="30" x14ac:dyDescent="0.25">
      <c r="B11" s="420"/>
      <c r="C11" s="478"/>
      <c r="D11" s="132" t="s">
        <v>380</v>
      </c>
      <c r="E11" s="4"/>
      <c r="F11" s="54"/>
      <c r="G11" s="61"/>
    </row>
    <row r="12" spans="2:8" ht="30" x14ac:dyDescent="0.25">
      <c r="B12" s="420"/>
      <c r="C12" s="478"/>
      <c r="D12" s="132" t="s">
        <v>394</v>
      </c>
      <c r="E12" s="59"/>
      <c r="F12" s="54"/>
      <c r="G12" s="61"/>
    </row>
    <row r="13" spans="2:8" ht="60" x14ac:dyDescent="0.25">
      <c r="B13" s="420"/>
      <c r="C13" s="478"/>
      <c r="D13" s="129" t="s">
        <v>405</v>
      </c>
      <c r="E13" s="60" t="s">
        <v>414</v>
      </c>
      <c r="F13" s="57"/>
      <c r="G13" s="62"/>
      <c r="H13" s="2" t="s">
        <v>805</v>
      </c>
    </row>
    <row r="14" spans="2:8" ht="30" x14ac:dyDescent="0.25">
      <c r="B14" s="420"/>
      <c r="C14" s="462" t="s">
        <v>421</v>
      </c>
      <c r="D14" s="132" t="s">
        <v>422</v>
      </c>
      <c r="E14" s="38"/>
      <c r="F14" s="38"/>
      <c r="G14" s="63"/>
    </row>
    <row r="15" spans="2:8" ht="30" x14ac:dyDescent="0.25">
      <c r="B15" s="420"/>
      <c r="C15" s="462"/>
      <c r="D15" s="132" t="s">
        <v>428</v>
      </c>
      <c r="E15" s="34"/>
      <c r="F15" s="46"/>
      <c r="G15" s="61"/>
    </row>
    <row r="16" spans="2:8" ht="30" x14ac:dyDescent="0.25">
      <c r="B16" s="420"/>
      <c r="C16" s="462"/>
      <c r="D16" s="132" t="s">
        <v>429</v>
      </c>
      <c r="E16" s="38"/>
      <c r="F16" s="38"/>
      <c r="G16" s="63"/>
    </row>
    <row r="17" spans="2:7" ht="30" x14ac:dyDescent="0.25">
      <c r="B17" s="420"/>
      <c r="C17" s="462"/>
      <c r="D17" s="132" t="s">
        <v>430</v>
      </c>
      <c r="E17" s="38"/>
      <c r="F17" s="38"/>
      <c r="G17" s="63"/>
    </row>
    <row r="18" spans="2:7" ht="30" x14ac:dyDescent="0.25">
      <c r="B18" s="420"/>
      <c r="C18" s="462"/>
      <c r="D18" s="132" t="s">
        <v>432</v>
      </c>
      <c r="E18" s="59"/>
      <c r="F18" s="54"/>
      <c r="G18" s="61"/>
    </row>
    <row r="19" spans="2:7" ht="30" x14ac:dyDescent="0.25">
      <c r="B19" s="420"/>
      <c r="C19" s="462"/>
      <c r="D19" s="132" t="s">
        <v>434</v>
      </c>
      <c r="E19" s="59"/>
      <c r="F19" s="54"/>
      <c r="G19" s="61"/>
    </row>
    <row r="20" spans="2:7" ht="30" x14ac:dyDescent="0.25">
      <c r="B20" s="420"/>
      <c r="C20" s="462"/>
      <c r="D20" s="132" t="s">
        <v>436</v>
      </c>
      <c r="E20" s="34"/>
      <c r="F20" s="54"/>
      <c r="G20" s="61"/>
    </row>
    <row r="21" spans="2:7" ht="30" x14ac:dyDescent="0.25">
      <c r="B21" s="420"/>
      <c r="C21" s="462"/>
      <c r="D21" s="132" t="s">
        <v>437</v>
      </c>
      <c r="E21" s="59"/>
      <c r="F21" s="54"/>
      <c r="G21" s="61"/>
    </row>
    <row r="22" spans="2:7" x14ac:dyDescent="0.25">
      <c r="B22" s="420" t="s">
        <v>438</v>
      </c>
      <c r="C22" s="478" t="s">
        <v>369</v>
      </c>
      <c r="D22" s="129" t="s">
        <v>370</v>
      </c>
      <c r="E22" s="60"/>
      <c r="F22" s="57"/>
      <c r="G22" s="62"/>
    </row>
    <row r="23" spans="2:7" ht="30" x14ac:dyDescent="0.25">
      <c r="B23" s="420"/>
      <c r="C23" s="478"/>
      <c r="D23" s="132" t="s">
        <v>380</v>
      </c>
      <c r="E23" s="59"/>
      <c r="F23" s="34"/>
      <c r="G23" s="61"/>
    </row>
    <row r="24" spans="2:7" ht="30" x14ac:dyDescent="0.25">
      <c r="B24" s="420"/>
      <c r="C24" s="478"/>
      <c r="D24" s="132" t="s">
        <v>394</v>
      </c>
      <c r="E24" s="34"/>
      <c r="F24" s="34"/>
      <c r="G24" s="61"/>
    </row>
    <row r="25" spans="2:7" ht="30" x14ac:dyDescent="0.25">
      <c r="B25" s="420"/>
      <c r="C25" s="478"/>
      <c r="D25" s="129" t="s">
        <v>405</v>
      </c>
      <c r="E25" s="35"/>
      <c r="F25" s="57"/>
      <c r="G25" s="62"/>
    </row>
    <row r="26" spans="2:7" ht="30" x14ac:dyDescent="0.25">
      <c r="B26" s="420"/>
      <c r="C26" s="462" t="s">
        <v>421</v>
      </c>
      <c r="D26" s="132" t="s">
        <v>453</v>
      </c>
      <c r="E26" s="38"/>
      <c r="F26" s="38"/>
      <c r="G26" s="63"/>
    </row>
    <row r="27" spans="2:7" ht="30" x14ac:dyDescent="0.25">
      <c r="B27" s="420"/>
      <c r="C27" s="462"/>
      <c r="D27" s="132" t="s">
        <v>428</v>
      </c>
      <c r="E27" s="38"/>
      <c r="F27" s="38"/>
      <c r="G27" s="63"/>
    </row>
    <row r="28" spans="2:7" ht="30" x14ac:dyDescent="0.25">
      <c r="B28" s="420"/>
      <c r="C28" s="462"/>
      <c r="D28" s="132" t="s">
        <v>429</v>
      </c>
      <c r="E28" s="38"/>
      <c r="F28" s="38"/>
      <c r="G28" s="63"/>
    </row>
    <row r="29" spans="2:7" ht="30" x14ac:dyDescent="0.25">
      <c r="B29" s="420"/>
      <c r="C29" s="462"/>
      <c r="D29" s="132" t="s">
        <v>430</v>
      </c>
      <c r="E29" s="38"/>
      <c r="F29" s="38"/>
      <c r="G29" s="63"/>
    </row>
    <row r="30" spans="2:7" ht="30" x14ac:dyDescent="0.25">
      <c r="B30" s="420"/>
      <c r="C30" s="462"/>
      <c r="D30" s="132" t="s">
        <v>432</v>
      </c>
      <c r="E30" s="59"/>
      <c r="F30" s="54"/>
      <c r="G30" s="61"/>
    </row>
    <row r="31" spans="2:7" ht="30" x14ac:dyDescent="0.25">
      <c r="B31" s="420"/>
      <c r="C31" s="462"/>
      <c r="D31" s="132" t="s">
        <v>434</v>
      </c>
      <c r="E31" s="59"/>
      <c r="F31" s="34"/>
      <c r="G31" s="61"/>
    </row>
    <row r="32" spans="2:7" ht="30" x14ac:dyDescent="0.25">
      <c r="B32" s="420"/>
      <c r="C32" s="462"/>
      <c r="D32" s="132" t="s">
        <v>436</v>
      </c>
      <c r="E32" s="34"/>
      <c r="F32" s="34"/>
      <c r="G32" s="61"/>
    </row>
    <row r="33" spans="2:7" ht="30.75" thickBot="1" x14ac:dyDescent="0.3">
      <c r="B33" s="427"/>
      <c r="C33" s="493"/>
      <c r="D33" s="194" t="s">
        <v>437</v>
      </c>
      <c r="E33" s="64"/>
      <c r="F33" s="65"/>
      <c r="G33" s="66"/>
    </row>
    <row r="34" spans="2:7" x14ac:dyDescent="0.25">
      <c r="D34" s="8"/>
    </row>
    <row r="35" spans="2:7" x14ac:dyDescent="0.25">
      <c r="D35" s="8"/>
    </row>
  </sheetData>
  <mergeCells count="10">
    <mergeCell ref="B22:B33"/>
    <mergeCell ref="C22:C25"/>
    <mergeCell ref="C26:C33"/>
    <mergeCell ref="B6:G6"/>
    <mergeCell ref="B7:C9"/>
    <mergeCell ref="E7:G7"/>
    <mergeCell ref="E8:G8"/>
    <mergeCell ref="B10:B21"/>
    <mergeCell ref="C10:C13"/>
    <mergeCell ref="C14:C21"/>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B7056-81B2-44B1-8BE9-2B5CB05D3543}">
  <sheetPr>
    <tabColor theme="9" tint="0.59999389629810485"/>
  </sheetPr>
  <dimension ref="A2:R48"/>
  <sheetViews>
    <sheetView zoomScale="70" zoomScaleNormal="70" workbookViewId="0"/>
  </sheetViews>
  <sheetFormatPr defaultRowHeight="15" x14ac:dyDescent="0.25"/>
  <cols>
    <col min="3" max="3" width="33.140625" bestFit="1" customWidth="1"/>
    <col min="4" max="4" width="11.5703125" customWidth="1"/>
    <col min="5" max="5" width="12.140625" customWidth="1"/>
    <col min="6" max="6" width="13.140625" bestFit="1" customWidth="1"/>
  </cols>
  <sheetData>
    <row r="2" spans="1:18" ht="117.95" customHeight="1" x14ac:dyDescent="0.25">
      <c r="A2" s="513" t="s">
        <v>806</v>
      </c>
      <c r="B2" s="513"/>
      <c r="C2" s="513"/>
      <c r="D2" s="512" t="s">
        <v>807</v>
      </c>
      <c r="E2" s="512"/>
      <c r="F2" s="512"/>
      <c r="G2" s="512"/>
      <c r="H2" s="512"/>
      <c r="I2" s="512"/>
      <c r="J2" s="512"/>
      <c r="M2" s="353" t="s">
        <v>653</v>
      </c>
      <c r="N2" s="353"/>
      <c r="O2" s="353"/>
      <c r="P2" s="353"/>
      <c r="Q2" s="353"/>
      <c r="R2" s="353"/>
    </row>
    <row r="4" spans="1:18" x14ac:dyDescent="0.25">
      <c r="B4" s="5" t="s">
        <v>656</v>
      </c>
    </row>
    <row r="6" spans="1:18" x14ac:dyDescent="0.25">
      <c r="C6" t="s">
        <v>808</v>
      </c>
    </row>
    <row r="7" spans="1:18" x14ac:dyDescent="0.25">
      <c r="C7" t="s">
        <v>809</v>
      </c>
      <c r="D7" t="s">
        <v>810</v>
      </c>
      <c r="E7" t="s">
        <v>811</v>
      </c>
      <c r="F7" t="s">
        <v>812</v>
      </c>
    </row>
    <row r="8" spans="1:18" x14ac:dyDescent="0.25">
      <c r="C8" t="s">
        <v>813</v>
      </c>
      <c r="D8" t="s">
        <v>814</v>
      </c>
      <c r="E8">
        <v>21.3</v>
      </c>
      <c r="F8">
        <v>4.87</v>
      </c>
    </row>
    <row r="9" spans="1:18" x14ac:dyDescent="0.25">
      <c r="C9" t="s">
        <v>813</v>
      </c>
      <c r="D9" t="s">
        <v>815</v>
      </c>
      <c r="E9">
        <v>15</v>
      </c>
      <c r="F9">
        <v>9.11</v>
      </c>
      <c r="H9" t="s">
        <v>816</v>
      </c>
      <c r="I9" t="s">
        <v>817</v>
      </c>
    </row>
    <row r="10" spans="1:18" x14ac:dyDescent="0.25">
      <c r="C10" s="353" t="s">
        <v>818</v>
      </c>
      <c r="D10" t="s">
        <v>819</v>
      </c>
      <c r="E10">
        <v>94500</v>
      </c>
      <c r="F10">
        <v>57330</v>
      </c>
      <c r="H10">
        <f>94500/112</f>
        <v>843.75</v>
      </c>
      <c r="I10" s="353">
        <f>57330/112</f>
        <v>511.875</v>
      </c>
      <c r="J10" t="s">
        <v>820</v>
      </c>
      <c r="K10" s="77">
        <f>I10/H10</f>
        <v>0.60666666666666669</v>
      </c>
    </row>
    <row r="11" spans="1:18" x14ac:dyDescent="0.25">
      <c r="C11" t="s">
        <v>818</v>
      </c>
      <c r="D11" t="s">
        <v>821</v>
      </c>
      <c r="E11">
        <v>0.13400000000000001</v>
      </c>
      <c r="F11">
        <v>3.0700000000000002E-2</v>
      </c>
    </row>
    <row r="12" spans="1:18" x14ac:dyDescent="0.25">
      <c r="C12" t="s">
        <v>822</v>
      </c>
      <c r="D12" t="s">
        <v>823</v>
      </c>
      <c r="E12">
        <v>2.8</v>
      </c>
      <c r="F12">
        <v>0.37</v>
      </c>
    </row>
    <row r="13" spans="1:18" x14ac:dyDescent="0.25">
      <c r="C13" t="s">
        <v>824</v>
      </c>
      <c r="D13" t="s">
        <v>825</v>
      </c>
      <c r="E13">
        <v>184</v>
      </c>
      <c r="F13">
        <v>91</v>
      </c>
    </row>
    <row r="14" spans="1:18" x14ac:dyDescent="0.25">
      <c r="C14" t="s">
        <v>826</v>
      </c>
      <c r="D14" t="s">
        <v>821</v>
      </c>
      <c r="E14">
        <v>4.79</v>
      </c>
      <c r="F14">
        <v>8.34</v>
      </c>
    </row>
    <row r="15" spans="1:18" x14ac:dyDescent="0.25">
      <c r="C15" t="s">
        <v>826</v>
      </c>
      <c r="D15" t="s">
        <v>827</v>
      </c>
      <c r="E15">
        <v>3.37</v>
      </c>
      <c r="F15">
        <v>15.6</v>
      </c>
    </row>
    <row r="16" spans="1:18" x14ac:dyDescent="0.25">
      <c r="C16" t="s">
        <v>828</v>
      </c>
      <c r="D16" t="s">
        <v>829</v>
      </c>
      <c r="E16">
        <v>133</v>
      </c>
      <c r="F16">
        <v>618</v>
      </c>
    </row>
    <row r="17" spans="3:11" x14ac:dyDescent="0.25">
      <c r="C17" t="s">
        <v>830</v>
      </c>
      <c r="D17" t="s">
        <v>831</v>
      </c>
      <c r="E17">
        <v>51</v>
      </c>
      <c r="F17">
        <v>-5.5</v>
      </c>
    </row>
    <row r="18" spans="3:11" x14ac:dyDescent="0.25">
      <c r="C18" t="s">
        <v>832</v>
      </c>
      <c r="D18" t="s">
        <v>831</v>
      </c>
      <c r="E18">
        <v>9.9</v>
      </c>
      <c r="F18">
        <v>-70</v>
      </c>
    </row>
    <row r="21" spans="3:11" x14ac:dyDescent="0.25">
      <c r="C21" s="489" t="s">
        <v>606</v>
      </c>
      <c r="D21" s="490"/>
      <c r="E21" s="490"/>
      <c r="F21" s="490"/>
      <c r="G21" s="490"/>
      <c r="H21" s="491"/>
    </row>
    <row r="22" spans="3:11" ht="84" customHeight="1" x14ac:dyDescent="0.25">
      <c r="C22" s="492" t="s">
        <v>319</v>
      </c>
      <c r="D22" s="478"/>
      <c r="E22" s="34" t="s">
        <v>607</v>
      </c>
      <c r="F22" s="423" t="s">
        <v>328</v>
      </c>
      <c r="G22" s="457"/>
      <c r="H22" s="458"/>
      <c r="K22" t="s">
        <v>435</v>
      </c>
    </row>
    <row r="23" spans="3:11" ht="38.25" customHeight="1" x14ac:dyDescent="0.25">
      <c r="C23" s="492"/>
      <c r="D23" s="478"/>
      <c r="E23" s="34" t="s">
        <v>19</v>
      </c>
      <c r="F23" s="462" t="s">
        <v>833</v>
      </c>
      <c r="G23" s="462"/>
      <c r="H23" s="463"/>
    </row>
    <row r="24" spans="3:11" ht="135" x14ac:dyDescent="0.25">
      <c r="C24" s="492"/>
      <c r="D24" s="478"/>
      <c r="E24" s="34" t="s">
        <v>364</v>
      </c>
      <c r="F24" s="34" t="s">
        <v>365</v>
      </c>
      <c r="G24" s="34" t="s">
        <v>366</v>
      </c>
      <c r="H24" s="61" t="s">
        <v>367</v>
      </c>
    </row>
    <row r="25" spans="3:11" ht="30" x14ac:dyDescent="0.25">
      <c r="C25" s="420" t="s">
        <v>368</v>
      </c>
      <c r="D25" s="478" t="s">
        <v>369</v>
      </c>
      <c r="E25" s="129" t="s">
        <v>370</v>
      </c>
      <c r="F25" s="60"/>
      <c r="G25" s="57"/>
      <c r="H25" s="62"/>
    </row>
    <row r="26" spans="3:11" ht="45" x14ac:dyDescent="0.25">
      <c r="C26" s="420"/>
      <c r="D26" s="478"/>
      <c r="E26" s="132" t="s">
        <v>380</v>
      </c>
      <c r="F26" s="4"/>
      <c r="G26" s="54"/>
      <c r="H26" s="61"/>
    </row>
    <row r="27" spans="3:11" ht="60" x14ac:dyDescent="0.25">
      <c r="C27" s="420"/>
      <c r="D27" s="478"/>
      <c r="E27" s="132" t="s">
        <v>394</v>
      </c>
      <c r="F27" s="59"/>
      <c r="G27" s="54"/>
      <c r="H27" s="61"/>
    </row>
    <row r="28" spans="3:11" ht="60" x14ac:dyDescent="0.25">
      <c r="C28" s="420"/>
      <c r="D28" s="478"/>
      <c r="E28" s="129" t="s">
        <v>405</v>
      </c>
      <c r="F28" s="60" t="s">
        <v>415</v>
      </c>
      <c r="G28" s="52">
        <v>512</v>
      </c>
      <c r="H28" s="62">
        <v>112</v>
      </c>
    </row>
    <row r="29" spans="3:11" ht="165" x14ac:dyDescent="0.25">
      <c r="C29" s="420"/>
      <c r="D29" s="462" t="s">
        <v>421</v>
      </c>
      <c r="E29" s="132" t="s">
        <v>422</v>
      </c>
      <c r="F29" s="38"/>
      <c r="G29" s="38" t="s">
        <v>423</v>
      </c>
      <c r="H29" s="63"/>
    </row>
    <row r="30" spans="3:11" ht="45" x14ac:dyDescent="0.25">
      <c r="C30" s="420"/>
      <c r="D30" s="462"/>
      <c r="E30" s="132" t="s">
        <v>428</v>
      </c>
      <c r="F30" s="34"/>
      <c r="G30" s="46"/>
      <c r="H30" s="61"/>
    </row>
    <row r="31" spans="3:11" ht="60" x14ac:dyDescent="0.25">
      <c r="C31" s="420"/>
      <c r="D31" s="462"/>
      <c r="E31" s="132" t="s">
        <v>429</v>
      </c>
      <c r="F31" s="38"/>
      <c r="G31" s="38"/>
      <c r="H31" s="63"/>
    </row>
    <row r="32" spans="3:11" ht="60" x14ac:dyDescent="0.25">
      <c r="C32" s="420"/>
      <c r="D32" s="462"/>
      <c r="E32" s="132" t="s">
        <v>430</v>
      </c>
      <c r="F32" s="38"/>
      <c r="G32" s="38"/>
      <c r="H32" s="63"/>
    </row>
    <row r="33" spans="3:8" ht="45" x14ac:dyDescent="0.25">
      <c r="C33" s="420"/>
      <c r="D33" s="462"/>
      <c r="E33" s="132" t="s">
        <v>432</v>
      </c>
      <c r="F33" s="59"/>
      <c r="G33" s="54"/>
      <c r="H33" s="61"/>
    </row>
    <row r="34" spans="3:8" ht="45" x14ac:dyDescent="0.25">
      <c r="C34" s="420"/>
      <c r="D34" s="462"/>
      <c r="E34" s="132" t="s">
        <v>434</v>
      </c>
      <c r="F34" s="59"/>
      <c r="G34" s="54"/>
      <c r="H34" s="61"/>
    </row>
    <row r="35" spans="3:8" ht="60" x14ac:dyDescent="0.25">
      <c r="C35" s="420"/>
      <c r="D35" s="462"/>
      <c r="E35" s="132" t="s">
        <v>436</v>
      </c>
      <c r="F35" s="34"/>
      <c r="G35" s="54"/>
      <c r="H35" s="61"/>
    </row>
    <row r="36" spans="3:8" ht="60" x14ac:dyDescent="0.25">
      <c r="C36" s="420"/>
      <c r="D36" s="462"/>
      <c r="E36" s="132" t="s">
        <v>437</v>
      </c>
      <c r="F36" s="59"/>
      <c r="G36" s="54"/>
      <c r="H36" s="61"/>
    </row>
    <row r="37" spans="3:8" ht="30" x14ac:dyDescent="0.25">
      <c r="C37" s="420" t="s">
        <v>438</v>
      </c>
      <c r="D37" s="478" t="s">
        <v>369</v>
      </c>
      <c r="E37" s="129" t="s">
        <v>370</v>
      </c>
      <c r="F37" s="60"/>
      <c r="G37" s="57"/>
      <c r="H37" s="62"/>
    </row>
    <row r="38" spans="3:8" ht="45" x14ac:dyDescent="0.25">
      <c r="C38" s="420"/>
      <c r="D38" s="478"/>
      <c r="E38" s="132" t="s">
        <v>380</v>
      </c>
      <c r="F38" s="59"/>
      <c r="G38" s="34"/>
      <c r="H38" s="61"/>
    </row>
    <row r="39" spans="3:8" ht="60" x14ac:dyDescent="0.25">
      <c r="C39" s="420"/>
      <c r="D39" s="478"/>
      <c r="E39" s="132" t="s">
        <v>394</v>
      </c>
      <c r="F39" s="34"/>
      <c r="G39" s="34"/>
      <c r="H39" s="61"/>
    </row>
    <row r="40" spans="3:8" ht="60" x14ac:dyDescent="0.25">
      <c r="C40" s="420"/>
      <c r="D40" s="478"/>
      <c r="E40" s="129" t="s">
        <v>405</v>
      </c>
      <c r="F40" s="35"/>
      <c r="G40" s="57"/>
      <c r="H40" s="62"/>
    </row>
    <row r="41" spans="3:8" ht="45" x14ac:dyDescent="0.25">
      <c r="C41" s="420"/>
      <c r="D41" s="462" t="s">
        <v>421</v>
      </c>
      <c r="E41" s="132" t="s">
        <v>453</v>
      </c>
      <c r="F41" s="38"/>
      <c r="G41" s="38"/>
      <c r="H41" s="63"/>
    </row>
    <row r="42" spans="3:8" ht="45" x14ac:dyDescent="0.25">
      <c r="C42" s="420"/>
      <c r="D42" s="462"/>
      <c r="E42" s="132" t="s">
        <v>428</v>
      </c>
      <c r="F42" s="38"/>
      <c r="G42" s="38"/>
      <c r="H42" s="63"/>
    </row>
    <row r="43" spans="3:8" ht="60" x14ac:dyDescent="0.25">
      <c r="C43" s="420"/>
      <c r="D43" s="462"/>
      <c r="E43" s="132" t="s">
        <v>429</v>
      </c>
      <c r="F43" s="38"/>
      <c r="G43" s="38"/>
      <c r="H43" s="63"/>
    </row>
    <row r="44" spans="3:8" ht="60" x14ac:dyDescent="0.25">
      <c r="C44" s="420"/>
      <c r="D44" s="462"/>
      <c r="E44" s="132" t="s">
        <v>430</v>
      </c>
      <c r="F44" s="38"/>
      <c r="G44" s="38"/>
      <c r="H44" s="63"/>
    </row>
    <row r="45" spans="3:8" ht="45" x14ac:dyDescent="0.25">
      <c r="C45" s="420"/>
      <c r="D45" s="462"/>
      <c r="E45" s="132" t="s">
        <v>432</v>
      </c>
      <c r="F45" s="59"/>
      <c r="G45" s="54"/>
      <c r="H45" s="61"/>
    </row>
    <row r="46" spans="3:8" ht="45" x14ac:dyDescent="0.25">
      <c r="C46" s="420"/>
      <c r="D46" s="462"/>
      <c r="E46" s="132" t="s">
        <v>434</v>
      </c>
      <c r="F46" s="59"/>
      <c r="G46" s="34"/>
      <c r="H46" s="61"/>
    </row>
    <row r="47" spans="3:8" ht="60" x14ac:dyDescent="0.25">
      <c r="C47" s="420"/>
      <c r="D47" s="462"/>
      <c r="E47" s="132" t="s">
        <v>436</v>
      </c>
      <c r="F47" s="34"/>
      <c r="G47" s="34"/>
      <c r="H47" s="61"/>
    </row>
    <row r="48" spans="3:8" ht="60.75" thickBot="1" x14ac:dyDescent="0.3">
      <c r="C48" s="427"/>
      <c r="D48" s="493"/>
      <c r="E48" s="194" t="s">
        <v>437</v>
      </c>
      <c r="F48" s="64"/>
      <c r="G48" s="65"/>
      <c r="H48" s="66"/>
    </row>
  </sheetData>
  <mergeCells count="12">
    <mergeCell ref="C25:C36"/>
    <mergeCell ref="D25:D28"/>
    <mergeCell ref="D29:D36"/>
    <mergeCell ref="C37:C48"/>
    <mergeCell ref="D37:D40"/>
    <mergeCell ref="D41:D48"/>
    <mergeCell ref="D2:J2"/>
    <mergeCell ref="A2:C2"/>
    <mergeCell ref="C21:H21"/>
    <mergeCell ref="C22:D24"/>
    <mergeCell ref="F22:H22"/>
    <mergeCell ref="F23:H23"/>
  </mergeCells>
  <hyperlinks>
    <hyperlink ref="B4" r:id="rId1" xr:uid="{5216BD0C-1103-4217-9DBE-702CFD57FC6E}"/>
  </hyperlinks>
  <pageMargins left="0.7" right="0.7" top="0.75" bottom="0.75" header="0.3" footer="0.3"/>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A69CC-FB5A-48F2-908C-374561765068}">
  <sheetPr>
    <tabColor theme="9" tint="0.59999389629810485"/>
  </sheetPr>
  <dimension ref="A2:Y42"/>
  <sheetViews>
    <sheetView zoomScale="70" zoomScaleNormal="70" workbookViewId="0"/>
  </sheetViews>
  <sheetFormatPr defaultRowHeight="15" x14ac:dyDescent="0.25"/>
  <cols>
    <col min="1" max="1" width="13.28515625" customWidth="1"/>
    <col min="3" max="3" width="16.85546875" customWidth="1"/>
    <col min="4" max="4" width="14.42578125" customWidth="1"/>
    <col min="5" max="5" width="15.28515625" customWidth="1"/>
    <col min="6" max="6" width="13.85546875" customWidth="1"/>
  </cols>
  <sheetData>
    <row r="2" spans="1:25" x14ac:dyDescent="0.25">
      <c r="A2" s="2" t="s">
        <v>67</v>
      </c>
      <c r="T2" s="353" t="s">
        <v>653</v>
      </c>
      <c r="U2" s="353"/>
      <c r="V2" s="353"/>
      <c r="W2" s="353"/>
      <c r="X2" s="353"/>
      <c r="Y2" s="353"/>
    </row>
    <row r="3" spans="1:25" x14ac:dyDescent="0.25">
      <c r="A3" s="2" t="s">
        <v>834</v>
      </c>
      <c r="T3" s="310" t="s">
        <v>835</v>
      </c>
      <c r="U3" s="310"/>
      <c r="V3" s="310"/>
      <c r="W3" s="310"/>
      <c r="X3" s="310"/>
      <c r="Y3" s="310"/>
    </row>
    <row r="5" spans="1:25" x14ac:dyDescent="0.25">
      <c r="A5" t="s">
        <v>836</v>
      </c>
    </row>
    <row r="7" spans="1:25" x14ac:dyDescent="0.25">
      <c r="A7" t="s">
        <v>837</v>
      </c>
      <c r="C7" s="87">
        <v>97100</v>
      </c>
      <c r="D7" t="s">
        <v>819</v>
      </c>
    </row>
    <row r="8" spans="1:25" x14ac:dyDescent="0.25">
      <c r="A8" t="s">
        <v>615</v>
      </c>
      <c r="C8" s="310">
        <v>112</v>
      </c>
      <c r="D8" t="s">
        <v>725</v>
      </c>
    </row>
    <row r="9" spans="1:25" x14ac:dyDescent="0.25">
      <c r="A9" t="s">
        <v>838</v>
      </c>
      <c r="C9" s="365">
        <f>C7/C8</f>
        <v>866.96428571428567</v>
      </c>
      <c r="D9" t="s">
        <v>839</v>
      </c>
    </row>
    <row r="10" spans="1:25" x14ac:dyDescent="0.25">
      <c r="C10" s="88"/>
    </row>
    <row r="11" spans="1:25" x14ac:dyDescent="0.25">
      <c r="A11" t="s">
        <v>840</v>
      </c>
      <c r="C11" s="88"/>
    </row>
    <row r="12" spans="1:25" x14ac:dyDescent="0.25">
      <c r="C12" s="88"/>
    </row>
    <row r="14" spans="1:25" ht="15.75" thickBot="1" x14ac:dyDescent="0.3"/>
    <row r="15" spans="1:25" x14ac:dyDescent="0.25">
      <c r="A15" s="489" t="s">
        <v>606</v>
      </c>
      <c r="B15" s="490"/>
      <c r="C15" s="490"/>
      <c r="D15" s="490"/>
      <c r="E15" s="490"/>
      <c r="F15" s="491"/>
    </row>
    <row r="16" spans="1:25" ht="30" x14ac:dyDescent="0.25">
      <c r="A16" s="492" t="s">
        <v>319</v>
      </c>
      <c r="B16" s="478"/>
      <c r="C16" s="34" t="s">
        <v>607</v>
      </c>
      <c r="D16" s="423" t="s">
        <v>67</v>
      </c>
      <c r="E16" s="457"/>
      <c r="F16" s="458"/>
    </row>
    <row r="17" spans="1:6" x14ac:dyDescent="0.25">
      <c r="A17" s="492"/>
      <c r="B17" s="478"/>
      <c r="C17" s="34" t="s">
        <v>19</v>
      </c>
      <c r="D17" s="462" t="s">
        <v>841</v>
      </c>
      <c r="E17" s="462"/>
      <c r="F17" s="463"/>
    </row>
    <row r="18" spans="1:6" ht="75" x14ac:dyDescent="0.25">
      <c r="A18" s="492"/>
      <c r="B18" s="478"/>
      <c r="C18" s="34" t="s">
        <v>364</v>
      </c>
      <c r="D18" s="34" t="s">
        <v>365</v>
      </c>
      <c r="E18" s="34" t="s">
        <v>366</v>
      </c>
      <c r="F18" s="61" t="s">
        <v>367</v>
      </c>
    </row>
    <row r="19" spans="1:6" ht="30" x14ac:dyDescent="0.25">
      <c r="A19" s="420" t="s">
        <v>368</v>
      </c>
      <c r="B19" s="478" t="s">
        <v>369</v>
      </c>
      <c r="C19" s="129" t="s">
        <v>370</v>
      </c>
      <c r="D19" s="60"/>
      <c r="E19" s="52"/>
      <c r="F19" s="62"/>
    </row>
    <row r="20" spans="1:6" ht="30" x14ac:dyDescent="0.25">
      <c r="A20" s="420"/>
      <c r="B20" s="478"/>
      <c r="C20" s="132" t="s">
        <v>380</v>
      </c>
      <c r="D20" s="4"/>
      <c r="E20" s="54"/>
      <c r="F20" s="61"/>
    </row>
    <row r="21" spans="1:6" ht="30" x14ac:dyDescent="0.25">
      <c r="A21" s="420"/>
      <c r="B21" s="478"/>
      <c r="C21" s="132" t="s">
        <v>394</v>
      </c>
      <c r="D21" s="59" t="s">
        <v>399</v>
      </c>
      <c r="E21" s="34">
        <v>867</v>
      </c>
      <c r="F21" s="61">
        <v>112</v>
      </c>
    </row>
    <row r="22" spans="1:6" ht="45" x14ac:dyDescent="0.25">
      <c r="A22" s="420"/>
      <c r="B22" s="478"/>
      <c r="C22" s="129" t="s">
        <v>405</v>
      </c>
      <c r="D22" s="60"/>
      <c r="E22" s="52"/>
      <c r="F22" s="62"/>
    </row>
    <row r="23" spans="1:6" ht="30" x14ac:dyDescent="0.25">
      <c r="A23" s="420"/>
      <c r="B23" s="462" t="s">
        <v>421</v>
      </c>
      <c r="C23" s="132" t="s">
        <v>422</v>
      </c>
      <c r="D23" s="38"/>
      <c r="E23" s="38"/>
      <c r="F23" s="63"/>
    </row>
    <row r="24" spans="1:6" ht="45" x14ac:dyDescent="0.25">
      <c r="A24" s="420"/>
      <c r="B24" s="462"/>
      <c r="C24" s="132" t="s">
        <v>428</v>
      </c>
      <c r="D24" s="34"/>
      <c r="E24" s="46"/>
      <c r="F24" s="61"/>
    </row>
    <row r="25" spans="1:6" ht="45" x14ac:dyDescent="0.25">
      <c r="A25" s="420"/>
      <c r="B25" s="462"/>
      <c r="C25" s="132" t="s">
        <v>429</v>
      </c>
      <c r="D25" s="38"/>
      <c r="E25" s="38"/>
      <c r="F25" s="63"/>
    </row>
    <row r="26" spans="1:6" ht="45" x14ac:dyDescent="0.25">
      <c r="A26" s="420"/>
      <c r="B26" s="462"/>
      <c r="C26" s="132" t="s">
        <v>430</v>
      </c>
      <c r="D26" s="38"/>
      <c r="E26" s="38"/>
      <c r="F26" s="63"/>
    </row>
    <row r="27" spans="1:6" ht="30" x14ac:dyDescent="0.25">
      <c r="A27" s="420"/>
      <c r="B27" s="462"/>
      <c r="C27" s="132" t="s">
        <v>432</v>
      </c>
      <c r="D27" s="59"/>
      <c r="E27" s="54"/>
      <c r="F27" s="61"/>
    </row>
    <row r="28" spans="1:6" ht="30" x14ac:dyDescent="0.25">
      <c r="A28" s="420"/>
      <c r="B28" s="462"/>
      <c r="C28" s="132" t="s">
        <v>434</v>
      </c>
      <c r="D28" s="59"/>
      <c r="E28" s="54"/>
      <c r="F28" s="61"/>
    </row>
    <row r="29" spans="1:6" ht="45" x14ac:dyDescent="0.25">
      <c r="A29" s="420"/>
      <c r="B29" s="462"/>
      <c r="C29" s="132" t="s">
        <v>436</v>
      </c>
      <c r="D29" s="34"/>
      <c r="E29" s="54"/>
      <c r="F29" s="61"/>
    </row>
    <row r="30" spans="1:6" ht="45" x14ac:dyDescent="0.25">
      <c r="A30" s="420"/>
      <c r="B30" s="462"/>
      <c r="C30" s="132" t="s">
        <v>437</v>
      </c>
      <c r="D30" s="59"/>
      <c r="E30" s="54"/>
      <c r="F30" s="61"/>
    </row>
    <row r="31" spans="1:6" ht="30" x14ac:dyDescent="0.25">
      <c r="A31" s="420" t="s">
        <v>438</v>
      </c>
      <c r="B31" s="478" t="s">
        <v>369</v>
      </c>
      <c r="C31" s="129" t="s">
        <v>370</v>
      </c>
      <c r="D31" s="60"/>
      <c r="E31" s="57"/>
      <c r="F31" s="62"/>
    </row>
    <row r="32" spans="1:6" ht="30" x14ac:dyDescent="0.25">
      <c r="A32" s="420"/>
      <c r="B32" s="478"/>
      <c r="C32" s="132" t="s">
        <v>380</v>
      </c>
      <c r="D32" s="59"/>
      <c r="E32" s="34"/>
      <c r="F32" s="61"/>
    </row>
    <row r="33" spans="1:6" ht="30" x14ac:dyDescent="0.25">
      <c r="A33" s="420"/>
      <c r="B33" s="478"/>
      <c r="C33" s="132" t="s">
        <v>394</v>
      </c>
      <c r="D33" s="34"/>
      <c r="E33" s="34"/>
      <c r="F33" s="61"/>
    </row>
    <row r="34" spans="1:6" ht="45" x14ac:dyDescent="0.25">
      <c r="A34" s="420"/>
      <c r="B34" s="478"/>
      <c r="C34" s="129" t="s">
        <v>405</v>
      </c>
      <c r="D34" s="35"/>
      <c r="E34" s="57"/>
      <c r="F34" s="62"/>
    </row>
    <row r="35" spans="1:6" ht="30" x14ac:dyDescent="0.25">
      <c r="A35" s="420"/>
      <c r="B35" s="462" t="s">
        <v>421</v>
      </c>
      <c r="C35" s="132" t="s">
        <v>453</v>
      </c>
      <c r="D35" s="38"/>
      <c r="E35" s="38"/>
      <c r="F35" s="63"/>
    </row>
    <row r="36" spans="1:6" ht="45" x14ac:dyDescent="0.25">
      <c r="A36" s="420"/>
      <c r="B36" s="462"/>
      <c r="C36" s="132" t="s">
        <v>428</v>
      </c>
      <c r="D36" s="38"/>
      <c r="E36" s="38"/>
      <c r="F36" s="63"/>
    </row>
    <row r="37" spans="1:6" ht="45" x14ac:dyDescent="0.25">
      <c r="A37" s="420"/>
      <c r="B37" s="462"/>
      <c r="C37" s="132" t="s">
        <v>429</v>
      </c>
      <c r="D37" s="38"/>
      <c r="E37" s="38"/>
      <c r="F37" s="63"/>
    </row>
    <row r="38" spans="1:6" ht="45" x14ac:dyDescent="0.25">
      <c r="A38" s="420"/>
      <c r="B38" s="462"/>
      <c r="C38" s="132" t="s">
        <v>430</v>
      </c>
      <c r="D38" s="38"/>
      <c r="E38" s="38"/>
      <c r="F38" s="63"/>
    </row>
    <row r="39" spans="1:6" ht="30" x14ac:dyDescent="0.25">
      <c r="A39" s="420"/>
      <c r="B39" s="462"/>
      <c r="C39" s="132" t="s">
        <v>432</v>
      </c>
      <c r="D39" s="59"/>
      <c r="E39" s="54"/>
      <c r="F39" s="61"/>
    </row>
    <row r="40" spans="1:6" ht="30" x14ac:dyDescent="0.25">
      <c r="A40" s="420"/>
      <c r="B40" s="462"/>
      <c r="C40" s="132" t="s">
        <v>434</v>
      </c>
      <c r="D40" s="59"/>
      <c r="E40" s="34"/>
      <c r="F40" s="61"/>
    </row>
    <row r="41" spans="1:6" ht="45" x14ac:dyDescent="0.25">
      <c r="A41" s="420"/>
      <c r="B41" s="462"/>
      <c r="C41" s="132" t="s">
        <v>436</v>
      </c>
      <c r="D41" s="34"/>
      <c r="E41" s="34"/>
      <c r="F41" s="61"/>
    </row>
    <row r="42" spans="1:6" ht="45.75" thickBot="1" x14ac:dyDescent="0.3">
      <c r="A42" s="427"/>
      <c r="B42" s="493"/>
      <c r="C42" s="194" t="s">
        <v>437</v>
      </c>
      <c r="D42" s="64"/>
      <c r="E42" s="65"/>
      <c r="F42" s="66"/>
    </row>
  </sheetData>
  <mergeCells count="10">
    <mergeCell ref="A31:A42"/>
    <mergeCell ref="B31:B34"/>
    <mergeCell ref="B35:B42"/>
    <mergeCell ref="A15:F15"/>
    <mergeCell ref="A16:B18"/>
    <mergeCell ref="D16:F16"/>
    <mergeCell ref="D17:F17"/>
    <mergeCell ref="A19:A30"/>
    <mergeCell ref="B19:B22"/>
    <mergeCell ref="B23:B30"/>
  </mergeCells>
  <phoneticPr fontId="1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F102"/>
  <sheetViews>
    <sheetView zoomScale="85" zoomScaleNormal="85" workbookViewId="0"/>
  </sheetViews>
  <sheetFormatPr defaultColWidth="9.140625" defaultRowHeight="15" x14ac:dyDescent="0.25"/>
  <cols>
    <col min="1" max="1" width="77" style="79" customWidth="1"/>
    <col min="2" max="2" width="38.42578125" style="79" customWidth="1"/>
    <col min="3" max="3" width="29.140625" style="205" customWidth="1"/>
    <col min="4" max="4" width="79" style="79" customWidth="1"/>
    <col min="5" max="5" width="7" style="205" customWidth="1"/>
    <col min="6" max="6" width="24.42578125" style="4" customWidth="1"/>
  </cols>
  <sheetData>
    <row r="1" spans="1:6" s="2" customFormat="1" ht="30" x14ac:dyDescent="0.25">
      <c r="A1" s="203" t="s">
        <v>19</v>
      </c>
      <c r="B1" s="203" t="s">
        <v>20</v>
      </c>
      <c r="C1" s="204" t="s">
        <v>21</v>
      </c>
      <c r="D1" s="203" t="s">
        <v>22</v>
      </c>
      <c r="E1" s="204" t="s">
        <v>23</v>
      </c>
      <c r="F1" s="201" t="s">
        <v>24</v>
      </c>
    </row>
    <row r="3" spans="1:6" ht="30" x14ac:dyDescent="0.25">
      <c r="A3" s="79" t="s">
        <v>25</v>
      </c>
      <c r="B3" s="33" t="s">
        <v>26</v>
      </c>
      <c r="C3" s="205" t="s">
        <v>27</v>
      </c>
      <c r="D3" s="79" t="s">
        <v>28</v>
      </c>
      <c r="E3" s="205">
        <v>2018</v>
      </c>
      <c r="F3" s="320">
        <v>1</v>
      </c>
    </row>
    <row r="4" spans="1:6" s="23" customFormat="1" ht="30" x14ac:dyDescent="0.25">
      <c r="A4" s="79" t="s">
        <v>29</v>
      </c>
      <c r="B4" s="33" t="s">
        <v>30</v>
      </c>
      <c r="C4" s="205" t="s">
        <v>27</v>
      </c>
      <c r="D4" s="79" t="s">
        <v>31</v>
      </c>
      <c r="E4" s="205">
        <v>2018</v>
      </c>
      <c r="F4" s="4">
        <v>1</v>
      </c>
    </row>
    <row r="5" spans="1:6" ht="30" x14ac:dyDescent="0.25">
      <c r="A5" s="79" t="s">
        <v>32</v>
      </c>
      <c r="B5" s="79" t="s">
        <v>33</v>
      </c>
      <c r="C5" s="205" t="s">
        <v>27</v>
      </c>
      <c r="D5" s="79" t="s">
        <v>34</v>
      </c>
      <c r="E5" s="205">
        <v>2011</v>
      </c>
    </row>
    <row r="6" spans="1:6" ht="90" x14ac:dyDescent="0.25">
      <c r="A6" s="79" t="s">
        <v>35</v>
      </c>
      <c r="B6" s="79" t="s">
        <v>36</v>
      </c>
      <c r="C6" s="205" t="s">
        <v>37</v>
      </c>
      <c r="D6" s="79" t="s">
        <v>38</v>
      </c>
      <c r="E6" s="205">
        <v>2017</v>
      </c>
    </row>
    <row r="7" spans="1:6" ht="30" x14ac:dyDescent="0.25">
      <c r="A7" s="79" t="s">
        <v>39</v>
      </c>
      <c r="B7" s="79" t="s">
        <v>40</v>
      </c>
      <c r="C7" s="205" t="s">
        <v>41</v>
      </c>
      <c r="D7" s="79" t="s">
        <v>42</v>
      </c>
      <c r="E7" s="205">
        <v>2018</v>
      </c>
    </row>
    <row r="8" spans="1:6" ht="60" x14ac:dyDescent="0.25">
      <c r="A8" s="79" t="s">
        <v>43</v>
      </c>
      <c r="B8" s="79" t="s">
        <v>44</v>
      </c>
      <c r="C8" s="205" t="s">
        <v>27</v>
      </c>
      <c r="D8" s="79" t="s">
        <v>45</v>
      </c>
      <c r="E8" s="205">
        <v>2009</v>
      </c>
      <c r="F8" s="98">
        <v>1</v>
      </c>
    </row>
    <row r="9" spans="1:6" ht="30" x14ac:dyDescent="0.25">
      <c r="A9" s="79" t="s">
        <v>46</v>
      </c>
      <c r="B9" s="79" t="s">
        <v>47</v>
      </c>
      <c r="C9" s="205" t="s">
        <v>27</v>
      </c>
      <c r="D9" s="79" t="s">
        <v>48</v>
      </c>
      <c r="E9" s="205">
        <v>2015</v>
      </c>
      <c r="F9" s="98">
        <v>1</v>
      </c>
    </row>
    <row r="10" spans="1:6" ht="45" x14ac:dyDescent="0.25">
      <c r="A10" s="79" t="s">
        <v>49</v>
      </c>
      <c r="B10" s="79" t="s">
        <v>50</v>
      </c>
      <c r="C10" s="205" t="s">
        <v>37</v>
      </c>
      <c r="D10" s="79" t="s">
        <v>51</v>
      </c>
      <c r="E10" s="205">
        <v>2007</v>
      </c>
    </row>
    <row r="11" spans="1:6" ht="75" x14ac:dyDescent="0.25">
      <c r="A11" s="79" t="s">
        <v>52</v>
      </c>
      <c r="B11" s="79" t="s">
        <v>53</v>
      </c>
      <c r="C11" s="205" t="s">
        <v>37</v>
      </c>
      <c r="D11" s="79" t="s">
        <v>54</v>
      </c>
      <c r="E11" s="205">
        <v>2014</v>
      </c>
    </row>
    <row r="12" spans="1:6" ht="45" x14ac:dyDescent="0.25">
      <c r="A12" s="79" t="s">
        <v>55</v>
      </c>
      <c r="B12" s="79" t="s">
        <v>56</v>
      </c>
      <c r="C12" s="205" t="s">
        <v>57</v>
      </c>
      <c r="D12" s="79" t="s">
        <v>58</v>
      </c>
      <c r="E12" s="205">
        <v>1999</v>
      </c>
    </row>
    <row r="13" spans="1:6" ht="30" x14ac:dyDescent="0.25">
      <c r="A13" s="79" t="s">
        <v>59</v>
      </c>
      <c r="B13" s="79" t="s">
        <v>60</v>
      </c>
      <c r="C13" s="205" t="s">
        <v>27</v>
      </c>
      <c r="D13" s="79" t="s">
        <v>61</v>
      </c>
      <c r="E13" s="205">
        <v>2013</v>
      </c>
      <c r="F13" s="202"/>
    </row>
    <row r="14" spans="1:6" ht="45" x14ac:dyDescent="0.25">
      <c r="A14" s="79" t="s">
        <v>62</v>
      </c>
      <c r="B14" s="79" t="s">
        <v>63</v>
      </c>
      <c r="C14" s="205" t="s">
        <v>37</v>
      </c>
      <c r="D14" s="79" t="s">
        <v>64</v>
      </c>
      <c r="E14" s="206">
        <v>2016</v>
      </c>
    </row>
    <row r="15" spans="1:6" x14ac:dyDescent="0.25">
      <c r="A15" s="79" t="s">
        <v>65</v>
      </c>
      <c r="B15" s="79" t="s">
        <v>66</v>
      </c>
      <c r="C15" s="205" t="s">
        <v>27</v>
      </c>
      <c r="D15" s="79" t="s">
        <v>67</v>
      </c>
      <c r="E15" s="205">
        <v>2016</v>
      </c>
      <c r="F15" s="98">
        <v>1</v>
      </c>
    </row>
    <row r="16" spans="1:6" ht="30" x14ac:dyDescent="0.25">
      <c r="A16" s="79" t="s">
        <v>68</v>
      </c>
      <c r="B16" s="79" t="s">
        <v>69</v>
      </c>
      <c r="C16" s="205" t="s">
        <v>27</v>
      </c>
      <c r="D16" s="79" t="s">
        <v>70</v>
      </c>
      <c r="E16" s="205">
        <v>2014</v>
      </c>
      <c r="F16" s="98">
        <v>1</v>
      </c>
    </row>
    <row r="17" spans="1:6" ht="30" x14ac:dyDescent="0.25">
      <c r="A17" s="79" t="s">
        <v>71</v>
      </c>
      <c r="B17" s="79" t="s">
        <v>72</v>
      </c>
      <c r="C17" s="205" t="s">
        <v>27</v>
      </c>
      <c r="D17" s="79" t="s">
        <v>73</v>
      </c>
      <c r="E17" s="205">
        <v>2015</v>
      </c>
    </row>
    <row r="18" spans="1:6" x14ac:dyDescent="0.25">
      <c r="A18" s="79" t="s">
        <v>74</v>
      </c>
      <c r="B18" s="79" t="s">
        <v>75</v>
      </c>
      <c r="C18" s="205" t="s">
        <v>76</v>
      </c>
      <c r="D18" s="79" t="s">
        <v>77</v>
      </c>
      <c r="E18" s="205">
        <v>2008</v>
      </c>
      <c r="F18" s="98">
        <v>1</v>
      </c>
    </row>
    <row r="19" spans="1:6" x14ac:dyDescent="0.25">
      <c r="A19" s="79" t="s">
        <v>78</v>
      </c>
      <c r="B19" s="79" t="s">
        <v>79</v>
      </c>
      <c r="C19" s="205" t="s">
        <v>76</v>
      </c>
      <c r="D19" s="79" t="s">
        <v>80</v>
      </c>
      <c r="E19" s="205">
        <v>2007</v>
      </c>
    </row>
    <row r="20" spans="1:6" ht="27" customHeight="1" x14ac:dyDescent="0.25">
      <c r="A20" s="79" t="s">
        <v>81</v>
      </c>
      <c r="B20" s="79" t="s">
        <v>82</v>
      </c>
      <c r="C20" s="205" t="s">
        <v>83</v>
      </c>
      <c r="D20" s="79" t="s">
        <v>84</v>
      </c>
      <c r="E20" s="205">
        <v>2012</v>
      </c>
    </row>
    <row r="21" spans="1:6" ht="90" x14ac:dyDescent="0.25">
      <c r="A21" s="79" t="s">
        <v>85</v>
      </c>
      <c r="B21" s="79" t="s">
        <v>86</v>
      </c>
      <c r="C21" s="205" t="s">
        <v>27</v>
      </c>
      <c r="D21" s="79" t="s">
        <v>87</v>
      </c>
      <c r="E21" s="205">
        <v>2017</v>
      </c>
      <c r="F21" s="98">
        <v>1</v>
      </c>
    </row>
    <row r="22" spans="1:6" ht="30" x14ac:dyDescent="0.25">
      <c r="A22" s="79" t="s">
        <v>88</v>
      </c>
      <c r="B22" s="79" t="s">
        <v>89</v>
      </c>
      <c r="C22" s="205" t="s">
        <v>37</v>
      </c>
      <c r="D22" s="79" t="s">
        <v>90</v>
      </c>
      <c r="E22" s="205">
        <v>2017</v>
      </c>
    </row>
    <row r="23" spans="1:6" ht="60" x14ac:dyDescent="0.25">
      <c r="A23" s="79" t="s">
        <v>91</v>
      </c>
      <c r="B23" s="79" t="s">
        <v>92</v>
      </c>
      <c r="C23" s="205" t="s">
        <v>27</v>
      </c>
      <c r="D23" s="79" t="s">
        <v>93</v>
      </c>
      <c r="E23" s="205">
        <v>2017</v>
      </c>
    </row>
    <row r="24" spans="1:6" ht="30" x14ac:dyDescent="0.25">
      <c r="A24" s="79" t="s">
        <v>94</v>
      </c>
      <c r="B24" s="396" t="s">
        <v>95</v>
      </c>
      <c r="C24" s="205" t="s">
        <v>27</v>
      </c>
      <c r="D24" s="79" t="s">
        <v>96</v>
      </c>
      <c r="E24" s="205">
        <v>2014</v>
      </c>
    </row>
    <row r="25" spans="1:6" ht="30" x14ac:dyDescent="0.25">
      <c r="A25" s="79" t="s">
        <v>97</v>
      </c>
      <c r="B25" s="79" t="s">
        <v>98</v>
      </c>
      <c r="C25" s="205" t="s">
        <v>37</v>
      </c>
      <c r="D25" s="79" t="s">
        <v>99</v>
      </c>
      <c r="E25" s="205">
        <v>2008</v>
      </c>
      <c r="F25" s="98">
        <v>1</v>
      </c>
    </row>
    <row r="26" spans="1:6" ht="30" x14ac:dyDescent="0.25">
      <c r="A26" s="79" t="s">
        <v>100</v>
      </c>
      <c r="B26" s="79" t="s">
        <v>101</v>
      </c>
      <c r="C26" s="205" t="s">
        <v>27</v>
      </c>
      <c r="D26" s="79" t="s">
        <v>102</v>
      </c>
      <c r="E26" s="205">
        <v>2014</v>
      </c>
      <c r="F26" s="202"/>
    </row>
    <row r="27" spans="1:6" ht="30" x14ac:dyDescent="0.25">
      <c r="A27" s="79" t="s">
        <v>103</v>
      </c>
      <c r="B27" s="79" t="s">
        <v>104</v>
      </c>
      <c r="C27" s="205" t="s">
        <v>83</v>
      </c>
      <c r="D27" s="79" t="s">
        <v>105</v>
      </c>
      <c r="E27" s="205">
        <v>2011</v>
      </c>
    </row>
    <row r="28" spans="1:6" ht="45" x14ac:dyDescent="0.25">
      <c r="A28" s="79" t="s">
        <v>103</v>
      </c>
      <c r="B28" s="79" t="s">
        <v>106</v>
      </c>
      <c r="C28" s="205" t="s">
        <v>83</v>
      </c>
      <c r="D28" s="79" t="s">
        <v>107</v>
      </c>
      <c r="E28" s="205">
        <v>2011</v>
      </c>
    </row>
    <row r="29" spans="1:6" ht="45" x14ac:dyDescent="0.25">
      <c r="A29" s="79" t="s">
        <v>103</v>
      </c>
      <c r="B29" s="79" t="s">
        <v>108</v>
      </c>
      <c r="C29" s="205" t="s">
        <v>83</v>
      </c>
      <c r="D29" s="79" t="s">
        <v>109</v>
      </c>
      <c r="E29" s="205">
        <v>2011</v>
      </c>
    </row>
    <row r="30" spans="1:6" ht="30" x14ac:dyDescent="0.25">
      <c r="A30" s="79" t="s">
        <v>103</v>
      </c>
      <c r="B30" s="79" t="s">
        <v>110</v>
      </c>
      <c r="C30" s="205" t="s">
        <v>83</v>
      </c>
      <c r="D30" s="79" t="s">
        <v>111</v>
      </c>
      <c r="E30" s="205">
        <v>2011</v>
      </c>
    </row>
    <row r="31" spans="1:6" ht="30" x14ac:dyDescent="0.25">
      <c r="A31" s="79" t="s">
        <v>103</v>
      </c>
      <c r="B31" s="79" t="s">
        <v>112</v>
      </c>
      <c r="C31" s="205" t="s">
        <v>83</v>
      </c>
      <c r="D31" s="79" t="s">
        <v>113</v>
      </c>
      <c r="E31" s="205">
        <v>2015</v>
      </c>
    </row>
    <row r="32" spans="1:6" ht="30" x14ac:dyDescent="0.25">
      <c r="A32" s="79" t="s">
        <v>114</v>
      </c>
      <c r="B32" s="79" t="s">
        <v>115</v>
      </c>
      <c r="C32" s="205" t="s">
        <v>76</v>
      </c>
      <c r="D32" s="79" t="s">
        <v>116</v>
      </c>
      <c r="E32" s="205">
        <v>2020</v>
      </c>
      <c r="F32" s="208">
        <v>1</v>
      </c>
    </row>
    <row r="33" spans="1:6" ht="45" x14ac:dyDescent="0.25">
      <c r="A33" s="79" t="s">
        <v>117</v>
      </c>
      <c r="B33" s="79" t="s">
        <v>118</v>
      </c>
      <c r="C33" s="205" t="s">
        <v>83</v>
      </c>
      <c r="D33" s="79" t="s">
        <v>119</v>
      </c>
      <c r="E33" s="205">
        <v>2016</v>
      </c>
    </row>
    <row r="34" spans="1:6" ht="30" x14ac:dyDescent="0.25">
      <c r="A34" s="79" t="s">
        <v>120</v>
      </c>
      <c r="B34" s="79" t="s">
        <v>121</v>
      </c>
      <c r="C34" s="205" t="s">
        <v>37</v>
      </c>
      <c r="D34" s="79" t="s">
        <v>122</v>
      </c>
      <c r="E34" s="205">
        <v>2004</v>
      </c>
    </row>
    <row r="35" spans="1:6" ht="30" x14ac:dyDescent="0.25">
      <c r="A35" s="79" t="s">
        <v>123</v>
      </c>
      <c r="B35" s="79" t="s">
        <v>124</v>
      </c>
      <c r="C35" s="205" t="s">
        <v>41</v>
      </c>
      <c r="D35" s="79" t="s">
        <v>125</v>
      </c>
      <c r="E35" s="205">
        <v>2012</v>
      </c>
      <c r="F35" s="21"/>
    </row>
    <row r="36" spans="1:6" ht="30" x14ac:dyDescent="0.25">
      <c r="A36" s="79" t="s">
        <v>126</v>
      </c>
      <c r="B36" s="406" t="s">
        <v>127</v>
      </c>
      <c r="C36" s="205" t="s">
        <v>128</v>
      </c>
      <c r="D36" s="79" t="s">
        <v>129</v>
      </c>
      <c r="E36" s="206">
        <v>2014</v>
      </c>
      <c r="F36" s="98">
        <v>1</v>
      </c>
    </row>
    <row r="37" spans="1:6" ht="65.25" customHeight="1" x14ac:dyDescent="0.25">
      <c r="A37" s="79" t="s">
        <v>126</v>
      </c>
      <c r="B37" s="79" t="s">
        <v>130</v>
      </c>
      <c r="C37" s="205" t="s">
        <v>128</v>
      </c>
      <c r="D37" s="79" t="s">
        <v>131</v>
      </c>
      <c r="E37" s="205">
        <v>2016</v>
      </c>
    </row>
    <row r="38" spans="1:6" ht="45" x14ac:dyDescent="0.25">
      <c r="A38" s="79" t="s">
        <v>132</v>
      </c>
      <c r="B38" s="79" t="s">
        <v>133</v>
      </c>
      <c r="C38" s="205" t="s">
        <v>57</v>
      </c>
      <c r="D38" s="79" t="s">
        <v>134</v>
      </c>
      <c r="E38" s="205">
        <v>2021</v>
      </c>
    </row>
    <row r="39" spans="1:6" ht="15.75" x14ac:dyDescent="0.25">
      <c r="A39" s="79" t="s">
        <v>135</v>
      </c>
      <c r="C39" s="205" t="s">
        <v>136</v>
      </c>
      <c r="D39" s="387" t="s">
        <v>137</v>
      </c>
      <c r="E39" s="205">
        <v>2019</v>
      </c>
      <c r="F39" s="4">
        <v>1</v>
      </c>
    </row>
    <row r="40" spans="1:6" ht="30" x14ac:dyDescent="0.25">
      <c r="A40" s="79" t="s">
        <v>138</v>
      </c>
      <c r="B40" s="8" t="s">
        <v>98</v>
      </c>
      <c r="C40" s="205" t="s">
        <v>37</v>
      </c>
      <c r="D40" s="79" t="s">
        <v>139</v>
      </c>
      <c r="E40" s="205">
        <v>2009</v>
      </c>
      <c r="F40" s="4">
        <v>1</v>
      </c>
    </row>
    <row r="41" spans="1:6" x14ac:dyDescent="0.25">
      <c r="A41" s="79" t="s">
        <v>140</v>
      </c>
      <c r="B41" s="79" t="s">
        <v>141</v>
      </c>
      <c r="C41" s="205" t="s">
        <v>142</v>
      </c>
      <c r="D41" s="79" t="s">
        <v>143</v>
      </c>
      <c r="E41" s="205">
        <v>2008</v>
      </c>
    </row>
    <row r="42" spans="1:6" ht="77.25" customHeight="1" x14ac:dyDescent="0.25">
      <c r="A42" s="79" t="s">
        <v>144</v>
      </c>
      <c r="B42" s="79" t="s">
        <v>145</v>
      </c>
      <c r="C42" s="205" t="s">
        <v>76</v>
      </c>
      <c r="D42" s="79" t="s">
        <v>146</v>
      </c>
      <c r="E42" s="205">
        <v>2006</v>
      </c>
      <c r="F42" s="98">
        <v>1</v>
      </c>
    </row>
    <row r="43" spans="1:6" ht="30" x14ac:dyDescent="0.25">
      <c r="A43" s="79" t="s">
        <v>147</v>
      </c>
      <c r="B43" s="79" t="s">
        <v>148</v>
      </c>
      <c r="C43" s="205" t="s">
        <v>76</v>
      </c>
      <c r="D43" s="79" t="s">
        <v>149</v>
      </c>
      <c r="E43" s="205">
        <v>2012</v>
      </c>
      <c r="F43" s="98">
        <v>1</v>
      </c>
    </row>
    <row r="44" spans="1:6" x14ac:dyDescent="0.25">
      <c r="A44" s="79" t="s">
        <v>150</v>
      </c>
      <c r="B44" s="79" t="s">
        <v>151</v>
      </c>
      <c r="C44" s="205" t="s">
        <v>83</v>
      </c>
      <c r="D44" s="79" t="s">
        <v>152</v>
      </c>
      <c r="E44" s="205">
        <v>2019</v>
      </c>
      <c r="F44" s="98">
        <v>1</v>
      </c>
    </row>
    <row r="45" spans="1:6" ht="30" x14ac:dyDescent="0.25">
      <c r="A45" s="79" t="s">
        <v>153</v>
      </c>
      <c r="B45" s="79" t="s">
        <v>154</v>
      </c>
      <c r="C45" s="205" t="s">
        <v>83</v>
      </c>
      <c r="D45" s="79" t="s">
        <v>155</v>
      </c>
      <c r="E45" s="205">
        <v>2021</v>
      </c>
    </row>
    <row r="46" spans="1:6" ht="201.95" customHeight="1" x14ac:dyDescent="0.25">
      <c r="A46" s="79" t="s">
        <v>156</v>
      </c>
      <c r="B46" s="79" t="s">
        <v>157</v>
      </c>
      <c r="C46" s="205" t="s">
        <v>37</v>
      </c>
      <c r="D46" s="79" t="s">
        <v>158</v>
      </c>
      <c r="E46" s="205">
        <v>2006</v>
      </c>
    </row>
    <row r="47" spans="1:6" ht="132" customHeight="1" x14ac:dyDescent="0.25">
      <c r="A47" s="79" t="s">
        <v>159</v>
      </c>
      <c r="B47" s="79" t="s">
        <v>160</v>
      </c>
      <c r="C47" s="376" t="s">
        <v>161</v>
      </c>
      <c r="D47" s="79" t="s">
        <v>162</v>
      </c>
      <c r="E47" s="205">
        <v>2014</v>
      </c>
    </row>
    <row r="48" spans="1:6" ht="30" x14ac:dyDescent="0.25">
      <c r="A48" s="79" t="s">
        <v>163</v>
      </c>
      <c r="B48" s="79" t="s">
        <v>164</v>
      </c>
      <c r="C48" s="205" t="s">
        <v>76</v>
      </c>
      <c r="D48" s="79" t="s">
        <v>165</v>
      </c>
    </row>
    <row r="49" spans="1:6" ht="30" x14ac:dyDescent="0.25">
      <c r="A49" s="79" t="s">
        <v>166</v>
      </c>
      <c r="B49" s="396" t="s">
        <v>167</v>
      </c>
      <c r="C49" s="205" t="s">
        <v>37</v>
      </c>
      <c r="D49" s="79" t="s">
        <v>168</v>
      </c>
      <c r="E49" s="205">
        <v>2020</v>
      </c>
      <c r="F49" s="98">
        <v>1</v>
      </c>
    </row>
    <row r="50" spans="1:6" s="23" customFormat="1" ht="45" x14ac:dyDescent="0.25">
      <c r="A50" s="79" t="s">
        <v>169</v>
      </c>
      <c r="B50" s="396" t="s">
        <v>170</v>
      </c>
      <c r="C50" s="205" t="s">
        <v>37</v>
      </c>
      <c r="D50" s="79" t="s">
        <v>171</v>
      </c>
      <c r="E50" s="205">
        <v>2021</v>
      </c>
      <c r="F50" s="4"/>
    </row>
    <row r="51" spans="1:6" s="23" customFormat="1" ht="57" customHeight="1" x14ac:dyDescent="0.25">
      <c r="A51" s="79" t="s">
        <v>172</v>
      </c>
      <c r="B51" s="79" t="s">
        <v>173</v>
      </c>
      <c r="C51" s="205" t="s">
        <v>83</v>
      </c>
      <c r="D51" s="79" t="s">
        <v>174</v>
      </c>
      <c r="E51" s="205">
        <v>2012</v>
      </c>
      <c r="F51" s="4"/>
    </row>
    <row r="52" spans="1:6" x14ac:dyDescent="0.25">
      <c r="A52" s="79" t="s">
        <v>175</v>
      </c>
      <c r="B52" s="396" t="s">
        <v>176</v>
      </c>
      <c r="C52" s="205" t="s">
        <v>41</v>
      </c>
      <c r="D52" s="79" t="s">
        <v>177</v>
      </c>
      <c r="E52" s="205" t="s">
        <v>178</v>
      </c>
    </row>
    <row r="53" spans="1:6" x14ac:dyDescent="0.25">
      <c r="A53" s="79" t="s">
        <v>179</v>
      </c>
      <c r="B53" s="79" t="s">
        <v>173</v>
      </c>
      <c r="C53" s="205" t="s">
        <v>83</v>
      </c>
      <c r="D53" s="79" t="s">
        <v>180</v>
      </c>
      <c r="E53" s="205">
        <v>2012</v>
      </c>
      <c r="F53" s="98">
        <v>1</v>
      </c>
    </row>
    <row r="54" spans="1:6" ht="45" x14ac:dyDescent="0.25">
      <c r="A54" s="79" t="s">
        <v>181</v>
      </c>
      <c r="B54" s="79" t="s">
        <v>182</v>
      </c>
      <c r="C54" s="205" t="s">
        <v>183</v>
      </c>
      <c r="D54" s="79" t="s">
        <v>184</v>
      </c>
      <c r="E54" s="205">
        <v>2016</v>
      </c>
      <c r="F54" s="98">
        <v>1</v>
      </c>
    </row>
    <row r="55" spans="1:6" ht="41.25" customHeight="1" x14ac:dyDescent="0.25">
      <c r="A55" s="79" t="s">
        <v>185</v>
      </c>
      <c r="B55" s="79" t="s">
        <v>186</v>
      </c>
      <c r="C55" s="205" t="s">
        <v>187</v>
      </c>
      <c r="D55" s="79" t="s">
        <v>188</v>
      </c>
      <c r="E55" s="205">
        <v>2022</v>
      </c>
    </row>
    <row r="56" spans="1:6" ht="30" x14ac:dyDescent="0.25">
      <c r="A56" s="79" t="s">
        <v>189</v>
      </c>
      <c r="B56" s="79" t="s">
        <v>190</v>
      </c>
      <c r="C56" s="205" t="s">
        <v>27</v>
      </c>
      <c r="D56" s="79" t="s">
        <v>191</v>
      </c>
      <c r="E56" s="205">
        <v>2019</v>
      </c>
    </row>
    <row r="57" spans="1:6" x14ac:dyDescent="0.25">
      <c r="A57" s="79" t="s">
        <v>192</v>
      </c>
      <c r="B57" s="6" t="s">
        <v>148</v>
      </c>
      <c r="C57" s="205" t="s">
        <v>76</v>
      </c>
      <c r="D57" s="79" t="s">
        <v>193</v>
      </c>
    </row>
    <row r="58" spans="1:6" x14ac:dyDescent="0.25">
      <c r="A58" s="79" t="s">
        <v>194</v>
      </c>
      <c r="B58" s="79" t="s">
        <v>195</v>
      </c>
      <c r="C58" s="205" t="s">
        <v>37</v>
      </c>
      <c r="D58" s="79" t="s">
        <v>196</v>
      </c>
      <c r="E58" s="205">
        <v>2013</v>
      </c>
      <c r="F58" s="98">
        <v>1</v>
      </c>
    </row>
    <row r="59" spans="1:6" ht="30" x14ac:dyDescent="0.25">
      <c r="A59" s="79" t="s">
        <v>197</v>
      </c>
      <c r="B59" s="79" t="s">
        <v>198</v>
      </c>
      <c r="C59" s="205" t="s">
        <v>37</v>
      </c>
      <c r="D59" s="79" t="s">
        <v>199</v>
      </c>
      <c r="E59" s="205">
        <v>2013</v>
      </c>
    </row>
    <row r="60" spans="1:6" ht="105" x14ac:dyDescent="0.25">
      <c r="A60" s="79" t="s">
        <v>200</v>
      </c>
      <c r="B60" s="79" t="s">
        <v>201</v>
      </c>
      <c r="C60" s="205" t="s">
        <v>27</v>
      </c>
      <c r="D60" s="79" t="s">
        <v>202</v>
      </c>
      <c r="E60" s="205">
        <v>2017</v>
      </c>
    </row>
    <row r="61" spans="1:6" ht="45" x14ac:dyDescent="0.25">
      <c r="A61" s="79" t="s">
        <v>203</v>
      </c>
      <c r="B61" s="79" t="s">
        <v>204</v>
      </c>
      <c r="C61" s="205" t="s">
        <v>57</v>
      </c>
      <c r="D61" s="79" t="s">
        <v>205</v>
      </c>
      <c r="E61" s="205">
        <v>2009</v>
      </c>
      <c r="F61" s="98">
        <v>1</v>
      </c>
    </row>
    <row r="62" spans="1:6" ht="30" x14ac:dyDescent="0.25">
      <c r="A62" s="79" t="s">
        <v>206</v>
      </c>
      <c r="B62" s="79" t="s">
        <v>207</v>
      </c>
      <c r="C62" s="205" t="s">
        <v>83</v>
      </c>
      <c r="D62" s="79" t="s">
        <v>208</v>
      </c>
      <c r="E62" s="205">
        <v>2006</v>
      </c>
      <c r="F62" s="320">
        <v>1</v>
      </c>
    </row>
    <row r="63" spans="1:6" ht="90" x14ac:dyDescent="0.25">
      <c r="A63" s="79" t="s">
        <v>209</v>
      </c>
      <c r="B63" s="79" t="s">
        <v>210</v>
      </c>
      <c r="C63" s="205" t="s">
        <v>27</v>
      </c>
      <c r="D63" s="79" t="s">
        <v>211</v>
      </c>
      <c r="E63" s="205">
        <v>2017</v>
      </c>
      <c r="F63" s="98">
        <v>1</v>
      </c>
    </row>
    <row r="64" spans="1:6" x14ac:dyDescent="0.25">
      <c r="A64" s="79" t="s">
        <v>212</v>
      </c>
      <c r="B64" s="79" t="s">
        <v>213</v>
      </c>
      <c r="C64" s="205" t="s">
        <v>27</v>
      </c>
      <c r="D64" s="79" t="s">
        <v>214</v>
      </c>
      <c r="E64" s="205">
        <v>1989</v>
      </c>
      <c r="F64" s="98">
        <v>1</v>
      </c>
    </row>
    <row r="65" spans="1:6" ht="30" x14ac:dyDescent="0.25">
      <c r="A65" s="79" t="s">
        <v>215</v>
      </c>
      <c r="B65" s="79" t="s">
        <v>216</v>
      </c>
      <c r="C65" s="205" t="s">
        <v>37</v>
      </c>
      <c r="D65" s="79" t="s">
        <v>217</v>
      </c>
      <c r="E65" s="205">
        <v>2018</v>
      </c>
    </row>
    <row r="66" spans="1:6" ht="30" x14ac:dyDescent="0.25">
      <c r="A66" s="79" t="s">
        <v>218</v>
      </c>
      <c r="B66" s="79" t="s">
        <v>219</v>
      </c>
      <c r="C66" s="205" t="s">
        <v>76</v>
      </c>
      <c r="D66" s="79" t="s">
        <v>220</v>
      </c>
      <c r="E66" s="205">
        <v>2020</v>
      </c>
    </row>
    <row r="67" spans="1:6" x14ac:dyDescent="0.25">
      <c r="A67" s="79" t="s">
        <v>221</v>
      </c>
      <c r="B67" s="79" t="s">
        <v>221</v>
      </c>
      <c r="C67" s="205" t="s">
        <v>222</v>
      </c>
      <c r="D67" s="79" t="s">
        <v>223</v>
      </c>
      <c r="E67" s="205">
        <v>2005</v>
      </c>
    </row>
    <row r="68" spans="1:6" ht="30" x14ac:dyDescent="0.25">
      <c r="A68" s="79" t="s">
        <v>224</v>
      </c>
      <c r="B68" s="79" t="s">
        <v>225</v>
      </c>
      <c r="C68" s="205" t="s">
        <v>226</v>
      </c>
      <c r="D68" s="79" t="s">
        <v>227</v>
      </c>
      <c r="E68" s="205">
        <v>2019</v>
      </c>
    </row>
    <row r="69" spans="1:6" ht="60" x14ac:dyDescent="0.25">
      <c r="A69" s="79" t="s">
        <v>228</v>
      </c>
      <c r="B69" s="79" t="s">
        <v>229</v>
      </c>
      <c r="C69" s="205" t="s">
        <v>57</v>
      </c>
      <c r="D69" s="79" t="s">
        <v>230</v>
      </c>
      <c r="E69" s="205">
        <v>2018</v>
      </c>
    </row>
    <row r="70" spans="1:6" ht="30" x14ac:dyDescent="0.25">
      <c r="A70" s="79" t="s">
        <v>231</v>
      </c>
      <c r="B70" s="79" t="s">
        <v>232</v>
      </c>
      <c r="C70" s="205" t="s">
        <v>37</v>
      </c>
      <c r="D70" s="79" t="s">
        <v>233</v>
      </c>
      <c r="E70" s="205">
        <v>2021</v>
      </c>
    </row>
    <row r="71" spans="1:6" ht="43.5" customHeight="1" x14ac:dyDescent="0.25">
      <c r="A71" s="79" t="s">
        <v>234</v>
      </c>
      <c r="B71" s="79" t="s">
        <v>235</v>
      </c>
      <c r="C71" s="205" t="s">
        <v>27</v>
      </c>
      <c r="D71" s="79" t="s">
        <v>236</v>
      </c>
      <c r="E71" s="205">
        <v>2017</v>
      </c>
    </row>
    <row r="72" spans="1:6" ht="30" x14ac:dyDescent="0.25">
      <c r="A72" s="79" t="s">
        <v>237</v>
      </c>
      <c r="B72" s="79" t="s">
        <v>238</v>
      </c>
      <c r="C72" s="205" t="s">
        <v>27</v>
      </c>
      <c r="D72" s="79" t="s">
        <v>239</v>
      </c>
      <c r="E72" s="205">
        <v>2015</v>
      </c>
    </row>
    <row r="73" spans="1:6" ht="54" customHeight="1" x14ac:dyDescent="0.25">
      <c r="A73" s="79" t="s">
        <v>240</v>
      </c>
      <c r="B73" s="79" t="s">
        <v>241</v>
      </c>
      <c r="C73" s="205" t="s">
        <v>76</v>
      </c>
      <c r="D73" s="79" t="s">
        <v>242</v>
      </c>
      <c r="E73" s="205">
        <v>2017</v>
      </c>
    </row>
    <row r="74" spans="1:6" x14ac:dyDescent="0.25">
      <c r="A74" s="79" t="s">
        <v>243</v>
      </c>
      <c r="B74" s="79" t="s">
        <v>115</v>
      </c>
      <c r="C74" s="205" t="s">
        <v>83</v>
      </c>
      <c r="D74" s="79" t="s">
        <v>244</v>
      </c>
      <c r="E74" s="205">
        <v>2020</v>
      </c>
      <c r="F74" s="98">
        <v>1</v>
      </c>
    </row>
    <row r="75" spans="1:6" ht="30" x14ac:dyDescent="0.25">
      <c r="A75" s="79" t="s">
        <v>245</v>
      </c>
      <c r="B75" s="79" t="s">
        <v>115</v>
      </c>
      <c r="C75" s="205" t="s">
        <v>83</v>
      </c>
      <c r="D75" s="79" t="s">
        <v>246</v>
      </c>
      <c r="E75" s="205">
        <v>2020</v>
      </c>
    </row>
    <row r="76" spans="1:6" ht="76.5" customHeight="1" x14ac:dyDescent="0.25">
      <c r="A76" s="79" t="s">
        <v>247</v>
      </c>
      <c r="B76" s="79" t="s">
        <v>248</v>
      </c>
      <c r="C76" s="205" t="s">
        <v>76</v>
      </c>
      <c r="D76" s="79" t="s">
        <v>249</v>
      </c>
      <c r="E76" s="205">
        <v>2020</v>
      </c>
    </row>
    <row r="77" spans="1:6" x14ac:dyDescent="0.25">
      <c r="A77" s="79" t="s">
        <v>250</v>
      </c>
      <c r="B77" s="79" t="s">
        <v>251</v>
      </c>
      <c r="C77" s="205" t="s">
        <v>41</v>
      </c>
      <c r="D77" s="79" t="s">
        <v>252</v>
      </c>
      <c r="E77" s="205">
        <v>2008</v>
      </c>
    </row>
    <row r="78" spans="1:6" ht="49.5" customHeight="1" x14ac:dyDescent="0.25">
      <c r="A78" s="79" t="s">
        <v>253</v>
      </c>
      <c r="B78" s="79" t="s">
        <v>254</v>
      </c>
      <c r="C78" s="205" t="s">
        <v>27</v>
      </c>
      <c r="D78" s="79" t="s">
        <v>255</v>
      </c>
      <c r="E78" s="205">
        <v>2012</v>
      </c>
    </row>
    <row r="79" spans="1:6" ht="45" x14ac:dyDescent="0.25">
      <c r="A79" s="79" t="s">
        <v>256</v>
      </c>
      <c r="B79" s="79" t="s">
        <v>257</v>
      </c>
      <c r="C79" s="205" t="s">
        <v>37</v>
      </c>
      <c r="D79" s="79" t="s">
        <v>258</v>
      </c>
      <c r="E79" s="205">
        <v>2019</v>
      </c>
      <c r="F79" s="98">
        <v>1</v>
      </c>
    </row>
    <row r="80" spans="1:6" ht="75" x14ac:dyDescent="0.25">
      <c r="A80" s="79" t="s">
        <v>259</v>
      </c>
      <c r="B80" s="79" t="s">
        <v>260</v>
      </c>
      <c r="C80" s="207" t="s">
        <v>27</v>
      </c>
      <c r="D80" s="79" t="s">
        <v>261</v>
      </c>
      <c r="E80" s="205">
        <v>2017</v>
      </c>
    </row>
    <row r="81" spans="1:6" ht="60" x14ac:dyDescent="0.25">
      <c r="A81" s="79" t="s">
        <v>262</v>
      </c>
      <c r="B81" s="79" t="s">
        <v>229</v>
      </c>
      <c r="C81" s="207" t="s">
        <v>27</v>
      </c>
      <c r="D81" s="79" t="s">
        <v>263</v>
      </c>
      <c r="E81" s="205">
        <v>2018</v>
      </c>
    </row>
    <row r="82" spans="1:6" ht="30" x14ac:dyDescent="0.25">
      <c r="A82" s="79" t="s">
        <v>264</v>
      </c>
      <c r="B82" s="79" t="s">
        <v>265</v>
      </c>
      <c r="C82" s="205" t="s">
        <v>27</v>
      </c>
      <c r="D82" s="79" t="s">
        <v>266</v>
      </c>
      <c r="E82" s="205">
        <v>2020</v>
      </c>
    </row>
    <row r="83" spans="1:6" ht="30" x14ac:dyDescent="0.25">
      <c r="A83" s="79" t="s">
        <v>267</v>
      </c>
      <c r="B83" s="393" t="s">
        <v>268</v>
      </c>
      <c r="C83" s="205" t="s">
        <v>27</v>
      </c>
      <c r="D83" s="79" t="s">
        <v>269</v>
      </c>
      <c r="E83" s="205">
        <v>2021</v>
      </c>
      <c r="F83" s="98">
        <v>1</v>
      </c>
    </row>
    <row r="84" spans="1:6" x14ac:dyDescent="0.25">
      <c r="A84" s="79" t="s">
        <v>270</v>
      </c>
      <c r="B84" s="79" t="s">
        <v>271</v>
      </c>
      <c r="C84" s="205" t="s">
        <v>37</v>
      </c>
      <c r="D84" s="79" t="s">
        <v>272</v>
      </c>
      <c r="E84" s="205">
        <v>2015</v>
      </c>
    </row>
    <row r="85" spans="1:6" x14ac:dyDescent="0.25">
      <c r="A85" s="79" t="s">
        <v>273</v>
      </c>
      <c r="B85" s="79" t="s">
        <v>274</v>
      </c>
      <c r="C85" s="205" t="s">
        <v>27</v>
      </c>
      <c r="D85" s="79" t="s">
        <v>275</v>
      </c>
      <c r="E85" s="205">
        <v>2010</v>
      </c>
    </row>
    <row r="86" spans="1:6" ht="30" x14ac:dyDescent="0.25">
      <c r="A86" s="79" t="s">
        <v>276</v>
      </c>
      <c r="B86" s="79" t="s">
        <v>277</v>
      </c>
      <c r="C86" s="205" t="s">
        <v>37</v>
      </c>
      <c r="D86" s="79" t="s">
        <v>278</v>
      </c>
      <c r="E86" s="205">
        <v>2021</v>
      </c>
    </row>
    <row r="87" spans="1:6" x14ac:dyDescent="0.25">
      <c r="A87" s="79" t="s">
        <v>279</v>
      </c>
      <c r="C87" s="205" t="s">
        <v>280</v>
      </c>
      <c r="D87" s="79" t="s">
        <v>281</v>
      </c>
      <c r="E87" s="205" t="s">
        <v>178</v>
      </c>
    </row>
    <row r="88" spans="1:6" ht="30" x14ac:dyDescent="0.25">
      <c r="A88" s="79" t="s">
        <v>282</v>
      </c>
      <c r="B88" s="79" t="s">
        <v>283</v>
      </c>
      <c r="C88" s="205" t="s">
        <v>27</v>
      </c>
      <c r="D88" s="79" t="s">
        <v>284</v>
      </c>
      <c r="E88" s="205">
        <v>2015</v>
      </c>
    </row>
    <row r="89" spans="1:6" ht="30" x14ac:dyDescent="0.25">
      <c r="A89" s="79" t="s">
        <v>285</v>
      </c>
      <c r="B89" s="79" t="s">
        <v>286</v>
      </c>
      <c r="C89" s="205" t="s">
        <v>187</v>
      </c>
      <c r="D89" s="79" t="s">
        <v>287</v>
      </c>
      <c r="E89" s="205">
        <v>2021</v>
      </c>
    </row>
    <row r="90" spans="1:6" ht="45" x14ac:dyDescent="0.25">
      <c r="A90" s="79" t="s">
        <v>288</v>
      </c>
      <c r="B90" s="79" t="s">
        <v>289</v>
      </c>
      <c r="C90" s="205" t="s">
        <v>37</v>
      </c>
      <c r="D90" s="79" t="s">
        <v>290</v>
      </c>
      <c r="E90" s="205">
        <v>2017</v>
      </c>
    </row>
    <row r="91" spans="1:6" x14ac:dyDescent="0.25">
      <c r="A91" s="79" t="s">
        <v>291</v>
      </c>
      <c r="B91" s="79" t="s">
        <v>292</v>
      </c>
      <c r="C91" s="205" t="s">
        <v>83</v>
      </c>
      <c r="D91" s="79" t="s">
        <v>293</v>
      </c>
      <c r="E91" s="205">
        <v>2017</v>
      </c>
    </row>
    <row r="92" spans="1:6" ht="30" x14ac:dyDescent="0.25">
      <c r="A92" s="79" t="s">
        <v>294</v>
      </c>
      <c r="B92" s="396" t="s">
        <v>295</v>
      </c>
      <c r="C92" s="205" t="s">
        <v>37</v>
      </c>
      <c r="D92" s="79" t="s">
        <v>296</v>
      </c>
      <c r="E92" s="205">
        <v>2015</v>
      </c>
      <c r="F92" s="98">
        <v>1</v>
      </c>
    </row>
    <row r="93" spans="1:6" x14ac:dyDescent="0.25">
      <c r="A93" s="79" t="s">
        <v>297</v>
      </c>
      <c r="B93" s="79" t="s">
        <v>115</v>
      </c>
      <c r="C93" s="205" t="s">
        <v>83</v>
      </c>
      <c r="D93" s="79" t="s">
        <v>298</v>
      </c>
      <c r="E93" s="205">
        <v>2006</v>
      </c>
    </row>
    <row r="94" spans="1:6" ht="45" x14ac:dyDescent="0.25">
      <c r="A94" s="79" t="s">
        <v>299</v>
      </c>
      <c r="B94" s="79" t="s">
        <v>300</v>
      </c>
      <c r="C94" s="205" t="s">
        <v>57</v>
      </c>
      <c r="D94" s="79" t="s">
        <v>301</v>
      </c>
      <c r="E94" s="205">
        <v>2010</v>
      </c>
    </row>
    <row r="95" spans="1:6" ht="30" x14ac:dyDescent="0.25">
      <c r="A95" s="79" t="s">
        <v>302</v>
      </c>
      <c r="B95" s="79" t="s">
        <v>303</v>
      </c>
      <c r="C95" s="205" t="s">
        <v>27</v>
      </c>
      <c r="D95" s="79" t="s">
        <v>304</v>
      </c>
      <c r="E95" s="205">
        <v>2008</v>
      </c>
    </row>
    <row r="96" spans="1:6" ht="30" x14ac:dyDescent="0.25">
      <c r="A96" s="79" t="s">
        <v>305</v>
      </c>
      <c r="B96" s="79" t="s">
        <v>306</v>
      </c>
      <c r="C96" s="205" t="s">
        <v>27</v>
      </c>
      <c r="D96" s="79" t="s">
        <v>307</v>
      </c>
      <c r="E96" s="205">
        <v>2018</v>
      </c>
    </row>
    <row r="97" spans="1:6" ht="30" x14ac:dyDescent="0.25">
      <c r="A97" s="79" t="s">
        <v>308</v>
      </c>
      <c r="B97" s="79" t="s">
        <v>309</v>
      </c>
      <c r="C97" s="205" t="s">
        <v>27</v>
      </c>
      <c r="D97" s="79" t="s">
        <v>310</v>
      </c>
      <c r="E97" s="205">
        <v>2009</v>
      </c>
    </row>
    <row r="98" spans="1:6" ht="45" x14ac:dyDescent="0.25">
      <c r="A98" s="79" t="s">
        <v>311</v>
      </c>
      <c r="B98" s="79" t="s">
        <v>312</v>
      </c>
      <c r="C98" s="205" t="s">
        <v>27</v>
      </c>
      <c r="D98" s="79" t="s">
        <v>313</v>
      </c>
      <c r="E98" s="205">
        <v>2020</v>
      </c>
    </row>
    <row r="99" spans="1:6" ht="30" x14ac:dyDescent="0.25">
      <c r="A99" s="79" t="s">
        <v>314</v>
      </c>
      <c r="B99" s="79" t="s">
        <v>315</v>
      </c>
      <c r="C99" s="205" t="s">
        <v>37</v>
      </c>
      <c r="D99" s="79" t="s">
        <v>316</v>
      </c>
      <c r="E99" s="205">
        <v>2018</v>
      </c>
    </row>
    <row r="100" spans="1:6" x14ac:dyDescent="0.25">
      <c r="A100" s="79" t="s">
        <v>317</v>
      </c>
      <c r="B100" s="79" t="s">
        <v>318</v>
      </c>
      <c r="C100" s="205" t="s">
        <v>83</v>
      </c>
      <c r="D100" s="79" t="s">
        <v>134</v>
      </c>
      <c r="E100" s="205">
        <v>2019</v>
      </c>
      <c r="F100" s="320">
        <v>1</v>
      </c>
    </row>
    <row r="102" spans="1:6" x14ac:dyDescent="0.25">
      <c r="F102" s="321">
        <f>SUM(F3:F99)</f>
        <v>28</v>
      </c>
    </row>
  </sheetData>
  <autoFilter ref="A1:F1" xr:uid="{00000000-0001-0000-0000-000000000000}"/>
  <sortState xmlns:xlrd2="http://schemas.microsoft.com/office/spreadsheetml/2017/richdata2" ref="A3:F100">
    <sortCondition ref="A3:A100"/>
  </sortState>
  <conditionalFormatting sqref="F1:F1048576">
    <cfRule type="cellIs" dxfId="2" priority="1" operator="equal">
      <formula>1</formula>
    </cfRule>
  </conditionalFormatting>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2CD8-6B29-417B-9A9C-252E18D58D8F}">
  <sheetPr>
    <tabColor theme="9" tint="0.59999389629810485"/>
  </sheetPr>
  <dimension ref="A1:T55"/>
  <sheetViews>
    <sheetView zoomScale="70" zoomScaleNormal="70" workbookViewId="0">
      <selection activeCell="A2" sqref="A2"/>
    </sheetView>
  </sheetViews>
  <sheetFormatPr defaultRowHeight="15" x14ac:dyDescent="0.25"/>
  <cols>
    <col min="1" max="1" width="29" customWidth="1"/>
    <col min="3" max="3" width="105.85546875" customWidth="1"/>
    <col min="4" max="4" width="11.42578125" customWidth="1"/>
  </cols>
  <sheetData>
    <row r="1" spans="1:20" ht="135" x14ac:dyDescent="0.25">
      <c r="A1" s="8" t="s">
        <v>842</v>
      </c>
      <c r="B1" s="8" t="s">
        <v>69</v>
      </c>
      <c r="C1" s="317" t="s">
        <v>70</v>
      </c>
      <c r="D1" s="4">
        <v>2014</v>
      </c>
      <c r="E1" s="8"/>
      <c r="H1" s="353" t="s">
        <v>653</v>
      </c>
      <c r="I1" s="353"/>
      <c r="J1" s="353"/>
      <c r="K1" s="353"/>
      <c r="L1" s="353"/>
      <c r="M1" s="353"/>
      <c r="O1" s="310" t="s">
        <v>835</v>
      </c>
      <c r="P1" s="310"/>
      <c r="Q1" s="310"/>
      <c r="R1" s="310"/>
      <c r="S1" s="310"/>
      <c r="T1" s="310"/>
    </row>
    <row r="2" spans="1:20" x14ac:dyDescent="0.25">
      <c r="B2" s="395" t="s">
        <v>656</v>
      </c>
    </row>
    <row r="4" spans="1:20" ht="90" x14ac:dyDescent="0.25">
      <c r="C4" s="316" t="s">
        <v>843</v>
      </c>
    </row>
    <row r="5" spans="1:20" x14ac:dyDescent="0.25">
      <c r="C5" s="2" t="s">
        <v>844</v>
      </c>
    </row>
    <row r="6" spans="1:20" x14ac:dyDescent="0.25">
      <c r="C6" s="8" t="s">
        <v>845</v>
      </c>
    </row>
    <row r="7" spans="1:20" x14ac:dyDescent="0.25">
      <c r="C7" s="8" t="s">
        <v>846</v>
      </c>
    </row>
    <row r="8" spans="1:20" ht="30" x14ac:dyDescent="0.25">
      <c r="C8" s="8" t="s">
        <v>847</v>
      </c>
    </row>
    <row r="9" spans="1:20" ht="30" x14ac:dyDescent="0.25">
      <c r="C9" s="8" t="s">
        <v>848</v>
      </c>
    </row>
    <row r="10" spans="1:20" x14ac:dyDescent="0.25">
      <c r="C10" s="8"/>
    </row>
    <row r="11" spans="1:20" x14ac:dyDescent="0.25">
      <c r="C11" s="7" t="s">
        <v>849</v>
      </c>
    </row>
    <row r="12" spans="1:20" ht="45" x14ac:dyDescent="0.25">
      <c r="C12" s="8" t="s">
        <v>850</v>
      </c>
    </row>
    <row r="13" spans="1:20" x14ac:dyDescent="0.25">
      <c r="C13" s="8"/>
    </row>
    <row r="14" spans="1:20" x14ac:dyDescent="0.25">
      <c r="C14" s="7" t="s">
        <v>851</v>
      </c>
    </row>
    <row r="15" spans="1:20" x14ac:dyDescent="0.25">
      <c r="C15" s="316" t="s">
        <v>852</v>
      </c>
    </row>
    <row r="16" spans="1:20" ht="30" x14ac:dyDescent="0.25">
      <c r="C16" s="316" t="s">
        <v>853</v>
      </c>
    </row>
    <row r="17" spans="1:7" x14ac:dyDescent="0.25">
      <c r="C17" s="318" t="s">
        <v>854</v>
      </c>
    </row>
    <row r="18" spans="1:7" ht="53.25" customHeight="1" x14ac:dyDescent="0.25">
      <c r="C18" s="32" t="s">
        <v>855</v>
      </c>
      <c r="D18" s="514" t="s">
        <v>856</v>
      </c>
      <c r="E18" s="514"/>
      <c r="F18" s="514"/>
      <c r="G18" s="514"/>
    </row>
    <row r="20" spans="1:7" x14ac:dyDescent="0.25">
      <c r="C20" s="2" t="s">
        <v>857</v>
      </c>
    </row>
    <row r="21" spans="1:7" ht="30" x14ac:dyDescent="0.25">
      <c r="C21" s="32" t="s">
        <v>858</v>
      </c>
    </row>
    <row r="23" spans="1:7" x14ac:dyDescent="0.25">
      <c r="C23" s="2" t="s">
        <v>859</v>
      </c>
    </row>
    <row r="24" spans="1:7" x14ac:dyDescent="0.25">
      <c r="C24" s="319" t="s">
        <v>860</v>
      </c>
    </row>
    <row r="25" spans="1:7" ht="30" x14ac:dyDescent="0.25">
      <c r="C25" s="32" t="s">
        <v>861</v>
      </c>
      <c r="D25" s="120">
        <f>1/143</f>
        <v>6.993006993006993E-3</v>
      </c>
    </row>
    <row r="28" spans="1:7" x14ac:dyDescent="0.25">
      <c r="A28" s="489" t="s">
        <v>606</v>
      </c>
      <c r="B28" s="490"/>
      <c r="C28" s="490"/>
      <c r="D28" s="490"/>
      <c r="E28" s="490"/>
      <c r="F28" s="491"/>
    </row>
    <row r="29" spans="1:7" ht="81" customHeight="1" x14ac:dyDescent="0.25">
      <c r="A29" s="492" t="s">
        <v>319</v>
      </c>
      <c r="B29" s="478"/>
      <c r="C29" s="34" t="s">
        <v>607</v>
      </c>
      <c r="D29" s="423" t="s">
        <v>70</v>
      </c>
      <c r="E29" s="457"/>
      <c r="F29" s="458"/>
    </row>
    <row r="30" spans="1:7" ht="33" customHeight="1" x14ac:dyDescent="0.25">
      <c r="A30" s="492"/>
      <c r="B30" s="478"/>
      <c r="C30" s="34" t="s">
        <v>19</v>
      </c>
      <c r="D30" s="462" t="s">
        <v>490</v>
      </c>
      <c r="E30" s="462"/>
      <c r="F30" s="463"/>
    </row>
    <row r="31" spans="1:7" ht="75" x14ac:dyDescent="0.25">
      <c r="A31" s="492"/>
      <c r="B31" s="478"/>
      <c r="C31" s="34" t="s">
        <v>364</v>
      </c>
      <c r="D31" s="34" t="s">
        <v>365</v>
      </c>
      <c r="E31" s="34" t="s">
        <v>366</v>
      </c>
      <c r="F31" s="61" t="s">
        <v>367</v>
      </c>
    </row>
    <row r="32" spans="1:7" ht="48.75" customHeight="1" x14ac:dyDescent="0.25">
      <c r="A32" s="420" t="s">
        <v>368</v>
      </c>
      <c r="B32" s="478" t="s">
        <v>369</v>
      </c>
      <c r="C32" s="129" t="s">
        <v>370</v>
      </c>
      <c r="D32" s="60" t="s">
        <v>374</v>
      </c>
      <c r="E32" s="57"/>
      <c r="F32" s="62"/>
    </row>
    <row r="33" spans="1:8" x14ac:dyDescent="0.25">
      <c r="A33" s="420"/>
      <c r="B33" s="478"/>
      <c r="C33" s="132" t="s">
        <v>380</v>
      </c>
      <c r="D33" s="4"/>
      <c r="E33" s="54"/>
      <c r="F33" s="61"/>
    </row>
    <row r="34" spans="1:8" x14ac:dyDescent="0.25">
      <c r="A34" s="420"/>
      <c r="B34" s="478"/>
      <c r="C34" s="132" t="s">
        <v>394</v>
      </c>
      <c r="D34" s="59"/>
      <c r="E34" s="54"/>
      <c r="F34" s="61"/>
    </row>
    <row r="35" spans="1:8" x14ac:dyDescent="0.25">
      <c r="A35" s="420"/>
      <c r="B35" s="478"/>
      <c r="C35" s="129" t="s">
        <v>405</v>
      </c>
      <c r="D35" s="60"/>
      <c r="E35" s="57"/>
      <c r="F35" s="62"/>
    </row>
    <row r="36" spans="1:8" ht="75" x14ac:dyDescent="0.25">
      <c r="A36" s="420"/>
      <c r="B36" s="462" t="s">
        <v>421</v>
      </c>
      <c r="C36" s="132" t="s">
        <v>422</v>
      </c>
      <c r="D36" s="76">
        <v>0.1</v>
      </c>
      <c r="E36" s="38" t="s">
        <v>424</v>
      </c>
      <c r="F36" s="63" t="s">
        <v>425</v>
      </c>
      <c r="G36" t="s">
        <v>435</v>
      </c>
    </row>
    <row r="37" spans="1:8" x14ac:dyDescent="0.25">
      <c r="A37" s="420"/>
      <c r="B37" s="462"/>
      <c r="C37" s="132" t="s">
        <v>428</v>
      </c>
      <c r="D37" s="76"/>
      <c r="E37" s="46"/>
      <c r="F37" s="61"/>
    </row>
    <row r="38" spans="1:8" x14ac:dyDescent="0.25">
      <c r="A38" s="420"/>
      <c r="B38" s="462"/>
      <c r="C38" s="132" t="s">
        <v>429</v>
      </c>
      <c r="D38" s="76"/>
      <c r="E38" s="38"/>
      <c r="F38" s="63"/>
    </row>
    <row r="39" spans="1:8" ht="75" x14ac:dyDescent="0.25">
      <c r="A39" s="420"/>
      <c r="B39" s="462"/>
      <c r="C39" s="132" t="s">
        <v>430</v>
      </c>
      <c r="D39" s="76">
        <v>0.3</v>
      </c>
      <c r="E39" s="38" t="s">
        <v>424</v>
      </c>
      <c r="F39" s="63" t="s">
        <v>431</v>
      </c>
    </row>
    <row r="40" spans="1:8" x14ac:dyDescent="0.25">
      <c r="A40" s="420"/>
      <c r="B40" s="462"/>
      <c r="C40" s="132" t="s">
        <v>432</v>
      </c>
      <c r="D40" s="59"/>
      <c r="E40" s="54"/>
      <c r="F40" s="61"/>
    </row>
    <row r="41" spans="1:8" x14ac:dyDescent="0.25">
      <c r="A41" s="420"/>
      <c r="B41" s="462"/>
      <c r="C41" s="132" t="s">
        <v>434</v>
      </c>
      <c r="D41" s="59"/>
      <c r="E41" s="54"/>
      <c r="F41" s="61"/>
    </row>
    <row r="42" spans="1:8" x14ac:dyDescent="0.25">
      <c r="A42" s="420"/>
      <c r="B42" s="462"/>
      <c r="C42" s="132" t="s">
        <v>436</v>
      </c>
      <c r="D42" s="34"/>
      <c r="E42" s="54"/>
      <c r="F42" s="61"/>
    </row>
    <row r="43" spans="1:8" x14ac:dyDescent="0.25">
      <c r="A43" s="420"/>
      <c r="B43" s="462"/>
      <c r="C43" s="132" t="s">
        <v>437</v>
      </c>
      <c r="D43" s="59"/>
      <c r="E43" s="54"/>
      <c r="F43" s="61"/>
    </row>
    <row r="44" spans="1:8" x14ac:dyDescent="0.25">
      <c r="A44" s="420" t="s">
        <v>438</v>
      </c>
      <c r="B44" s="478" t="s">
        <v>369</v>
      </c>
      <c r="C44" s="129" t="s">
        <v>370</v>
      </c>
      <c r="D44" s="60"/>
      <c r="E44" s="57"/>
      <c r="F44" s="62"/>
      <c r="H44" t="s">
        <v>435</v>
      </c>
    </row>
    <row r="45" spans="1:8" x14ac:dyDescent="0.25">
      <c r="A45" s="420"/>
      <c r="B45" s="478"/>
      <c r="C45" s="132" t="s">
        <v>380</v>
      </c>
      <c r="D45" s="59"/>
      <c r="E45" s="34"/>
      <c r="F45" s="61"/>
    </row>
    <row r="46" spans="1:8" x14ac:dyDescent="0.25">
      <c r="A46" s="420"/>
      <c r="B46" s="478"/>
      <c r="C46" s="132" t="s">
        <v>394</v>
      </c>
      <c r="D46" s="34"/>
      <c r="E46" s="34"/>
      <c r="F46" s="61"/>
    </row>
    <row r="47" spans="1:8" x14ac:dyDescent="0.25">
      <c r="A47" s="420"/>
      <c r="B47" s="478"/>
      <c r="C47" s="129" t="s">
        <v>405</v>
      </c>
      <c r="D47" s="35"/>
      <c r="E47" s="57"/>
      <c r="F47" s="62"/>
    </row>
    <row r="48" spans="1:8" x14ac:dyDescent="0.25">
      <c r="A48" s="420"/>
      <c r="B48" s="462" t="s">
        <v>421</v>
      </c>
      <c r="C48" s="132" t="s">
        <v>453</v>
      </c>
      <c r="D48" s="38"/>
      <c r="E48" s="38"/>
      <c r="F48" s="63"/>
    </row>
    <row r="49" spans="1:11" x14ac:dyDescent="0.25">
      <c r="A49" s="420"/>
      <c r="B49" s="462"/>
      <c r="C49" s="132" t="s">
        <v>428</v>
      </c>
      <c r="D49" s="38"/>
      <c r="E49" s="38"/>
      <c r="F49" s="63"/>
      <c r="K49" t="s">
        <v>435</v>
      </c>
    </row>
    <row r="50" spans="1:11" x14ac:dyDescent="0.25">
      <c r="A50" s="420"/>
      <c r="B50" s="462"/>
      <c r="C50" s="132" t="s">
        <v>429</v>
      </c>
      <c r="D50" s="38"/>
      <c r="E50" s="38"/>
      <c r="F50" s="63"/>
    </row>
    <row r="51" spans="1:11" x14ac:dyDescent="0.25">
      <c r="A51" s="420"/>
      <c r="B51" s="462"/>
      <c r="C51" s="132" t="s">
        <v>430</v>
      </c>
      <c r="D51" s="38"/>
      <c r="E51" s="38"/>
      <c r="F51" s="63"/>
    </row>
    <row r="52" spans="1:11" x14ac:dyDescent="0.25">
      <c r="A52" s="420"/>
      <c r="B52" s="462"/>
      <c r="C52" s="132" t="s">
        <v>432</v>
      </c>
      <c r="D52" s="59"/>
      <c r="E52" s="54"/>
      <c r="F52" s="61"/>
    </row>
    <row r="53" spans="1:11" x14ac:dyDescent="0.25">
      <c r="A53" s="420"/>
      <c r="B53" s="462"/>
      <c r="C53" s="132" t="s">
        <v>434</v>
      </c>
      <c r="D53" s="59"/>
      <c r="E53" s="34"/>
      <c r="F53" s="61"/>
    </row>
    <row r="54" spans="1:11" x14ac:dyDescent="0.25">
      <c r="A54" s="420"/>
      <c r="B54" s="462"/>
      <c r="C54" s="132" t="s">
        <v>436</v>
      </c>
      <c r="D54" s="34"/>
      <c r="E54" s="34"/>
      <c r="F54" s="61"/>
    </row>
    <row r="55" spans="1:11" ht="15.75" thickBot="1" x14ac:dyDescent="0.3">
      <c r="A55" s="427"/>
      <c r="B55" s="493"/>
      <c r="C55" s="194" t="s">
        <v>437</v>
      </c>
      <c r="D55" s="64"/>
      <c r="E55" s="65"/>
      <c r="F55" s="66"/>
    </row>
  </sheetData>
  <mergeCells count="11">
    <mergeCell ref="A44:A55"/>
    <mergeCell ref="B44:B47"/>
    <mergeCell ref="B48:B55"/>
    <mergeCell ref="D18:G18"/>
    <mergeCell ref="A28:F28"/>
    <mergeCell ref="A29:B31"/>
    <mergeCell ref="D29:F29"/>
    <mergeCell ref="D30:F30"/>
    <mergeCell ref="A32:A43"/>
    <mergeCell ref="B32:B35"/>
    <mergeCell ref="B36:B43"/>
  </mergeCells>
  <hyperlinks>
    <hyperlink ref="B2" r:id="rId1" xr:uid="{75FC7459-86FD-4444-9B4D-8C2882C9447D}"/>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5541-2034-4F3D-86BD-F6BC99067A5D}">
  <sheetPr>
    <tabColor theme="9" tint="0.59999389629810485"/>
  </sheetPr>
  <dimension ref="B1:U38"/>
  <sheetViews>
    <sheetView zoomScale="60" zoomScaleNormal="60" workbookViewId="0"/>
  </sheetViews>
  <sheetFormatPr defaultRowHeight="15" x14ac:dyDescent="0.25"/>
  <cols>
    <col min="4" max="4" width="17.5703125" customWidth="1"/>
    <col min="5" max="5" width="11.5703125" customWidth="1"/>
    <col min="6" max="6" width="10.140625" customWidth="1"/>
    <col min="7" max="7" width="12.5703125" customWidth="1"/>
    <col min="9" max="9" width="19.42578125" customWidth="1"/>
    <col min="10" max="10" width="33" customWidth="1"/>
    <col min="11" max="11" width="6.85546875" bestFit="1" customWidth="1"/>
    <col min="12" max="12" width="11.28515625" bestFit="1" customWidth="1"/>
    <col min="13" max="14" width="10.140625" bestFit="1" customWidth="1"/>
  </cols>
  <sheetData>
    <row r="1" spans="2:21" x14ac:dyDescent="0.25">
      <c r="B1" s="2" t="s">
        <v>862</v>
      </c>
      <c r="C1" s="2"/>
      <c r="D1" s="2"/>
      <c r="I1" s="353" t="s">
        <v>653</v>
      </c>
      <c r="J1" s="353"/>
      <c r="K1" s="353"/>
      <c r="L1" s="353"/>
      <c r="M1" s="353"/>
      <c r="N1" s="353"/>
    </row>
    <row r="2" spans="2:21" x14ac:dyDescent="0.25">
      <c r="B2" s="2" t="s">
        <v>863</v>
      </c>
      <c r="C2" s="2"/>
      <c r="D2" s="2"/>
    </row>
    <row r="6" spans="2:21" ht="15.75" thickBot="1" x14ac:dyDescent="0.3"/>
    <row r="7" spans="2:21" x14ac:dyDescent="0.25">
      <c r="B7" s="489" t="s">
        <v>606</v>
      </c>
      <c r="C7" s="490"/>
      <c r="D7" s="490"/>
      <c r="E7" s="490"/>
      <c r="F7" s="490"/>
      <c r="G7" s="491"/>
    </row>
    <row r="8" spans="2:21" ht="29.25" customHeight="1" x14ac:dyDescent="0.25">
      <c r="B8" s="492" t="s">
        <v>319</v>
      </c>
      <c r="C8" s="478"/>
      <c r="D8" s="34" t="s">
        <v>607</v>
      </c>
      <c r="E8" s="423" t="s">
        <v>864</v>
      </c>
      <c r="F8" s="457"/>
      <c r="G8" s="458"/>
    </row>
    <row r="9" spans="2:21" x14ac:dyDescent="0.25">
      <c r="B9" s="492"/>
      <c r="C9" s="478"/>
      <c r="D9" s="34" t="s">
        <v>19</v>
      </c>
      <c r="E9" s="462" t="s">
        <v>115</v>
      </c>
      <c r="F9" s="462"/>
      <c r="G9" s="463"/>
    </row>
    <row r="10" spans="2:21" ht="105" customHeight="1" x14ac:dyDescent="0.25">
      <c r="B10" s="492"/>
      <c r="C10" s="478"/>
      <c r="D10" s="34" t="s">
        <v>364</v>
      </c>
      <c r="E10" s="34" t="s">
        <v>365</v>
      </c>
      <c r="F10" s="34" t="s">
        <v>366</v>
      </c>
      <c r="G10" s="61" t="s">
        <v>367</v>
      </c>
    </row>
    <row r="11" spans="2:21" ht="126.75" customHeight="1" x14ac:dyDescent="0.25">
      <c r="B11" s="420" t="s">
        <v>368</v>
      </c>
      <c r="C11" s="478" t="s">
        <v>369</v>
      </c>
      <c r="D11" s="129" t="s">
        <v>370</v>
      </c>
      <c r="E11" s="60"/>
      <c r="F11" s="57"/>
      <c r="G11" s="62"/>
      <c r="H11" s="515"/>
      <c r="I11" s="474"/>
      <c r="J11" s="474"/>
      <c r="K11" s="474"/>
      <c r="L11" s="474"/>
      <c r="M11" s="474"/>
    </row>
    <row r="12" spans="2:21" ht="30" x14ac:dyDescent="0.25">
      <c r="B12" s="420"/>
      <c r="C12" s="478"/>
      <c r="D12" s="132" t="s">
        <v>380</v>
      </c>
      <c r="E12" s="59">
        <v>2.2000000000000001E-3</v>
      </c>
      <c r="F12" s="34" t="s">
        <v>389</v>
      </c>
      <c r="G12" s="61"/>
      <c r="H12" s="516" t="s">
        <v>865</v>
      </c>
      <c r="I12" s="487"/>
      <c r="J12" s="2" t="s">
        <v>866</v>
      </c>
    </row>
    <row r="13" spans="2:21" ht="30" x14ac:dyDescent="0.25">
      <c r="B13" s="420"/>
      <c r="C13" s="478"/>
      <c r="D13" s="132" t="s">
        <v>394</v>
      </c>
      <c r="E13" s="59">
        <v>7.3999999999999999E-4</v>
      </c>
      <c r="F13" s="34" t="s">
        <v>400</v>
      </c>
      <c r="G13" s="61"/>
      <c r="H13" s="517"/>
      <c r="I13" s="487"/>
      <c r="J13" s="520" t="s">
        <v>867</v>
      </c>
      <c r="K13" s="520"/>
      <c r="L13" s="520"/>
      <c r="M13" s="520"/>
      <c r="N13" s="520"/>
      <c r="O13" s="520"/>
      <c r="P13" s="520"/>
      <c r="Q13" s="520"/>
      <c r="R13" s="520"/>
      <c r="S13" s="520"/>
      <c r="T13" s="520"/>
      <c r="U13" s="520"/>
    </row>
    <row r="14" spans="2:21" ht="53.65" customHeight="1" x14ac:dyDescent="0.25">
      <c r="B14" s="420"/>
      <c r="C14" s="478"/>
      <c r="D14" s="129" t="s">
        <v>405</v>
      </c>
      <c r="E14" s="60">
        <v>1.3999999999999999E-4</v>
      </c>
      <c r="F14" s="52" t="s">
        <v>416</v>
      </c>
      <c r="G14" s="62"/>
      <c r="H14" s="517"/>
      <c r="I14" s="487"/>
      <c r="J14" s="414" t="s">
        <v>868</v>
      </c>
      <c r="K14" s="414"/>
      <c r="L14" s="414"/>
      <c r="M14" s="414"/>
      <c r="N14" s="414"/>
      <c r="O14" s="414"/>
      <c r="P14" s="414"/>
      <c r="Q14" s="414"/>
      <c r="R14" s="414"/>
      <c r="S14" s="414"/>
      <c r="T14" s="414"/>
      <c r="U14" s="414"/>
    </row>
    <row r="15" spans="2:21" ht="60.75" customHeight="1" x14ac:dyDescent="0.25">
      <c r="B15" s="420"/>
      <c r="C15" s="462" t="s">
        <v>421</v>
      </c>
      <c r="D15" s="132" t="s">
        <v>422</v>
      </c>
      <c r="E15" s="76"/>
      <c r="F15" s="34"/>
      <c r="G15" s="63"/>
      <c r="J15" s="518" t="s">
        <v>869</v>
      </c>
      <c r="K15" s="519"/>
      <c r="L15" s="519"/>
      <c r="M15" s="519"/>
      <c r="N15" s="519"/>
      <c r="O15" s="519"/>
      <c r="P15" s="519"/>
      <c r="Q15" s="519"/>
      <c r="R15" s="519"/>
      <c r="S15" s="519"/>
      <c r="T15" s="519"/>
      <c r="U15" s="519"/>
    </row>
    <row r="16" spans="2:21" ht="45" x14ac:dyDescent="0.25">
      <c r="B16" s="420"/>
      <c r="C16" s="462"/>
      <c r="D16" s="132" t="s">
        <v>428</v>
      </c>
      <c r="E16" s="76"/>
      <c r="F16" s="46"/>
      <c r="G16" s="61"/>
    </row>
    <row r="17" spans="2:15" ht="45" x14ac:dyDescent="0.25">
      <c r="B17" s="420"/>
      <c r="C17" s="462"/>
      <c r="D17" s="132" t="s">
        <v>429</v>
      </c>
      <c r="E17" s="76"/>
      <c r="F17" s="34"/>
      <c r="G17" s="63"/>
      <c r="K17" t="s">
        <v>870</v>
      </c>
      <c r="L17" t="s">
        <v>871</v>
      </c>
      <c r="M17" t="s">
        <v>872</v>
      </c>
      <c r="N17" t="s">
        <v>873</v>
      </c>
      <c r="O17" t="s">
        <v>874</v>
      </c>
    </row>
    <row r="18" spans="2:15" ht="45" x14ac:dyDescent="0.25">
      <c r="B18" s="420"/>
      <c r="C18" s="462"/>
      <c r="D18" s="132" t="s">
        <v>430</v>
      </c>
      <c r="E18" s="76"/>
      <c r="F18" s="34"/>
      <c r="G18" s="63"/>
      <c r="J18" s="7" t="s">
        <v>875</v>
      </c>
      <c r="L18" t="s">
        <v>876</v>
      </c>
      <c r="M18" s="8" t="s">
        <v>877</v>
      </c>
      <c r="N18" s="8" t="s">
        <v>878</v>
      </c>
    </row>
    <row r="19" spans="2:15" ht="30" x14ac:dyDescent="0.25">
      <c r="B19" s="420"/>
      <c r="C19" s="462"/>
      <c r="D19" s="132" t="s">
        <v>432</v>
      </c>
      <c r="E19" s="59"/>
      <c r="F19" s="54"/>
      <c r="G19" s="61"/>
      <c r="J19" s="1">
        <v>2005</v>
      </c>
      <c r="K19" s="1">
        <v>18</v>
      </c>
      <c r="L19" s="1">
        <v>1</v>
      </c>
      <c r="M19" s="1">
        <v>4</v>
      </c>
      <c r="N19" s="1">
        <v>13</v>
      </c>
      <c r="O19">
        <f t="shared" ref="O19:O34" si="0">K19-SUM(L19:N19)</f>
        <v>0</v>
      </c>
    </row>
    <row r="20" spans="2:15" ht="30" x14ac:dyDescent="0.25">
      <c r="B20" s="420"/>
      <c r="C20" s="462"/>
      <c r="D20" s="132" t="s">
        <v>434</v>
      </c>
      <c r="E20" s="59"/>
      <c r="F20" s="54"/>
      <c r="G20" s="61"/>
      <c r="J20" s="1">
        <v>2006</v>
      </c>
      <c r="K20" s="1">
        <v>15</v>
      </c>
      <c r="L20" s="1">
        <v>2</v>
      </c>
      <c r="M20" s="1">
        <v>1</v>
      </c>
      <c r="N20" s="1">
        <v>12</v>
      </c>
      <c r="O20">
        <f t="shared" si="0"/>
        <v>0</v>
      </c>
    </row>
    <row r="21" spans="2:15" ht="45" x14ac:dyDescent="0.25">
      <c r="B21" s="420"/>
      <c r="C21" s="462"/>
      <c r="D21" s="132" t="s">
        <v>436</v>
      </c>
      <c r="E21" s="34"/>
      <c r="F21" s="54"/>
      <c r="G21" s="61"/>
      <c r="J21" s="1">
        <v>2007</v>
      </c>
      <c r="K21" s="1">
        <v>10</v>
      </c>
      <c r="L21" s="1">
        <v>0</v>
      </c>
      <c r="M21" s="1">
        <v>5</v>
      </c>
      <c r="N21" s="1">
        <v>5</v>
      </c>
      <c r="O21">
        <f t="shared" si="0"/>
        <v>0</v>
      </c>
    </row>
    <row r="22" spans="2:15" ht="45.75" thickBot="1" x14ac:dyDescent="0.3">
      <c r="B22" s="420"/>
      <c r="C22" s="462"/>
      <c r="D22" s="132" t="s">
        <v>437</v>
      </c>
      <c r="E22" s="59"/>
      <c r="F22" s="54"/>
      <c r="G22" s="61"/>
      <c r="J22" s="1">
        <v>2008</v>
      </c>
      <c r="K22" s="1">
        <v>14</v>
      </c>
      <c r="L22" s="1">
        <v>1</v>
      </c>
      <c r="M22" s="1">
        <v>3</v>
      </c>
      <c r="N22" s="1">
        <v>10</v>
      </c>
      <c r="O22">
        <f t="shared" si="0"/>
        <v>0</v>
      </c>
    </row>
    <row r="23" spans="2:15" ht="30" x14ac:dyDescent="0.25">
      <c r="B23" s="420" t="s">
        <v>438</v>
      </c>
      <c r="C23" s="478" t="s">
        <v>369</v>
      </c>
      <c r="D23" s="129" t="s">
        <v>370</v>
      </c>
      <c r="E23" s="60"/>
      <c r="F23" s="57"/>
      <c r="G23" s="62"/>
      <c r="J23" s="1">
        <v>2009</v>
      </c>
      <c r="K23" s="1">
        <v>16</v>
      </c>
      <c r="L23" s="1">
        <v>0</v>
      </c>
      <c r="M23" s="1">
        <v>6</v>
      </c>
      <c r="N23" s="1">
        <v>16</v>
      </c>
      <c r="O23">
        <f t="shared" si="0"/>
        <v>-6</v>
      </c>
    </row>
    <row r="24" spans="2:15" ht="30" x14ac:dyDescent="0.25">
      <c r="B24" s="420"/>
      <c r="C24" s="478"/>
      <c r="D24" s="132" t="s">
        <v>380</v>
      </c>
      <c r="E24" s="59"/>
      <c r="F24" s="34"/>
      <c r="G24" s="61"/>
      <c r="J24" s="1">
        <v>2010</v>
      </c>
      <c r="K24" s="1">
        <v>15</v>
      </c>
      <c r="L24" s="1">
        <v>1</v>
      </c>
      <c r="M24" s="1">
        <v>1</v>
      </c>
      <c r="N24" s="1">
        <v>13</v>
      </c>
      <c r="O24">
        <f t="shared" si="0"/>
        <v>0</v>
      </c>
    </row>
    <row r="25" spans="2:15" ht="30" x14ac:dyDescent="0.25">
      <c r="B25" s="420"/>
      <c r="C25" s="478"/>
      <c r="D25" s="132" t="s">
        <v>394</v>
      </c>
      <c r="E25" s="34"/>
      <c r="F25" s="34"/>
      <c r="G25" s="61"/>
      <c r="J25" s="1">
        <v>2011</v>
      </c>
      <c r="K25" s="1">
        <v>11</v>
      </c>
      <c r="L25" s="1">
        <v>0</v>
      </c>
      <c r="M25" s="1">
        <v>3</v>
      </c>
      <c r="N25" s="1">
        <v>8</v>
      </c>
      <c r="O25">
        <f t="shared" si="0"/>
        <v>0</v>
      </c>
    </row>
    <row r="26" spans="2:15" ht="30" x14ac:dyDescent="0.25">
      <c r="B26" s="420"/>
      <c r="C26" s="478"/>
      <c r="D26" s="129" t="s">
        <v>405</v>
      </c>
      <c r="E26" s="35"/>
      <c r="F26" s="57"/>
      <c r="G26" s="62"/>
      <c r="J26" s="1">
        <v>2012</v>
      </c>
      <c r="K26" s="1">
        <v>6</v>
      </c>
      <c r="L26" s="1">
        <v>2</v>
      </c>
      <c r="M26" s="1">
        <v>1</v>
      </c>
      <c r="N26" s="1">
        <v>3</v>
      </c>
      <c r="O26">
        <f t="shared" si="0"/>
        <v>0</v>
      </c>
    </row>
    <row r="27" spans="2:15" ht="30" x14ac:dyDescent="0.25">
      <c r="B27" s="420"/>
      <c r="C27" s="462" t="s">
        <v>421</v>
      </c>
      <c r="D27" s="132" t="s">
        <v>453</v>
      </c>
      <c r="E27" s="38"/>
      <c r="F27" s="38"/>
      <c r="G27" s="63"/>
      <c r="J27" s="1">
        <v>2013</v>
      </c>
      <c r="K27" s="1">
        <v>9</v>
      </c>
      <c r="L27" s="1">
        <v>0</v>
      </c>
      <c r="M27" s="1">
        <v>1</v>
      </c>
      <c r="N27" s="1">
        <v>8</v>
      </c>
      <c r="O27">
        <f t="shared" si="0"/>
        <v>0</v>
      </c>
    </row>
    <row r="28" spans="2:15" ht="45" x14ac:dyDescent="0.25">
      <c r="B28" s="420"/>
      <c r="C28" s="462"/>
      <c r="D28" s="132" t="s">
        <v>428</v>
      </c>
      <c r="E28" s="38"/>
      <c r="F28" s="38"/>
      <c r="G28" s="63"/>
      <c r="J28" s="1">
        <v>2014</v>
      </c>
      <c r="K28" s="1">
        <v>7</v>
      </c>
      <c r="L28" s="1">
        <v>1</v>
      </c>
      <c r="M28" s="1">
        <v>1</v>
      </c>
      <c r="N28" s="1">
        <v>5</v>
      </c>
      <c r="O28">
        <f t="shared" si="0"/>
        <v>0</v>
      </c>
    </row>
    <row r="29" spans="2:15" ht="45" x14ac:dyDescent="0.25">
      <c r="B29" s="420"/>
      <c r="C29" s="462"/>
      <c r="D29" s="132" t="s">
        <v>429</v>
      </c>
      <c r="E29" s="38"/>
      <c r="F29" s="38"/>
      <c r="G29" s="63"/>
      <c r="J29" s="1">
        <v>2015</v>
      </c>
      <c r="K29" s="1">
        <v>10</v>
      </c>
      <c r="L29" s="1">
        <v>0</v>
      </c>
      <c r="M29" s="1">
        <v>4</v>
      </c>
      <c r="N29" s="1">
        <v>6</v>
      </c>
      <c r="O29">
        <f t="shared" si="0"/>
        <v>0</v>
      </c>
    </row>
    <row r="30" spans="2:15" ht="45" x14ac:dyDescent="0.25">
      <c r="B30" s="420"/>
      <c r="C30" s="462"/>
      <c r="D30" s="132" t="s">
        <v>430</v>
      </c>
      <c r="E30" s="38"/>
      <c r="F30" s="38"/>
      <c r="G30" s="63"/>
      <c r="J30" s="1">
        <v>2016</v>
      </c>
      <c r="K30" s="1">
        <v>12</v>
      </c>
      <c r="L30" s="1">
        <v>0</v>
      </c>
      <c r="M30" s="1">
        <v>6</v>
      </c>
      <c r="N30" s="1">
        <v>6</v>
      </c>
      <c r="O30">
        <f t="shared" si="0"/>
        <v>0</v>
      </c>
    </row>
    <row r="31" spans="2:15" ht="30" x14ac:dyDescent="0.25">
      <c r="B31" s="420"/>
      <c r="C31" s="462"/>
      <c r="D31" s="132" t="s">
        <v>432</v>
      </c>
      <c r="E31" s="59"/>
      <c r="F31" s="54"/>
      <c r="G31" s="61"/>
      <c r="J31" s="1">
        <v>2017</v>
      </c>
      <c r="K31" s="1">
        <v>10</v>
      </c>
      <c r="L31" s="1">
        <v>0</v>
      </c>
      <c r="M31" s="1">
        <v>1</v>
      </c>
      <c r="N31" s="1">
        <v>9</v>
      </c>
      <c r="O31">
        <f t="shared" si="0"/>
        <v>0</v>
      </c>
    </row>
    <row r="32" spans="2:15" ht="30" x14ac:dyDescent="0.25">
      <c r="B32" s="420"/>
      <c r="C32" s="462"/>
      <c r="D32" s="132" t="s">
        <v>434</v>
      </c>
      <c r="E32" s="59"/>
      <c r="F32" s="34"/>
      <c r="G32" s="61"/>
      <c r="J32" s="1">
        <v>2018</v>
      </c>
      <c r="K32" s="1">
        <v>7</v>
      </c>
      <c r="L32" s="1">
        <v>0</v>
      </c>
      <c r="M32" s="1">
        <v>2</v>
      </c>
      <c r="N32" s="1">
        <v>5</v>
      </c>
      <c r="O32">
        <f t="shared" si="0"/>
        <v>0</v>
      </c>
    </row>
    <row r="33" spans="2:15" ht="45" x14ac:dyDescent="0.25">
      <c r="B33" s="420"/>
      <c r="C33" s="462"/>
      <c r="D33" s="132" t="s">
        <v>436</v>
      </c>
      <c r="E33" s="34"/>
      <c r="F33" s="34"/>
      <c r="G33" s="61"/>
      <c r="J33" s="1">
        <v>2019</v>
      </c>
      <c r="K33" s="1">
        <v>6</v>
      </c>
      <c r="L33" s="1">
        <v>0</v>
      </c>
      <c r="M33" s="1">
        <v>0</v>
      </c>
      <c r="N33" s="1">
        <v>6</v>
      </c>
      <c r="O33">
        <f t="shared" si="0"/>
        <v>0</v>
      </c>
    </row>
    <row r="34" spans="2:15" ht="45.75" thickBot="1" x14ac:dyDescent="0.3">
      <c r="B34" s="427"/>
      <c r="C34" s="493"/>
      <c r="D34" s="194" t="s">
        <v>437</v>
      </c>
      <c r="E34" s="64"/>
      <c r="F34" s="65"/>
      <c r="G34" s="66"/>
      <c r="J34" s="1">
        <v>2020</v>
      </c>
      <c r="K34" s="1">
        <v>5</v>
      </c>
      <c r="L34" s="1">
        <v>0</v>
      </c>
      <c r="M34" s="1">
        <v>3</v>
      </c>
      <c r="N34" s="1">
        <v>2</v>
      </c>
      <c r="O34">
        <f t="shared" si="0"/>
        <v>0</v>
      </c>
    </row>
    <row r="35" spans="2:15" x14ac:dyDescent="0.25">
      <c r="J35" s="366" t="s">
        <v>870</v>
      </c>
      <c r="K35" s="353">
        <f>SUM(K19:K34)</f>
        <v>171</v>
      </c>
      <c r="L35" s="353">
        <f>SUM(L19:L34)</f>
        <v>8</v>
      </c>
      <c r="M35" s="353">
        <f>SUM(M19:M34)</f>
        <v>42</v>
      </c>
      <c r="N35" s="353">
        <f>SUM(N19:N34)</f>
        <v>127</v>
      </c>
      <c r="O35" s="247"/>
    </row>
    <row r="36" spans="2:15" x14ac:dyDescent="0.25">
      <c r="J36" s="366" t="s">
        <v>879</v>
      </c>
      <c r="K36" s="353"/>
      <c r="L36" s="353">
        <f>L35/$K$35</f>
        <v>4.6783625730994149E-2</v>
      </c>
      <c r="M36" s="353">
        <f>M35/$K$35</f>
        <v>0.24561403508771928</v>
      </c>
      <c r="N36" s="353">
        <f>N35/$K$35</f>
        <v>0.74269005847953218</v>
      </c>
    </row>
    <row r="37" spans="2:15" x14ac:dyDescent="0.25">
      <c r="J37" s="366" t="s">
        <v>880</v>
      </c>
      <c r="K37" s="353"/>
      <c r="L37" s="353">
        <f>0.003*L36</f>
        <v>1.4035087719298245E-4</v>
      </c>
      <c r="M37" s="353">
        <f>0.003*M36</f>
        <v>7.3684210526315792E-4</v>
      </c>
      <c r="N37" s="353">
        <f>0.003*N36</f>
        <v>2.2280701754385968E-3</v>
      </c>
    </row>
    <row r="38" spans="2:15" x14ac:dyDescent="0.25">
      <c r="J38" s="353"/>
      <c r="K38" s="353"/>
      <c r="L38" s="353"/>
      <c r="M38" s="353"/>
      <c r="N38" s="353"/>
    </row>
  </sheetData>
  <mergeCells count="15">
    <mergeCell ref="H11:M11"/>
    <mergeCell ref="H12:I14"/>
    <mergeCell ref="J14:U14"/>
    <mergeCell ref="J15:U15"/>
    <mergeCell ref="J13:U13"/>
    <mergeCell ref="B23:B34"/>
    <mergeCell ref="C23:C26"/>
    <mergeCell ref="C27:C34"/>
    <mergeCell ref="B7:G7"/>
    <mergeCell ref="B8:C10"/>
    <mergeCell ref="E8:G8"/>
    <mergeCell ref="E9:G9"/>
    <mergeCell ref="B11:B22"/>
    <mergeCell ref="C11:C14"/>
    <mergeCell ref="C15:C2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83D00-EE83-441A-BCD9-B1A6B6C8E71C}">
  <sheetPr>
    <tabColor theme="9" tint="0.59999389629810485"/>
  </sheetPr>
  <dimension ref="A1:N34"/>
  <sheetViews>
    <sheetView zoomScale="70" zoomScaleNormal="70" workbookViewId="0">
      <selection activeCell="A2" sqref="A2"/>
    </sheetView>
  </sheetViews>
  <sheetFormatPr defaultRowHeight="15" x14ac:dyDescent="0.25"/>
  <cols>
    <col min="1" max="1" width="35.28515625" customWidth="1"/>
    <col min="2" max="2" width="12.140625" bestFit="1" customWidth="1"/>
    <col min="3" max="3" width="22.140625" customWidth="1"/>
    <col min="6" max="6" width="27.85546875" bestFit="1" customWidth="1"/>
    <col min="7" max="7" width="12.140625" bestFit="1" customWidth="1"/>
  </cols>
  <sheetData>
    <row r="1" spans="1:14" ht="65.25" customHeight="1" x14ac:dyDescent="0.25">
      <c r="A1" s="521" t="s">
        <v>87</v>
      </c>
      <c r="B1" s="521"/>
      <c r="C1" s="521"/>
      <c r="D1" s="521"/>
      <c r="E1" s="521"/>
      <c r="F1" s="521"/>
      <c r="G1" s="484" t="s">
        <v>881</v>
      </c>
      <c r="H1" s="484"/>
      <c r="I1" s="487" t="s">
        <v>86</v>
      </c>
      <c r="J1" s="487"/>
      <c r="K1" s="487"/>
      <c r="L1" s="487"/>
      <c r="M1" s="487"/>
      <c r="N1" s="5" t="s">
        <v>656</v>
      </c>
    </row>
    <row r="2" spans="1:14" x14ac:dyDescent="0.25">
      <c r="A2" s="353" t="s">
        <v>653</v>
      </c>
      <c r="B2" s="353"/>
      <c r="C2" s="353"/>
      <c r="D2" s="353"/>
      <c r="E2" s="353"/>
      <c r="F2" s="353"/>
    </row>
    <row r="3" spans="1:14" x14ac:dyDescent="0.25">
      <c r="A3" s="28" t="s">
        <v>882</v>
      </c>
      <c r="C3" s="28"/>
    </row>
    <row r="5" spans="1:14" x14ac:dyDescent="0.25">
      <c r="A5" t="s">
        <v>883</v>
      </c>
      <c r="G5" s="353" t="s">
        <v>884</v>
      </c>
      <c r="H5" s="353">
        <f>4*86400/1000</f>
        <v>345.6</v>
      </c>
      <c r="I5" t="s">
        <v>820</v>
      </c>
    </row>
    <row r="6" spans="1:14" ht="15.75" thickBot="1" x14ac:dyDescent="0.3"/>
    <row r="7" spans="1:14" x14ac:dyDescent="0.25">
      <c r="A7" s="489" t="s">
        <v>606</v>
      </c>
      <c r="B7" s="490"/>
      <c r="C7" s="490"/>
      <c r="D7" s="490"/>
      <c r="E7" s="490"/>
      <c r="F7" s="491"/>
    </row>
    <row r="8" spans="1:14" x14ac:dyDescent="0.25">
      <c r="A8" s="492" t="s">
        <v>319</v>
      </c>
      <c r="B8" s="478"/>
      <c r="C8" s="34" t="s">
        <v>607</v>
      </c>
      <c r="D8" s="423" t="s">
        <v>87</v>
      </c>
      <c r="E8" s="457"/>
      <c r="F8" s="458"/>
    </row>
    <row r="9" spans="1:14" ht="29.65" customHeight="1" x14ac:dyDescent="0.25">
      <c r="A9" s="492"/>
      <c r="B9" s="478"/>
      <c r="C9" s="34" t="s">
        <v>19</v>
      </c>
      <c r="D9" s="462" t="s">
        <v>885</v>
      </c>
      <c r="E9" s="462"/>
      <c r="F9" s="463"/>
    </row>
    <row r="10" spans="1:14" ht="75" x14ac:dyDescent="0.25">
      <c r="A10" s="492"/>
      <c r="B10" s="478"/>
      <c r="C10" s="34" t="s">
        <v>364</v>
      </c>
      <c r="D10" s="34" t="s">
        <v>365</v>
      </c>
      <c r="E10" s="34" t="s">
        <v>366</v>
      </c>
      <c r="F10" s="61" t="s">
        <v>367</v>
      </c>
    </row>
    <row r="11" spans="1:14" x14ac:dyDescent="0.25">
      <c r="A11" s="420" t="s">
        <v>368</v>
      </c>
      <c r="B11" s="478" t="s">
        <v>369</v>
      </c>
      <c r="C11" s="129" t="s">
        <v>370</v>
      </c>
      <c r="D11" s="60"/>
      <c r="E11" s="57"/>
      <c r="F11" s="62"/>
    </row>
    <row r="12" spans="1:14" ht="30" x14ac:dyDescent="0.25">
      <c r="A12" s="420"/>
      <c r="B12" s="478"/>
      <c r="C12" s="132" t="s">
        <v>380</v>
      </c>
      <c r="D12" s="59"/>
      <c r="E12" s="54"/>
      <c r="F12" s="61"/>
    </row>
    <row r="13" spans="1:14" ht="30" x14ac:dyDescent="0.25">
      <c r="A13" s="420"/>
      <c r="B13" s="478"/>
      <c r="C13" s="132" t="s">
        <v>394</v>
      </c>
      <c r="D13" s="59" t="s">
        <v>401</v>
      </c>
      <c r="E13" s="54">
        <v>345.6</v>
      </c>
      <c r="F13" s="61" t="s">
        <v>402</v>
      </c>
    </row>
    <row r="14" spans="1:14" ht="30" x14ac:dyDescent="0.25">
      <c r="A14" s="420"/>
      <c r="B14" s="478"/>
      <c r="C14" s="129" t="s">
        <v>405</v>
      </c>
      <c r="D14" s="60"/>
      <c r="E14" s="57"/>
      <c r="F14" s="62"/>
    </row>
    <row r="15" spans="1:14" ht="30" x14ac:dyDescent="0.25">
      <c r="A15" s="420"/>
      <c r="B15" s="462" t="s">
        <v>421</v>
      </c>
      <c r="C15" s="132" t="s">
        <v>422</v>
      </c>
      <c r="D15" s="76"/>
      <c r="E15" s="34"/>
      <c r="F15" s="63"/>
    </row>
    <row r="16" spans="1:14" ht="30" x14ac:dyDescent="0.25">
      <c r="A16" s="420"/>
      <c r="B16" s="462"/>
      <c r="C16" s="132" t="s">
        <v>428</v>
      </c>
      <c r="D16" s="76"/>
      <c r="E16" s="46"/>
      <c r="F16" s="61"/>
    </row>
    <row r="17" spans="1:6" ht="30" x14ac:dyDescent="0.25">
      <c r="A17" s="420"/>
      <c r="B17" s="462"/>
      <c r="C17" s="132" t="s">
        <v>429</v>
      </c>
      <c r="D17" s="76"/>
      <c r="E17" s="34"/>
      <c r="F17" s="63"/>
    </row>
    <row r="18" spans="1:6" ht="30" x14ac:dyDescent="0.25">
      <c r="A18" s="420"/>
      <c r="B18" s="462"/>
      <c r="C18" s="132" t="s">
        <v>430</v>
      </c>
      <c r="D18" s="76"/>
      <c r="E18" s="34"/>
      <c r="F18" s="63"/>
    </row>
    <row r="19" spans="1:6" ht="30" x14ac:dyDescent="0.25">
      <c r="A19" s="420"/>
      <c r="B19" s="462"/>
      <c r="C19" s="132" t="s">
        <v>432</v>
      </c>
      <c r="D19" s="59"/>
      <c r="E19" s="54"/>
      <c r="F19" s="61"/>
    </row>
    <row r="20" spans="1:6" ht="30" x14ac:dyDescent="0.25">
      <c r="A20" s="420"/>
      <c r="B20" s="462"/>
      <c r="C20" s="132" t="s">
        <v>434</v>
      </c>
      <c r="D20" s="59"/>
      <c r="E20" s="54"/>
      <c r="F20" s="61"/>
    </row>
    <row r="21" spans="1:6" ht="30" x14ac:dyDescent="0.25">
      <c r="A21" s="420"/>
      <c r="B21" s="462"/>
      <c r="C21" s="132" t="s">
        <v>436</v>
      </c>
      <c r="D21" s="34"/>
      <c r="E21" s="54"/>
      <c r="F21" s="61"/>
    </row>
    <row r="22" spans="1:6" ht="30" x14ac:dyDescent="0.25">
      <c r="A22" s="420"/>
      <c r="B22" s="462"/>
      <c r="C22" s="132" t="s">
        <v>437</v>
      </c>
      <c r="D22" s="59"/>
      <c r="E22" s="54"/>
      <c r="F22" s="61"/>
    </row>
    <row r="23" spans="1:6" x14ac:dyDescent="0.25">
      <c r="A23" s="420" t="s">
        <v>438</v>
      </c>
      <c r="B23" s="478" t="s">
        <v>369</v>
      </c>
      <c r="C23" s="129" t="s">
        <v>370</v>
      </c>
      <c r="D23" s="60"/>
      <c r="E23" s="57"/>
      <c r="F23" s="62"/>
    </row>
    <row r="24" spans="1:6" ht="30" x14ac:dyDescent="0.25">
      <c r="A24" s="420"/>
      <c r="B24" s="478"/>
      <c r="C24" s="132" t="s">
        <v>380</v>
      </c>
      <c r="D24" s="59"/>
      <c r="E24" s="34"/>
      <c r="F24" s="61"/>
    </row>
    <row r="25" spans="1:6" ht="30" x14ac:dyDescent="0.25">
      <c r="A25" s="420"/>
      <c r="B25" s="478"/>
      <c r="C25" s="132" t="s">
        <v>394</v>
      </c>
      <c r="D25" s="34"/>
      <c r="E25" s="34"/>
      <c r="F25" s="61"/>
    </row>
    <row r="26" spans="1:6" ht="30" x14ac:dyDescent="0.25">
      <c r="A26" s="420"/>
      <c r="B26" s="478"/>
      <c r="C26" s="129" t="s">
        <v>405</v>
      </c>
      <c r="D26" s="35"/>
      <c r="E26" s="57"/>
      <c r="F26" s="62"/>
    </row>
    <row r="27" spans="1:6" ht="30" x14ac:dyDescent="0.25">
      <c r="A27" s="420"/>
      <c r="B27" s="462" t="s">
        <v>421</v>
      </c>
      <c r="C27" s="132" t="s">
        <v>453</v>
      </c>
      <c r="D27" s="38"/>
      <c r="E27" s="38"/>
      <c r="F27" s="63"/>
    </row>
    <row r="28" spans="1:6" ht="30" x14ac:dyDescent="0.25">
      <c r="A28" s="420"/>
      <c r="B28" s="462"/>
      <c r="C28" s="132" t="s">
        <v>428</v>
      </c>
      <c r="D28" s="38"/>
      <c r="E28" s="38"/>
      <c r="F28" s="63"/>
    </row>
    <row r="29" spans="1:6" ht="30" x14ac:dyDescent="0.25">
      <c r="A29" s="420"/>
      <c r="B29" s="462"/>
      <c r="C29" s="132" t="s">
        <v>429</v>
      </c>
      <c r="D29" s="38"/>
      <c r="E29" s="38"/>
      <c r="F29" s="63"/>
    </row>
    <row r="30" spans="1:6" ht="30" x14ac:dyDescent="0.25">
      <c r="A30" s="420"/>
      <c r="B30" s="462"/>
      <c r="C30" s="132" t="s">
        <v>430</v>
      </c>
      <c r="D30" s="38"/>
      <c r="E30" s="38"/>
      <c r="F30" s="63"/>
    </row>
    <row r="31" spans="1:6" ht="30" x14ac:dyDescent="0.25">
      <c r="A31" s="420"/>
      <c r="B31" s="462"/>
      <c r="C31" s="132" t="s">
        <v>432</v>
      </c>
      <c r="D31" s="59"/>
      <c r="E31" s="54"/>
      <c r="F31" s="61"/>
    </row>
    <row r="32" spans="1:6" ht="30" x14ac:dyDescent="0.25">
      <c r="A32" s="420"/>
      <c r="B32" s="462"/>
      <c r="C32" s="132" t="s">
        <v>434</v>
      </c>
      <c r="D32" s="59"/>
      <c r="E32" s="34"/>
      <c r="F32" s="61"/>
    </row>
    <row r="33" spans="1:6" ht="30" x14ac:dyDescent="0.25">
      <c r="A33" s="420"/>
      <c r="B33" s="462"/>
      <c r="C33" s="132" t="s">
        <v>436</v>
      </c>
      <c r="D33" s="34"/>
      <c r="E33" s="34"/>
      <c r="F33" s="61"/>
    </row>
    <row r="34" spans="1:6" ht="30.75" thickBot="1" x14ac:dyDescent="0.3">
      <c r="A34" s="427"/>
      <c r="B34" s="493"/>
      <c r="C34" s="194" t="s">
        <v>437</v>
      </c>
      <c r="D34" s="64"/>
      <c r="E34" s="65"/>
      <c r="F34" s="66"/>
    </row>
  </sheetData>
  <mergeCells count="13">
    <mergeCell ref="I1:M1"/>
    <mergeCell ref="A11:A22"/>
    <mergeCell ref="B11:B14"/>
    <mergeCell ref="B15:B22"/>
    <mergeCell ref="A23:A34"/>
    <mergeCell ref="B23:B26"/>
    <mergeCell ref="B27:B34"/>
    <mergeCell ref="A1:F1"/>
    <mergeCell ref="G1:H1"/>
    <mergeCell ref="A7:F7"/>
    <mergeCell ref="A8:B10"/>
    <mergeCell ref="D8:F8"/>
    <mergeCell ref="D9:F9"/>
  </mergeCells>
  <hyperlinks>
    <hyperlink ref="N1" r:id="rId1" xr:uid="{56280888-1479-48A8-A3F7-CE75AC1EBECB}"/>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E1FC-1D19-43E6-8237-AE0FFB89CDE8}">
  <sheetPr>
    <tabColor theme="9" tint="0.59999389629810485"/>
  </sheetPr>
  <dimension ref="A2:J47"/>
  <sheetViews>
    <sheetView zoomScale="60" zoomScaleNormal="60" workbookViewId="0"/>
  </sheetViews>
  <sheetFormatPr defaultRowHeight="15" x14ac:dyDescent="0.25"/>
  <cols>
    <col min="1" max="1" width="34.85546875" customWidth="1"/>
    <col min="2" max="2" width="17.28515625" customWidth="1"/>
    <col min="3" max="3" width="57.28515625" customWidth="1"/>
    <col min="4" max="4" width="17.28515625" customWidth="1"/>
    <col min="5" max="5" width="33.85546875" customWidth="1"/>
    <col min="6" max="6" width="11.7109375" customWidth="1"/>
    <col min="7" max="7" width="15.28515625" customWidth="1"/>
    <col min="8" max="8" width="15.5703125" customWidth="1"/>
    <col min="11" max="11" width="13" bestFit="1" customWidth="1"/>
    <col min="18" max="19" width="11.5703125" bestFit="1" customWidth="1"/>
  </cols>
  <sheetData>
    <row r="2" spans="1:10" ht="75" x14ac:dyDescent="0.25">
      <c r="A2" s="7" t="s">
        <v>886</v>
      </c>
      <c r="B2" s="7" t="s">
        <v>295</v>
      </c>
      <c r="C2" s="397" t="s">
        <v>296</v>
      </c>
      <c r="E2" s="353" t="s">
        <v>653</v>
      </c>
      <c r="F2" s="353"/>
      <c r="G2" s="353"/>
      <c r="H2" s="353"/>
      <c r="I2" s="353"/>
      <c r="J2" s="353"/>
    </row>
    <row r="3" spans="1:10" x14ac:dyDescent="0.25">
      <c r="E3" s="310" t="s">
        <v>835</v>
      </c>
      <c r="F3" s="310"/>
      <c r="G3" s="310"/>
      <c r="H3" s="310"/>
      <c r="I3" s="310"/>
      <c r="J3" s="310"/>
    </row>
    <row r="6" spans="1:10" x14ac:dyDescent="0.25">
      <c r="A6" t="s">
        <v>887</v>
      </c>
    </row>
    <row r="8" spans="1:10" x14ac:dyDescent="0.25">
      <c r="A8" t="s">
        <v>888</v>
      </c>
    </row>
    <row r="9" spans="1:10" x14ac:dyDescent="0.25">
      <c r="A9" t="s">
        <v>889</v>
      </c>
    </row>
    <row r="10" spans="1:10" x14ac:dyDescent="0.25">
      <c r="A10" t="s">
        <v>890</v>
      </c>
    </row>
    <row r="12" spans="1:10" x14ac:dyDescent="0.25">
      <c r="A12" s="353" t="s">
        <v>891</v>
      </c>
      <c r="B12" s="353"/>
    </row>
    <row r="13" spans="1:10" x14ac:dyDescent="0.25">
      <c r="A13" s="310" t="s">
        <v>892</v>
      </c>
      <c r="B13" s="310"/>
      <c r="C13" s="310"/>
      <c r="D13" s="353"/>
    </row>
    <row r="14" spans="1:10" x14ac:dyDescent="0.25">
      <c r="A14" s="310"/>
      <c r="B14" s="310"/>
      <c r="C14" s="308" t="s">
        <v>893</v>
      </c>
      <c r="D14" s="367" t="s">
        <v>706</v>
      </c>
    </row>
    <row r="15" spans="1:10" x14ac:dyDescent="0.25">
      <c r="A15" s="310" t="s">
        <v>894</v>
      </c>
      <c r="B15" s="310" t="s">
        <v>895</v>
      </c>
      <c r="C15" s="308">
        <v>15</v>
      </c>
      <c r="D15" s="353">
        <f>C15/365/1000</f>
        <v>4.1095890410958898E-5</v>
      </c>
    </row>
    <row r="16" spans="1:10" x14ac:dyDescent="0.25">
      <c r="A16" s="310" t="s">
        <v>896</v>
      </c>
      <c r="B16" s="310" t="s">
        <v>897</v>
      </c>
      <c r="C16" s="308">
        <v>250</v>
      </c>
      <c r="D16" s="358">
        <f>C16/365/1000</f>
        <v>6.8493150684931507E-4</v>
      </c>
    </row>
    <row r="17" spans="1:8" x14ac:dyDescent="0.25">
      <c r="A17" s="310"/>
      <c r="B17" s="310"/>
      <c r="C17" s="310"/>
      <c r="D17" s="353"/>
    </row>
    <row r="19" spans="1:8" ht="15.75" thickBot="1" x14ac:dyDescent="0.3"/>
    <row r="20" spans="1:8" x14ac:dyDescent="0.25">
      <c r="C20" s="489" t="s">
        <v>606</v>
      </c>
      <c r="D20" s="490"/>
      <c r="E20" s="490"/>
      <c r="F20" s="490"/>
      <c r="G20" s="490"/>
      <c r="H20" s="491"/>
    </row>
    <row r="21" spans="1:8" x14ac:dyDescent="0.25">
      <c r="C21" s="492" t="s">
        <v>319</v>
      </c>
      <c r="D21" s="478"/>
      <c r="E21" s="34" t="s">
        <v>607</v>
      </c>
      <c r="F21" s="423" t="s">
        <v>330</v>
      </c>
      <c r="G21" s="457"/>
      <c r="H21" s="458"/>
    </row>
    <row r="22" spans="1:8" x14ac:dyDescent="0.25">
      <c r="C22" s="492"/>
      <c r="D22" s="478"/>
      <c r="E22" s="34" t="s">
        <v>19</v>
      </c>
      <c r="F22" s="462" t="s">
        <v>898</v>
      </c>
      <c r="G22" s="462"/>
      <c r="H22" s="463"/>
    </row>
    <row r="23" spans="1:8" ht="60" x14ac:dyDescent="0.25">
      <c r="C23" s="492"/>
      <c r="D23" s="478"/>
      <c r="E23" s="34" t="s">
        <v>364</v>
      </c>
      <c r="F23" s="34" t="s">
        <v>365</v>
      </c>
      <c r="G23" s="34" t="s">
        <v>366</v>
      </c>
      <c r="H23" s="61" t="s">
        <v>367</v>
      </c>
    </row>
    <row r="24" spans="1:8" x14ac:dyDescent="0.25">
      <c r="C24" s="420" t="s">
        <v>368</v>
      </c>
      <c r="D24" s="478" t="s">
        <v>369</v>
      </c>
      <c r="E24" s="129" t="s">
        <v>370</v>
      </c>
      <c r="F24" s="60"/>
      <c r="G24" s="57"/>
      <c r="H24" s="62"/>
    </row>
    <row r="25" spans="1:8" x14ac:dyDescent="0.25">
      <c r="C25" s="420"/>
      <c r="D25" s="478"/>
      <c r="E25" s="132" t="s">
        <v>380</v>
      </c>
      <c r="F25" s="59"/>
      <c r="G25" s="54"/>
      <c r="H25" s="61"/>
    </row>
    <row r="26" spans="1:8" x14ac:dyDescent="0.25">
      <c r="C26" s="420"/>
      <c r="D26" s="478"/>
      <c r="E26" s="132" t="s">
        <v>394</v>
      </c>
      <c r="F26" s="59"/>
      <c r="G26" s="54"/>
      <c r="H26" s="61"/>
    </row>
    <row r="27" spans="1:8" x14ac:dyDescent="0.25">
      <c r="C27" s="420"/>
      <c r="D27" s="478"/>
      <c r="E27" s="129" t="s">
        <v>405</v>
      </c>
      <c r="F27" s="60"/>
      <c r="G27" s="57"/>
      <c r="H27" s="62"/>
    </row>
    <row r="28" spans="1:8" x14ac:dyDescent="0.25">
      <c r="C28" s="420"/>
      <c r="D28" s="462" t="s">
        <v>421</v>
      </c>
      <c r="E28" s="132" t="s">
        <v>422</v>
      </c>
      <c r="F28" s="76"/>
      <c r="G28" s="34"/>
      <c r="H28" s="63"/>
    </row>
    <row r="29" spans="1:8" x14ac:dyDescent="0.25">
      <c r="C29" s="420"/>
      <c r="D29" s="462"/>
      <c r="E29" s="132" t="s">
        <v>428</v>
      </c>
      <c r="F29" s="76"/>
      <c r="G29" s="46"/>
      <c r="H29" s="61"/>
    </row>
    <row r="30" spans="1:8" ht="30" x14ac:dyDescent="0.25">
      <c r="C30" s="420"/>
      <c r="D30" s="462"/>
      <c r="E30" s="132" t="s">
        <v>429</v>
      </c>
      <c r="F30" s="76"/>
      <c r="G30" s="34"/>
      <c r="H30" s="63"/>
    </row>
    <row r="31" spans="1:8" ht="30" x14ac:dyDescent="0.25">
      <c r="C31" s="420"/>
      <c r="D31" s="462"/>
      <c r="E31" s="132" t="s">
        <v>430</v>
      </c>
      <c r="F31" s="76"/>
      <c r="G31" s="34"/>
      <c r="H31" s="63"/>
    </row>
    <row r="32" spans="1:8" x14ac:dyDescent="0.25">
      <c r="C32" s="420"/>
      <c r="D32" s="462"/>
      <c r="E32" s="132" t="s">
        <v>432</v>
      </c>
      <c r="F32" s="59"/>
      <c r="G32" s="54"/>
      <c r="H32" s="61"/>
    </row>
    <row r="33" spans="3:8" x14ac:dyDescent="0.25">
      <c r="C33" s="420"/>
      <c r="D33" s="462"/>
      <c r="E33" s="132" t="s">
        <v>434</v>
      </c>
      <c r="F33" s="59"/>
      <c r="G33" s="54"/>
      <c r="H33" s="61"/>
    </row>
    <row r="34" spans="3:8" ht="30" x14ac:dyDescent="0.25">
      <c r="C34" s="420"/>
      <c r="D34" s="462"/>
      <c r="E34" s="132" t="s">
        <v>436</v>
      </c>
      <c r="F34" s="34"/>
      <c r="G34" s="54"/>
      <c r="H34" s="61"/>
    </row>
    <row r="35" spans="3:8" x14ac:dyDescent="0.25">
      <c r="C35" s="420"/>
      <c r="D35" s="462"/>
      <c r="E35" s="132" t="s">
        <v>437</v>
      </c>
      <c r="F35" s="59"/>
      <c r="G35" s="54"/>
      <c r="H35" s="61"/>
    </row>
    <row r="36" spans="3:8" ht="90" x14ac:dyDescent="0.25">
      <c r="C36" s="420" t="s">
        <v>438</v>
      </c>
      <c r="D36" s="478" t="s">
        <v>369</v>
      </c>
      <c r="E36" s="129" t="s">
        <v>370</v>
      </c>
      <c r="F36" s="60"/>
      <c r="G36" s="52" t="s">
        <v>442</v>
      </c>
      <c r="H36" s="62" t="s">
        <v>443</v>
      </c>
    </row>
    <row r="37" spans="3:8" x14ac:dyDescent="0.25">
      <c r="C37" s="420"/>
      <c r="D37" s="478"/>
      <c r="E37" s="132" t="s">
        <v>380</v>
      </c>
      <c r="F37" s="59"/>
      <c r="G37" s="54"/>
      <c r="H37" s="61"/>
    </row>
    <row r="38" spans="3:8" x14ac:dyDescent="0.25">
      <c r="C38" s="420"/>
      <c r="D38" s="478"/>
      <c r="E38" s="132" t="s">
        <v>394</v>
      </c>
      <c r="F38" s="34"/>
      <c r="G38" s="34"/>
      <c r="H38" s="61"/>
    </row>
    <row r="39" spans="3:8" x14ac:dyDescent="0.25">
      <c r="C39" s="420"/>
      <c r="D39" s="478"/>
      <c r="E39" s="129" t="s">
        <v>405</v>
      </c>
      <c r="F39" s="35"/>
      <c r="G39" s="52"/>
      <c r="H39" s="62"/>
    </row>
    <row r="40" spans="3:8" x14ac:dyDescent="0.25">
      <c r="C40" s="420"/>
      <c r="D40" s="462" t="s">
        <v>421</v>
      </c>
      <c r="E40" s="132" t="s">
        <v>453</v>
      </c>
      <c r="F40" s="38"/>
      <c r="G40" s="34"/>
      <c r="H40" s="61"/>
    </row>
    <row r="41" spans="3:8" x14ac:dyDescent="0.25">
      <c r="C41" s="420"/>
      <c r="D41" s="462"/>
      <c r="E41" s="132" t="s">
        <v>428</v>
      </c>
      <c r="F41" s="38"/>
      <c r="H41" s="63"/>
    </row>
    <row r="42" spans="3:8" ht="30" x14ac:dyDescent="0.25">
      <c r="C42" s="420"/>
      <c r="D42" s="462"/>
      <c r="E42" s="132" t="s">
        <v>429</v>
      </c>
      <c r="F42" s="38"/>
      <c r="G42" s="38"/>
      <c r="H42" s="63"/>
    </row>
    <row r="43" spans="3:8" ht="30" x14ac:dyDescent="0.25">
      <c r="C43" s="420"/>
      <c r="D43" s="462"/>
      <c r="E43" s="132" t="s">
        <v>430</v>
      </c>
      <c r="F43" s="38"/>
      <c r="G43" s="38"/>
      <c r="H43" s="63"/>
    </row>
    <row r="44" spans="3:8" x14ac:dyDescent="0.25">
      <c r="C44" s="420"/>
      <c r="D44" s="462"/>
      <c r="E44" s="132" t="s">
        <v>432</v>
      </c>
      <c r="F44" s="59"/>
      <c r="G44" s="54"/>
      <c r="H44" s="61"/>
    </row>
    <row r="45" spans="3:8" x14ac:dyDescent="0.25">
      <c r="C45" s="420"/>
      <c r="D45" s="462"/>
      <c r="E45" s="132" t="s">
        <v>434</v>
      </c>
      <c r="F45" s="59"/>
      <c r="G45" s="34"/>
      <c r="H45" s="61"/>
    </row>
    <row r="46" spans="3:8" ht="30" x14ac:dyDescent="0.25">
      <c r="C46" s="420"/>
      <c r="D46" s="462"/>
      <c r="E46" s="132" t="s">
        <v>436</v>
      </c>
      <c r="F46" s="34"/>
      <c r="G46" s="34"/>
      <c r="H46" s="61"/>
    </row>
    <row r="47" spans="3:8" ht="15.75" thickBot="1" x14ac:dyDescent="0.3">
      <c r="C47" s="427"/>
      <c r="D47" s="493"/>
      <c r="E47" s="194" t="s">
        <v>437</v>
      </c>
      <c r="F47" s="64"/>
      <c r="G47" s="65"/>
      <c r="H47" s="66"/>
    </row>
  </sheetData>
  <mergeCells count="10">
    <mergeCell ref="C36:C47"/>
    <mergeCell ref="D36:D39"/>
    <mergeCell ref="D40:D47"/>
    <mergeCell ref="C20:H20"/>
    <mergeCell ref="C21:D23"/>
    <mergeCell ref="F21:H21"/>
    <mergeCell ref="F22:H22"/>
    <mergeCell ref="C24:C35"/>
    <mergeCell ref="D24:D27"/>
    <mergeCell ref="D28:D3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640B7-6855-4C59-93C8-59328D917EFF}">
  <sheetPr>
    <tabColor theme="9" tint="0.59999389629810485"/>
  </sheetPr>
  <dimension ref="A1:P34"/>
  <sheetViews>
    <sheetView zoomScale="70" zoomScaleNormal="70" workbookViewId="0"/>
  </sheetViews>
  <sheetFormatPr defaultRowHeight="15" x14ac:dyDescent="0.25"/>
  <cols>
    <col min="5" max="5" width="28" customWidth="1"/>
    <col min="6" max="6" width="11.85546875" customWidth="1"/>
    <col min="7" max="7" width="16.42578125" customWidth="1"/>
    <col min="8" max="8" width="13.28515625" customWidth="1"/>
    <col min="12" max="12" width="22.5703125" customWidth="1"/>
    <col min="15" max="15" width="17" customWidth="1"/>
    <col min="17" max="17" width="10.28515625" customWidth="1"/>
    <col min="18" max="18" width="17.5703125" customWidth="1"/>
    <col min="19" max="19" width="10.7109375" customWidth="1"/>
  </cols>
  <sheetData>
    <row r="1" spans="1:8" x14ac:dyDescent="0.25">
      <c r="A1" s="2" t="s">
        <v>331</v>
      </c>
    </row>
    <row r="2" spans="1:8" x14ac:dyDescent="0.25">
      <c r="A2" s="2" t="s">
        <v>899</v>
      </c>
    </row>
    <row r="4" spans="1:8" x14ac:dyDescent="0.25">
      <c r="A4" t="s">
        <v>900</v>
      </c>
    </row>
    <row r="6" spans="1:8" ht="15.75" thickBot="1" x14ac:dyDescent="0.3"/>
    <row r="7" spans="1:8" x14ac:dyDescent="0.25">
      <c r="C7" s="489" t="s">
        <v>606</v>
      </c>
      <c r="D7" s="490"/>
      <c r="E7" s="490"/>
      <c r="F7" s="490"/>
      <c r="G7" s="490"/>
      <c r="H7" s="491"/>
    </row>
    <row r="8" spans="1:8" ht="52.5" customHeight="1" x14ac:dyDescent="0.25">
      <c r="C8" s="492" t="s">
        <v>319</v>
      </c>
      <c r="D8" s="478"/>
      <c r="E8" s="34" t="s">
        <v>607</v>
      </c>
      <c r="F8" s="423" t="s">
        <v>331</v>
      </c>
      <c r="G8" s="457"/>
      <c r="H8" s="458"/>
    </row>
    <row r="9" spans="1:8" ht="14.25" customHeight="1" x14ac:dyDescent="0.25">
      <c r="C9" s="492"/>
      <c r="D9" s="478"/>
      <c r="E9" s="34" t="s">
        <v>19</v>
      </c>
      <c r="F9" s="462" t="s">
        <v>899</v>
      </c>
      <c r="G9" s="462"/>
      <c r="H9" s="463"/>
    </row>
    <row r="10" spans="1:8" ht="45" x14ac:dyDescent="0.25">
      <c r="C10" s="492"/>
      <c r="D10" s="478"/>
      <c r="E10" s="34" t="s">
        <v>364</v>
      </c>
      <c r="F10" s="34" t="s">
        <v>365</v>
      </c>
      <c r="G10" s="34" t="s">
        <v>366</v>
      </c>
      <c r="H10" s="61" t="s">
        <v>367</v>
      </c>
    </row>
    <row r="11" spans="1:8" x14ac:dyDescent="0.25">
      <c r="C11" s="420" t="s">
        <v>368</v>
      </c>
      <c r="D11" s="478" t="s">
        <v>369</v>
      </c>
      <c r="E11" s="129" t="s">
        <v>370</v>
      </c>
      <c r="F11" s="60"/>
      <c r="G11" s="57"/>
      <c r="H11" s="62"/>
    </row>
    <row r="12" spans="1:8" x14ac:dyDescent="0.25">
      <c r="C12" s="420"/>
      <c r="D12" s="478"/>
      <c r="E12" s="132" t="s">
        <v>380</v>
      </c>
      <c r="F12" s="59"/>
      <c r="G12" s="54"/>
      <c r="H12" s="61"/>
    </row>
    <row r="13" spans="1:8" ht="30" x14ac:dyDescent="0.25">
      <c r="C13" s="420"/>
      <c r="D13" s="478"/>
      <c r="E13" s="132" t="s">
        <v>394</v>
      </c>
      <c r="F13" s="59"/>
      <c r="G13" s="54"/>
      <c r="H13" s="61"/>
    </row>
    <row r="14" spans="1:8" ht="30" x14ac:dyDescent="0.25">
      <c r="C14" s="420"/>
      <c r="D14" s="478"/>
      <c r="E14" s="129" t="s">
        <v>405</v>
      </c>
      <c r="F14" s="60"/>
      <c r="G14" s="57"/>
      <c r="H14" s="62"/>
    </row>
    <row r="15" spans="1:8" x14ac:dyDescent="0.25">
      <c r="C15" s="420"/>
      <c r="D15" s="462" t="s">
        <v>421</v>
      </c>
      <c r="E15" s="132" t="s">
        <v>422</v>
      </c>
      <c r="F15" s="76"/>
      <c r="G15" s="34"/>
      <c r="H15" s="63"/>
    </row>
    <row r="16" spans="1:8" ht="30" x14ac:dyDescent="0.25">
      <c r="C16" s="420"/>
      <c r="D16" s="462"/>
      <c r="E16" s="132" t="s">
        <v>428</v>
      </c>
      <c r="F16" s="76"/>
      <c r="G16" s="46"/>
      <c r="H16" s="61"/>
    </row>
    <row r="17" spans="3:16" ht="30" x14ac:dyDescent="0.25">
      <c r="C17" s="420"/>
      <c r="D17" s="462"/>
      <c r="E17" s="132" t="s">
        <v>429</v>
      </c>
      <c r="F17" s="76"/>
      <c r="G17" s="34"/>
      <c r="H17" s="63"/>
    </row>
    <row r="18" spans="3:16" ht="30" x14ac:dyDescent="0.25">
      <c r="C18" s="420"/>
      <c r="D18" s="462"/>
      <c r="E18" s="132" t="s">
        <v>430</v>
      </c>
      <c r="F18" s="76"/>
      <c r="G18" s="34"/>
      <c r="H18" s="63"/>
    </row>
    <row r="19" spans="3:16" x14ac:dyDescent="0.25">
      <c r="C19" s="420"/>
      <c r="D19" s="462"/>
      <c r="E19" s="132" t="s">
        <v>432</v>
      </c>
      <c r="F19" s="59"/>
      <c r="G19" s="54"/>
      <c r="H19" s="61"/>
    </row>
    <row r="20" spans="3:16" ht="30" x14ac:dyDescent="0.25">
      <c r="C20" s="420"/>
      <c r="D20" s="462"/>
      <c r="E20" s="132" t="s">
        <v>434</v>
      </c>
      <c r="F20" s="59"/>
      <c r="G20" s="54"/>
      <c r="H20" s="61"/>
    </row>
    <row r="21" spans="3:16" ht="30" x14ac:dyDescent="0.25">
      <c r="C21" s="420"/>
      <c r="D21" s="462"/>
      <c r="E21" s="132" t="s">
        <v>436</v>
      </c>
      <c r="F21" s="34"/>
      <c r="G21" s="54"/>
      <c r="H21" s="61"/>
    </row>
    <row r="22" spans="3:16" ht="30" x14ac:dyDescent="0.25">
      <c r="C22" s="420"/>
      <c r="D22" s="462"/>
      <c r="E22" s="132" t="s">
        <v>437</v>
      </c>
      <c r="F22" s="59"/>
      <c r="G22" s="54"/>
      <c r="H22" s="61"/>
    </row>
    <row r="23" spans="3:16" x14ac:dyDescent="0.25">
      <c r="C23" s="420" t="s">
        <v>438</v>
      </c>
      <c r="D23" s="478" t="s">
        <v>369</v>
      </c>
      <c r="E23" s="129" t="s">
        <v>370</v>
      </c>
      <c r="F23" s="60"/>
      <c r="G23" s="57"/>
      <c r="H23" s="62"/>
    </row>
    <row r="24" spans="3:16" x14ac:dyDescent="0.25">
      <c r="C24" s="420"/>
      <c r="D24" s="478"/>
      <c r="E24" s="132" t="s">
        <v>380</v>
      </c>
      <c r="F24" s="59"/>
      <c r="G24" s="34"/>
      <c r="H24" s="61"/>
    </row>
    <row r="25" spans="3:16" ht="30" x14ac:dyDescent="0.25">
      <c r="C25" s="420"/>
      <c r="D25" s="478"/>
      <c r="E25" s="132" t="s">
        <v>394</v>
      </c>
      <c r="F25" s="34"/>
      <c r="G25" s="34"/>
      <c r="H25" s="61"/>
      <c r="L25" s="3"/>
    </row>
    <row r="26" spans="3:16" ht="30" x14ac:dyDescent="0.25">
      <c r="C26" s="420"/>
      <c r="D26" s="478"/>
      <c r="E26" s="129" t="s">
        <v>405</v>
      </c>
      <c r="F26" s="35"/>
      <c r="G26" s="52"/>
      <c r="H26" s="62"/>
    </row>
    <row r="27" spans="3:16" x14ac:dyDescent="0.25">
      <c r="C27" s="420"/>
      <c r="D27" s="462" t="s">
        <v>421</v>
      </c>
      <c r="E27" s="132" t="s">
        <v>453</v>
      </c>
      <c r="F27" s="38"/>
      <c r="G27" s="34"/>
      <c r="H27" s="63"/>
    </row>
    <row r="28" spans="3:16" ht="30" x14ac:dyDescent="0.25">
      <c r="C28" s="420"/>
      <c r="D28" s="462"/>
      <c r="E28" s="132" t="s">
        <v>428</v>
      </c>
      <c r="F28" s="38"/>
      <c r="G28" s="34"/>
      <c r="H28" s="63"/>
    </row>
    <row r="29" spans="3:16" ht="47.65" customHeight="1" x14ac:dyDescent="0.25">
      <c r="C29" s="420"/>
      <c r="D29" s="462"/>
      <c r="E29" s="132" t="s">
        <v>429</v>
      </c>
      <c r="F29" s="38"/>
      <c r="G29" s="38"/>
      <c r="H29" s="63"/>
      <c r="L29" s="398" t="s">
        <v>901</v>
      </c>
      <c r="M29" s="29"/>
      <c r="N29" s="29"/>
      <c r="O29" s="399" t="s">
        <v>902</v>
      </c>
    </row>
    <row r="30" spans="3:16" ht="30" x14ac:dyDescent="0.25">
      <c r="C30" s="420"/>
      <c r="D30" s="462"/>
      <c r="E30" s="132" t="s">
        <v>430</v>
      </c>
      <c r="F30" s="38"/>
      <c r="G30" s="38"/>
      <c r="H30" s="63"/>
      <c r="L30" s="70" t="s">
        <v>903</v>
      </c>
      <c r="M30" s="51"/>
      <c r="N30" s="51" t="s">
        <v>904</v>
      </c>
      <c r="O30" s="368" t="s">
        <v>820</v>
      </c>
    </row>
    <row r="31" spans="3:16" ht="105" x14ac:dyDescent="0.25">
      <c r="C31" s="420"/>
      <c r="D31" s="462"/>
      <c r="E31" s="132" t="s">
        <v>432</v>
      </c>
      <c r="F31" s="59"/>
      <c r="G31" s="34" t="s">
        <v>455</v>
      </c>
      <c r="H31" s="61" t="s">
        <v>456</v>
      </c>
      <c r="L31" s="51" t="s">
        <v>905</v>
      </c>
      <c r="M31" s="51" t="s">
        <v>462</v>
      </c>
      <c r="N31" s="51">
        <v>5.9999999999999995E-4</v>
      </c>
      <c r="O31" s="369">
        <f>N31/505</f>
        <v>1.1881188118811879E-6</v>
      </c>
    </row>
    <row r="32" spans="3:16" ht="30" x14ac:dyDescent="0.25">
      <c r="C32" s="420"/>
      <c r="D32" s="462"/>
      <c r="E32" s="132" t="s">
        <v>434</v>
      </c>
      <c r="F32" s="59"/>
      <c r="G32" s="34"/>
      <c r="H32" s="61"/>
      <c r="L32" s="51" t="s">
        <v>906</v>
      </c>
      <c r="M32" s="51" t="s">
        <v>461</v>
      </c>
      <c r="N32" s="51">
        <v>0.34300000000000003</v>
      </c>
      <c r="O32" s="369">
        <f>N32/505</f>
        <v>6.7920792079207923E-4</v>
      </c>
      <c r="P32" s="4"/>
    </row>
    <row r="33" spans="3:16" ht="30" x14ac:dyDescent="0.25">
      <c r="C33" s="420"/>
      <c r="D33" s="462"/>
      <c r="E33" s="132" t="s">
        <v>436</v>
      </c>
      <c r="F33" s="34"/>
      <c r="G33" s="34"/>
      <c r="H33" s="61"/>
      <c r="L33" s="51" t="s">
        <v>907</v>
      </c>
      <c r="M33" s="51" t="s">
        <v>908</v>
      </c>
      <c r="N33" s="51">
        <v>34.450000000000003</v>
      </c>
      <c r="O33" s="369">
        <f>N33/505</f>
        <v>6.8217821782178223E-2</v>
      </c>
      <c r="P33" s="4"/>
    </row>
    <row r="34" spans="3:16" ht="30.75" thickBot="1" x14ac:dyDescent="0.3">
      <c r="C34" s="427"/>
      <c r="D34" s="493"/>
      <c r="E34" s="194" t="s">
        <v>437</v>
      </c>
      <c r="F34" s="64"/>
      <c r="G34" s="65"/>
      <c r="H34" s="66"/>
    </row>
  </sheetData>
  <mergeCells count="10">
    <mergeCell ref="C23:C34"/>
    <mergeCell ref="D23:D26"/>
    <mergeCell ref="D27:D34"/>
    <mergeCell ref="C7:H7"/>
    <mergeCell ref="C8:D10"/>
    <mergeCell ref="F8:H8"/>
    <mergeCell ref="F9:H9"/>
    <mergeCell ref="C11:C22"/>
    <mergeCell ref="D11:D14"/>
    <mergeCell ref="D15:D22"/>
  </mergeCells>
  <phoneticPr fontId="16"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387CA-3F6F-4108-AF57-28AE8732083E}">
  <sheetPr>
    <tabColor theme="9" tint="0.59999389629810485"/>
  </sheetPr>
  <dimension ref="A2:V36"/>
  <sheetViews>
    <sheetView zoomScale="60" zoomScaleNormal="60" workbookViewId="0">
      <selection activeCell="C10" sqref="A10:XFD10"/>
    </sheetView>
  </sheetViews>
  <sheetFormatPr defaultRowHeight="15" x14ac:dyDescent="0.25"/>
  <cols>
    <col min="3" max="3" width="24.140625" customWidth="1"/>
    <col min="4" max="6" width="19.5703125" customWidth="1"/>
    <col min="8" max="11" width="27.7109375" customWidth="1"/>
  </cols>
  <sheetData>
    <row r="2" spans="1:22" ht="27" customHeight="1" x14ac:dyDescent="0.25">
      <c r="A2" s="523" t="s">
        <v>332</v>
      </c>
      <c r="B2" s="523"/>
      <c r="C2" s="523"/>
      <c r="D2" s="523"/>
      <c r="E2" s="523"/>
      <c r="F2" s="523"/>
      <c r="G2" s="523"/>
      <c r="H2" s="522" t="s">
        <v>909</v>
      </c>
      <c r="I2" s="522"/>
      <c r="J2" s="522" t="s">
        <v>910</v>
      </c>
      <c r="K2" s="522"/>
    </row>
    <row r="3" spans="1:22" ht="14.45" customHeight="1" x14ac:dyDescent="0.25">
      <c r="A3" s="5" t="s">
        <v>656</v>
      </c>
      <c r="G3" s="79"/>
      <c r="H3" s="79"/>
      <c r="I3" s="79"/>
      <c r="J3" s="25"/>
      <c r="K3" s="25"/>
      <c r="L3" s="25"/>
      <c r="M3" s="25"/>
      <c r="N3" s="25"/>
      <c r="O3" s="25"/>
      <c r="P3" s="25"/>
      <c r="Q3" s="25"/>
      <c r="R3" s="25"/>
      <c r="S3" s="25"/>
      <c r="T3" s="25"/>
      <c r="U3" s="25"/>
      <c r="V3" s="25"/>
    </row>
    <row r="4" spans="1:22" ht="14.45" customHeight="1" x14ac:dyDescent="0.25">
      <c r="A4" s="25"/>
      <c r="B4" s="25"/>
      <c r="C4" s="25"/>
      <c r="D4" s="25"/>
      <c r="E4" s="25"/>
      <c r="F4" s="79"/>
      <c r="G4" s="79"/>
      <c r="H4" s="79"/>
      <c r="I4" s="79"/>
      <c r="J4" s="25"/>
      <c r="K4" s="25"/>
      <c r="L4" s="25"/>
      <c r="M4" s="25"/>
      <c r="N4" s="25"/>
      <c r="O4" s="25"/>
      <c r="P4" s="25"/>
      <c r="Q4" s="25"/>
      <c r="R4" s="25"/>
      <c r="S4" s="25"/>
      <c r="T4" s="25"/>
      <c r="U4" s="25"/>
      <c r="V4" s="25"/>
    </row>
    <row r="5" spans="1:22" ht="14.45" customHeight="1" x14ac:dyDescent="0.25">
      <c r="A5" s="25" t="s">
        <v>911</v>
      </c>
      <c r="B5" s="25"/>
      <c r="C5" s="25"/>
      <c r="D5" s="25"/>
      <c r="E5" s="25"/>
      <c r="F5" s="79"/>
      <c r="G5" s="79"/>
      <c r="H5" s="79"/>
      <c r="I5" s="79"/>
      <c r="J5" s="25"/>
      <c r="K5" s="25"/>
      <c r="L5" s="25"/>
      <c r="M5" s="25"/>
      <c r="N5" s="25"/>
      <c r="O5" s="25"/>
      <c r="P5" s="25"/>
      <c r="Q5" s="25"/>
      <c r="R5" s="25"/>
      <c r="S5" s="25"/>
      <c r="T5" s="25"/>
      <c r="U5" s="25"/>
      <c r="V5" s="25"/>
    </row>
    <row r="6" spans="1:22" ht="14.45" customHeight="1" x14ac:dyDescent="0.25">
      <c r="A6" s="25" t="s">
        <v>912</v>
      </c>
      <c r="B6" s="25"/>
      <c r="C6" s="25"/>
      <c r="D6" s="25"/>
      <c r="E6" s="25"/>
      <c r="F6" s="79"/>
      <c r="G6" s="79"/>
      <c r="H6" s="79"/>
      <c r="I6" s="79"/>
      <c r="J6" s="25"/>
      <c r="K6" s="25"/>
      <c r="L6" s="25"/>
      <c r="M6" s="25"/>
      <c r="N6" s="25"/>
      <c r="O6" s="25"/>
      <c r="P6" s="25"/>
      <c r="Q6" s="25"/>
      <c r="R6" s="25"/>
      <c r="S6" s="25"/>
      <c r="T6" s="25"/>
      <c r="U6" s="25"/>
      <c r="V6" s="25"/>
    </row>
    <row r="7" spans="1:22" ht="14.45" customHeight="1" x14ac:dyDescent="0.25">
      <c r="A7" s="25"/>
      <c r="B7" s="25"/>
      <c r="C7" s="25"/>
      <c r="D7" s="25"/>
      <c r="E7" s="25"/>
      <c r="F7" s="79"/>
      <c r="G7" s="79"/>
      <c r="H7" s="79"/>
      <c r="I7" s="79"/>
      <c r="J7" s="25"/>
      <c r="K7" s="25"/>
      <c r="L7" s="25"/>
      <c r="M7" s="25"/>
      <c r="N7" s="25"/>
      <c r="O7" s="25"/>
      <c r="P7" s="25"/>
      <c r="Q7" s="25"/>
      <c r="R7" s="25"/>
      <c r="S7" s="25"/>
      <c r="T7" s="25"/>
      <c r="U7" s="25"/>
      <c r="V7" s="25"/>
    </row>
    <row r="8" spans="1:22" ht="15.75" thickBot="1" x14ac:dyDescent="0.3"/>
    <row r="9" spans="1:22" x14ac:dyDescent="0.25">
      <c r="A9" s="489" t="s">
        <v>606</v>
      </c>
      <c r="B9" s="490"/>
      <c r="C9" s="490"/>
      <c r="D9" s="490"/>
      <c r="E9" s="490"/>
      <c r="F9" s="491"/>
    </row>
    <row r="10" spans="1:22" ht="36.75" customHeight="1" x14ac:dyDescent="0.25">
      <c r="A10" s="492" t="s">
        <v>319</v>
      </c>
      <c r="B10" s="478"/>
      <c r="C10" s="34" t="s">
        <v>607</v>
      </c>
      <c r="D10" s="423" t="s">
        <v>332</v>
      </c>
      <c r="E10" s="457"/>
      <c r="F10" s="458"/>
    </row>
    <row r="11" spans="1:22" x14ac:dyDescent="0.25">
      <c r="A11" s="492"/>
      <c r="B11" s="478"/>
      <c r="C11" s="34" t="s">
        <v>19</v>
      </c>
      <c r="D11" s="462" t="s">
        <v>913</v>
      </c>
      <c r="E11" s="462"/>
      <c r="F11" s="463"/>
    </row>
    <row r="12" spans="1:22" ht="60" x14ac:dyDescent="0.25">
      <c r="A12" s="492"/>
      <c r="B12" s="478"/>
      <c r="C12" s="34" t="s">
        <v>364</v>
      </c>
      <c r="D12" s="34" t="s">
        <v>365</v>
      </c>
      <c r="E12" s="83" t="s">
        <v>366</v>
      </c>
      <c r="F12" s="61" t="s">
        <v>367</v>
      </c>
    </row>
    <row r="13" spans="1:22" x14ac:dyDescent="0.25">
      <c r="A13" s="420" t="s">
        <v>368</v>
      </c>
      <c r="B13" s="478" t="s">
        <v>369</v>
      </c>
      <c r="C13" s="129" t="s">
        <v>370</v>
      </c>
      <c r="D13" s="81"/>
      <c r="E13" s="85"/>
      <c r="F13" s="82"/>
    </row>
    <row r="14" spans="1:22" ht="30" x14ac:dyDescent="0.25">
      <c r="A14" s="420"/>
      <c r="B14" s="478"/>
      <c r="C14" s="132" t="s">
        <v>380</v>
      </c>
      <c r="D14" s="59"/>
      <c r="E14" s="84"/>
      <c r="F14" s="61"/>
    </row>
    <row r="15" spans="1:22" ht="30" x14ac:dyDescent="0.25">
      <c r="A15" s="420"/>
      <c r="B15" s="478"/>
      <c r="C15" s="132" t="s">
        <v>394</v>
      </c>
      <c r="D15" s="59"/>
      <c r="E15" s="54"/>
      <c r="F15" s="61"/>
    </row>
    <row r="16" spans="1:22" ht="30" x14ac:dyDescent="0.25">
      <c r="A16" s="420"/>
      <c r="B16" s="478"/>
      <c r="C16" s="129" t="s">
        <v>405</v>
      </c>
      <c r="D16" s="60"/>
      <c r="E16" s="57"/>
      <c r="F16" s="62"/>
    </row>
    <row r="17" spans="1:6" ht="60" x14ac:dyDescent="0.25">
      <c r="A17" s="420"/>
      <c r="B17" s="462" t="s">
        <v>421</v>
      </c>
      <c r="C17" s="132" t="s">
        <v>422</v>
      </c>
      <c r="D17" s="138" t="s">
        <v>914</v>
      </c>
      <c r="E17" s="34"/>
      <c r="F17" s="63"/>
    </row>
    <row r="18" spans="1:6" ht="30" x14ac:dyDescent="0.25">
      <c r="A18" s="420"/>
      <c r="B18" s="462"/>
      <c r="C18" s="132" t="s">
        <v>428</v>
      </c>
      <c r="D18" s="138"/>
      <c r="E18" s="46"/>
      <c r="F18" s="61"/>
    </row>
    <row r="19" spans="1:6" ht="30" x14ac:dyDescent="0.25">
      <c r="A19" s="420"/>
      <c r="B19" s="462"/>
      <c r="C19" s="132" t="s">
        <v>429</v>
      </c>
      <c r="D19" s="76"/>
      <c r="E19" s="34"/>
      <c r="F19" s="63"/>
    </row>
    <row r="20" spans="1:6" ht="30" x14ac:dyDescent="0.25">
      <c r="A20" s="420"/>
      <c r="B20" s="462"/>
      <c r="C20" s="132" t="s">
        <v>430</v>
      </c>
      <c r="D20" s="76"/>
      <c r="E20" s="34"/>
      <c r="F20" s="63"/>
    </row>
    <row r="21" spans="1:6" x14ac:dyDescent="0.25">
      <c r="A21" s="420"/>
      <c r="B21" s="462"/>
      <c r="C21" s="132" t="s">
        <v>432</v>
      </c>
      <c r="D21" s="59"/>
      <c r="E21" s="54"/>
      <c r="F21" s="61"/>
    </row>
    <row r="22" spans="1:6" ht="30" x14ac:dyDescent="0.25">
      <c r="A22" s="420"/>
      <c r="B22" s="462"/>
      <c r="C22" s="132" t="s">
        <v>434</v>
      </c>
      <c r="D22" s="59"/>
      <c r="E22" s="54"/>
      <c r="F22" s="61"/>
    </row>
    <row r="23" spans="1:6" ht="30" x14ac:dyDescent="0.25">
      <c r="A23" s="420"/>
      <c r="B23" s="462"/>
      <c r="C23" s="132" t="s">
        <v>436</v>
      </c>
      <c r="D23" s="34"/>
      <c r="E23" s="54"/>
      <c r="F23" s="61"/>
    </row>
    <row r="24" spans="1:6" ht="30" x14ac:dyDescent="0.25">
      <c r="A24" s="420"/>
      <c r="B24" s="462"/>
      <c r="C24" s="132" t="s">
        <v>437</v>
      </c>
      <c r="D24" s="59"/>
      <c r="E24" s="54"/>
      <c r="F24" s="61"/>
    </row>
    <row r="25" spans="1:6" x14ac:dyDescent="0.25">
      <c r="A25" s="420" t="s">
        <v>438</v>
      </c>
      <c r="B25" s="478" t="s">
        <v>369</v>
      </c>
      <c r="C25" s="129" t="s">
        <v>370</v>
      </c>
      <c r="D25" s="60"/>
      <c r="E25" s="57"/>
      <c r="F25" s="62"/>
    </row>
    <row r="26" spans="1:6" ht="30" x14ac:dyDescent="0.25">
      <c r="A26" s="420"/>
      <c r="B26" s="478"/>
      <c r="C26" s="132" t="s">
        <v>380</v>
      </c>
      <c r="D26" s="59"/>
      <c r="E26" s="34"/>
      <c r="F26" s="61"/>
    </row>
    <row r="27" spans="1:6" ht="30" x14ac:dyDescent="0.25">
      <c r="A27" s="420"/>
      <c r="B27" s="478"/>
      <c r="C27" s="132" t="s">
        <v>394</v>
      </c>
      <c r="D27" s="34"/>
      <c r="E27" s="34"/>
      <c r="F27" s="61"/>
    </row>
    <row r="28" spans="1:6" ht="30" x14ac:dyDescent="0.25">
      <c r="A28" s="420"/>
      <c r="B28" s="478"/>
      <c r="C28" s="129" t="s">
        <v>405</v>
      </c>
      <c r="D28" s="35"/>
      <c r="E28" s="52"/>
      <c r="F28" s="62"/>
    </row>
    <row r="29" spans="1:6" ht="30" x14ac:dyDescent="0.25">
      <c r="A29" s="420"/>
      <c r="B29" s="462" t="s">
        <v>421</v>
      </c>
      <c r="C29" s="132" t="s">
        <v>453</v>
      </c>
      <c r="D29" s="38"/>
      <c r="E29" s="34"/>
      <c r="F29" s="63"/>
    </row>
    <row r="30" spans="1:6" ht="30" x14ac:dyDescent="0.25">
      <c r="A30" s="420"/>
      <c r="B30" s="462"/>
      <c r="C30" s="132" t="s">
        <v>428</v>
      </c>
      <c r="D30" s="38"/>
      <c r="E30" s="34"/>
      <c r="F30" s="63"/>
    </row>
    <row r="31" spans="1:6" ht="30" x14ac:dyDescent="0.25">
      <c r="A31" s="420"/>
      <c r="B31" s="462"/>
      <c r="C31" s="132" t="s">
        <v>429</v>
      </c>
      <c r="D31" s="38"/>
      <c r="E31" s="38"/>
      <c r="F31" s="63"/>
    </row>
    <row r="32" spans="1:6" ht="30" x14ac:dyDescent="0.25">
      <c r="A32" s="420"/>
      <c r="B32" s="462"/>
      <c r="C32" s="132" t="s">
        <v>430</v>
      </c>
      <c r="D32" s="38"/>
      <c r="E32" s="38"/>
      <c r="F32" s="63"/>
    </row>
    <row r="33" spans="1:6" x14ac:dyDescent="0.25">
      <c r="A33" s="420"/>
      <c r="B33" s="462"/>
      <c r="C33" s="132" t="s">
        <v>432</v>
      </c>
      <c r="D33" s="59"/>
      <c r="E33" s="54"/>
      <c r="F33" s="61"/>
    </row>
    <row r="34" spans="1:6" ht="30" x14ac:dyDescent="0.25">
      <c r="A34" s="420"/>
      <c r="B34" s="462"/>
      <c r="C34" s="132" t="s">
        <v>434</v>
      </c>
      <c r="D34" s="59"/>
      <c r="E34" s="34"/>
      <c r="F34" s="61"/>
    </row>
    <row r="35" spans="1:6" ht="30" x14ac:dyDescent="0.25">
      <c r="A35" s="420"/>
      <c r="B35" s="462"/>
      <c r="C35" s="132" t="s">
        <v>436</v>
      </c>
      <c r="D35" s="34"/>
      <c r="E35" s="34"/>
      <c r="F35" s="61"/>
    </row>
    <row r="36" spans="1:6" ht="30.75" thickBot="1" x14ac:dyDescent="0.3">
      <c r="A36" s="427"/>
      <c r="B36" s="493"/>
      <c r="C36" s="194" t="s">
        <v>437</v>
      </c>
      <c r="D36" s="64"/>
      <c r="E36" s="65"/>
      <c r="F36" s="66"/>
    </row>
  </sheetData>
  <mergeCells count="13">
    <mergeCell ref="J2:K2"/>
    <mergeCell ref="A2:G2"/>
    <mergeCell ref="H2:I2"/>
    <mergeCell ref="A9:F9"/>
    <mergeCell ref="A25:A36"/>
    <mergeCell ref="B25:B28"/>
    <mergeCell ref="B29:B36"/>
    <mergeCell ref="A10:B12"/>
    <mergeCell ref="D10:F10"/>
    <mergeCell ref="D11:F11"/>
    <mergeCell ref="A13:A24"/>
    <mergeCell ref="B13:B16"/>
    <mergeCell ref="B17:B24"/>
  </mergeCells>
  <hyperlinks>
    <hyperlink ref="A3" r:id="rId1" xr:uid="{C77588C0-C62E-42F7-90E5-6D19014686EF}"/>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0C5C8-F222-4CF6-8B5F-7E8FD1643F1E}">
  <sheetPr>
    <tabColor theme="9" tint="0.59999389629810485"/>
  </sheetPr>
  <dimension ref="A2:N57"/>
  <sheetViews>
    <sheetView zoomScale="60" zoomScaleNormal="60" workbookViewId="0"/>
  </sheetViews>
  <sheetFormatPr defaultRowHeight="15" x14ac:dyDescent="0.25"/>
  <cols>
    <col min="3" max="3" width="22.42578125" customWidth="1"/>
    <col min="4" max="4" width="26.7109375" customWidth="1"/>
    <col min="5" max="5" width="22.42578125" customWidth="1"/>
  </cols>
  <sheetData>
    <row r="2" spans="1:6" x14ac:dyDescent="0.25">
      <c r="A2" s="303" t="s">
        <v>184</v>
      </c>
    </row>
    <row r="3" spans="1:6" ht="75" x14ac:dyDescent="0.25">
      <c r="A3" s="2" t="s">
        <v>181</v>
      </c>
      <c r="D3" s="79" t="s">
        <v>182</v>
      </c>
      <c r="E3" s="395" t="s">
        <v>656</v>
      </c>
    </row>
    <row r="4" spans="1:6" x14ac:dyDescent="0.25">
      <c r="A4" s="353" t="s">
        <v>653</v>
      </c>
      <c r="B4" s="353"/>
      <c r="C4" s="353"/>
      <c r="D4" s="353"/>
      <c r="E4" s="353"/>
      <c r="F4" s="353"/>
    </row>
    <row r="5" spans="1:6" x14ac:dyDescent="0.25">
      <c r="A5" t="s">
        <v>915</v>
      </c>
      <c r="B5" s="2" t="s">
        <v>916</v>
      </c>
    </row>
    <row r="6" spans="1:6" x14ac:dyDescent="0.25">
      <c r="B6" t="s">
        <v>917</v>
      </c>
    </row>
    <row r="7" spans="1:6" x14ac:dyDescent="0.25">
      <c r="B7" t="s">
        <v>918</v>
      </c>
    </row>
    <row r="8" spans="1:6" x14ac:dyDescent="0.25">
      <c r="B8" t="s">
        <v>919</v>
      </c>
      <c r="D8" s="358">
        <f>1/(5000)</f>
        <v>2.0000000000000001E-4</v>
      </c>
      <c r="E8" t="s">
        <v>450</v>
      </c>
    </row>
    <row r="9" spans="1:6" x14ac:dyDescent="0.25">
      <c r="B9" s="28"/>
      <c r="D9" s="89"/>
    </row>
    <row r="10" spans="1:6" x14ac:dyDescent="0.25">
      <c r="D10" s="89"/>
    </row>
    <row r="12" spans="1:6" x14ac:dyDescent="0.25">
      <c r="B12" s="2" t="s">
        <v>920</v>
      </c>
    </row>
    <row r="13" spans="1:6" x14ac:dyDescent="0.25">
      <c r="B13" s="2" t="s">
        <v>921</v>
      </c>
    </row>
    <row r="14" spans="1:6" x14ac:dyDescent="0.25">
      <c r="B14" t="s">
        <v>922</v>
      </c>
      <c r="F14" t="s">
        <v>923</v>
      </c>
    </row>
    <row r="15" spans="1:6" x14ac:dyDescent="0.25">
      <c r="B15" t="s">
        <v>924</v>
      </c>
    </row>
    <row r="16" spans="1:6" x14ac:dyDescent="0.25">
      <c r="B16" t="s">
        <v>925</v>
      </c>
      <c r="D16" s="89">
        <f>1/(3000)</f>
        <v>3.3333333333333332E-4</v>
      </c>
      <c r="E16" t="s">
        <v>450</v>
      </c>
    </row>
    <row r="17" spans="2:11" x14ac:dyDescent="0.25">
      <c r="B17" t="s">
        <v>925</v>
      </c>
      <c r="D17" s="89">
        <f>1/10000</f>
        <v>1E-4</v>
      </c>
      <c r="E17" t="s">
        <v>926</v>
      </c>
    </row>
    <row r="19" spans="2:11" x14ac:dyDescent="0.25">
      <c r="B19" s="2" t="s">
        <v>927</v>
      </c>
    </row>
    <row r="20" spans="2:11" x14ac:dyDescent="0.25">
      <c r="B20" s="28" t="s">
        <v>928</v>
      </c>
      <c r="F20" t="s">
        <v>923</v>
      </c>
    </row>
    <row r="21" spans="2:11" x14ac:dyDescent="0.25">
      <c r="B21" t="s">
        <v>929</v>
      </c>
      <c r="D21" s="89">
        <f>1/(10000)</f>
        <v>1E-4</v>
      </c>
      <c r="E21" s="28" t="s">
        <v>450</v>
      </c>
    </row>
    <row r="22" spans="2:11" x14ac:dyDescent="0.25">
      <c r="B22" t="s">
        <v>929</v>
      </c>
      <c r="D22" s="358">
        <f>1/100000</f>
        <v>1.0000000000000001E-5</v>
      </c>
      <c r="E22" t="s">
        <v>926</v>
      </c>
    </row>
    <row r="23" spans="2:11" x14ac:dyDescent="0.25">
      <c r="D23" s="89"/>
    </row>
    <row r="24" spans="2:11" x14ac:dyDescent="0.25">
      <c r="B24" s="2" t="s">
        <v>930</v>
      </c>
      <c r="D24" s="89"/>
    </row>
    <row r="25" spans="2:11" x14ac:dyDescent="0.25">
      <c r="B25" s="28" t="s">
        <v>931</v>
      </c>
      <c r="F25" t="s">
        <v>932</v>
      </c>
    </row>
    <row r="26" spans="2:11" x14ac:dyDescent="0.25">
      <c r="B26" s="28" t="s">
        <v>933</v>
      </c>
      <c r="D26" s="358">
        <f>1/175000</f>
        <v>5.7142857142857145E-6</v>
      </c>
      <c r="E26" t="s">
        <v>926</v>
      </c>
    </row>
    <row r="27" spans="2:11" x14ac:dyDescent="0.25">
      <c r="B27" s="28"/>
      <c r="D27" s="89"/>
    </row>
    <row r="28" spans="2:11" ht="43.5" customHeight="1" x14ac:dyDescent="0.25">
      <c r="B28" s="524" t="s">
        <v>934</v>
      </c>
      <c r="C28" s="524"/>
      <c r="D28" s="524"/>
      <c r="E28" s="524"/>
      <c r="F28" s="524"/>
      <c r="G28" s="524"/>
      <c r="H28" s="524"/>
      <c r="I28" s="524"/>
      <c r="J28" s="524"/>
      <c r="K28" s="524"/>
    </row>
    <row r="29" spans="2:11" ht="15.75" thickBot="1" x14ac:dyDescent="0.3"/>
    <row r="30" spans="2:11" x14ac:dyDescent="0.25">
      <c r="B30" s="489" t="s">
        <v>606</v>
      </c>
      <c r="C30" s="490"/>
      <c r="D30" s="490"/>
      <c r="E30" s="490"/>
      <c r="F30" s="490"/>
      <c r="G30" s="491"/>
    </row>
    <row r="31" spans="2:11" ht="55.15" customHeight="1" x14ac:dyDescent="0.25">
      <c r="B31" s="492" t="s">
        <v>319</v>
      </c>
      <c r="C31" s="478"/>
      <c r="D31" s="34" t="s">
        <v>607</v>
      </c>
      <c r="E31" s="526" t="s">
        <v>184</v>
      </c>
      <c r="F31" s="526"/>
      <c r="G31" s="527"/>
    </row>
    <row r="32" spans="2:11" x14ac:dyDescent="0.25">
      <c r="B32" s="492"/>
      <c r="C32" s="478"/>
      <c r="D32" s="34" t="s">
        <v>19</v>
      </c>
      <c r="E32" s="462" t="s">
        <v>181</v>
      </c>
      <c r="F32" s="462"/>
      <c r="G32" s="463"/>
    </row>
    <row r="33" spans="2:14" ht="75" x14ac:dyDescent="0.25">
      <c r="B33" s="492"/>
      <c r="C33" s="478"/>
      <c r="D33" s="34" t="s">
        <v>364</v>
      </c>
      <c r="E33" s="34" t="s">
        <v>365</v>
      </c>
      <c r="F33" s="34" t="s">
        <v>366</v>
      </c>
      <c r="G33" s="61" t="s">
        <v>367</v>
      </c>
      <c r="I33" s="21" t="s">
        <v>435</v>
      </c>
    </row>
    <row r="34" spans="2:14" x14ac:dyDescent="0.25">
      <c r="B34" s="420" t="s">
        <v>368</v>
      </c>
      <c r="C34" s="478" t="s">
        <v>369</v>
      </c>
      <c r="D34" s="129" t="s">
        <v>370</v>
      </c>
      <c r="E34" s="58"/>
      <c r="F34" s="35"/>
      <c r="G34" s="62"/>
      <c r="H34" s="525"/>
      <c r="I34" s="525"/>
      <c r="J34" s="525"/>
      <c r="K34" s="525"/>
      <c r="L34" s="525"/>
      <c r="M34" s="525"/>
      <c r="N34" s="525"/>
    </row>
    <row r="35" spans="2:14" ht="30" x14ac:dyDescent="0.25">
      <c r="B35" s="420"/>
      <c r="C35" s="478"/>
      <c r="D35" s="132" t="s">
        <v>380</v>
      </c>
      <c r="E35" s="59">
        <v>1.0000000000000001E-5</v>
      </c>
      <c r="F35" s="34" t="s">
        <v>376</v>
      </c>
      <c r="G35" s="61" t="s">
        <v>390</v>
      </c>
    </row>
    <row r="36" spans="2:14" ht="30" x14ac:dyDescent="0.25">
      <c r="B36" s="420"/>
      <c r="C36" s="478"/>
      <c r="D36" s="132" t="s">
        <v>394</v>
      </c>
      <c r="E36" s="59">
        <v>1.0000000000000001E-5</v>
      </c>
      <c r="F36" s="34" t="s">
        <v>376</v>
      </c>
      <c r="G36" s="61" t="s">
        <v>390</v>
      </c>
    </row>
    <row r="37" spans="2:14" ht="45" x14ac:dyDescent="0.25">
      <c r="B37" s="420"/>
      <c r="C37" s="478"/>
      <c r="D37" s="129" t="s">
        <v>405</v>
      </c>
      <c r="E37" s="224">
        <v>5.7100000000000004E-6</v>
      </c>
      <c r="F37" s="35" t="s">
        <v>376</v>
      </c>
      <c r="G37" s="62" t="s">
        <v>417</v>
      </c>
      <c r="H37" s="525"/>
      <c r="I37" s="525"/>
      <c r="J37" s="525"/>
      <c r="K37" s="525"/>
      <c r="L37" s="525"/>
      <c r="M37" s="525"/>
      <c r="N37" s="525"/>
    </row>
    <row r="38" spans="2:14" x14ac:dyDescent="0.25">
      <c r="B38" s="420"/>
      <c r="C38" s="462" t="s">
        <v>421</v>
      </c>
      <c r="D38" s="132" t="s">
        <v>422</v>
      </c>
      <c r="E38" s="34"/>
      <c r="F38" s="46"/>
      <c r="G38" s="61"/>
    </row>
    <row r="39" spans="2:14" ht="30" x14ac:dyDescent="0.25">
      <c r="B39" s="420"/>
      <c r="C39" s="462"/>
      <c r="D39" s="132" t="s">
        <v>428</v>
      </c>
      <c r="E39" s="34"/>
      <c r="F39" s="46"/>
      <c r="G39" s="61"/>
    </row>
    <row r="40" spans="2:14" ht="30" x14ac:dyDescent="0.25">
      <c r="B40" s="420"/>
      <c r="C40" s="462"/>
      <c r="D40" s="132" t="s">
        <v>429</v>
      </c>
      <c r="E40" s="38"/>
      <c r="F40" s="38"/>
      <c r="G40" s="63"/>
    </row>
    <row r="41" spans="2:14" ht="30" x14ac:dyDescent="0.25">
      <c r="B41" s="420"/>
      <c r="C41" s="462"/>
      <c r="D41" s="132" t="s">
        <v>430</v>
      </c>
      <c r="E41" s="38"/>
      <c r="F41" s="38"/>
      <c r="G41" s="63"/>
    </row>
    <row r="42" spans="2:14" x14ac:dyDescent="0.25">
      <c r="B42" s="420"/>
      <c r="C42" s="462"/>
      <c r="D42" s="132" t="s">
        <v>432</v>
      </c>
      <c r="E42" s="34"/>
      <c r="F42" s="34"/>
      <c r="G42" s="61"/>
    </row>
    <row r="43" spans="2:14" ht="30" x14ac:dyDescent="0.25">
      <c r="B43" s="420"/>
      <c r="C43" s="462"/>
      <c r="D43" s="132" t="s">
        <v>434</v>
      </c>
      <c r="E43" s="34"/>
      <c r="F43" s="34"/>
      <c r="G43" s="61"/>
    </row>
    <row r="44" spans="2:14" ht="30" x14ac:dyDescent="0.25">
      <c r="B44" s="420"/>
      <c r="C44" s="462"/>
      <c r="D44" s="132" t="s">
        <v>436</v>
      </c>
      <c r="E44" s="38"/>
      <c r="F44" s="38"/>
      <c r="G44" s="63"/>
    </row>
    <row r="45" spans="2:14" ht="30" x14ac:dyDescent="0.25">
      <c r="B45" s="420"/>
      <c r="C45" s="462"/>
      <c r="D45" s="132" t="s">
        <v>437</v>
      </c>
      <c r="E45" s="38"/>
      <c r="F45" s="38"/>
      <c r="G45" s="63"/>
    </row>
    <row r="46" spans="2:14" x14ac:dyDescent="0.25">
      <c r="B46" s="420" t="s">
        <v>438</v>
      </c>
      <c r="C46" s="478" t="s">
        <v>369</v>
      </c>
      <c r="D46" s="129" t="s">
        <v>370</v>
      </c>
      <c r="E46" s="52"/>
      <c r="F46" s="52"/>
      <c r="G46" s="168"/>
    </row>
    <row r="47" spans="2:14" x14ac:dyDescent="0.25">
      <c r="B47" s="420"/>
      <c r="C47" s="478"/>
      <c r="D47" s="132" t="s">
        <v>380</v>
      </c>
      <c r="E47" s="59">
        <v>2.0000000000000001E-4</v>
      </c>
      <c r="F47" s="34" t="s">
        <v>376</v>
      </c>
      <c r="G47" s="61" t="s">
        <v>450</v>
      </c>
    </row>
    <row r="48" spans="2:14" ht="30" x14ac:dyDescent="0.25">
      <c r="B48" s="420"/>
      <c r="C48" s="478"/>
      <c r="D48" s="132" t="s">
        <v>394</v>
      </c>
      <c r="E48" s="34"/>
      <c r="F48" s="34"/>
      <c r="G48" s="61"/>
    </row>
    <row r="49" spans="2:8" ht="30" x14ac:dyDescent="0.25">
      <c r="B49" s="420"/>
      <c r="C49" s="478"/>
      <c r="D49" s="129" t="s">
        <v>405</v>
      </c>
      <c r="E49" s="224"/>
      <c r="F49" s="52"/>
      <c r="G49" s="168"/>
      <c r="H49" s="28"/>
    </row>
    <row r="50" spans="2:8" ht="30" x14ac:dyDescent="0.25">
      <c r="B50" s="420"/>
      <c r="C50" s="462" t="s">
        <v>421</v>
      </c>
      <c r="D50" s="132" t="s">
        <v>453</v>
      </c>
      <c r="E50" s="38"/>
      <c r="F50" s="38"/>
      <c r="G50" s="63"/>
    </row>
    <row r="51" spans="2:8" ht="30" x14ac:dyDescent="0.25">
      <c r="B51" s="420"/>
      <c r="C51" s="462"/>
      <c r="D51" s="132" t="s">
        <v>428</v>
      </c>
      <c r="E51" s="38"/>
      <c r="F51" s="38"/>
      <c r="G51" s="63"/>
    </row>
    <row r="52" spans="2:8" ht="30" x14ac:dyDescent="0.25">
      <c r="B52" s="420"/>
      <c r="C52" s="462"/>
      <c r="D52" s="132" t="s">
        <v>429</v>
      </c>
      <c r="E52" s="38"/>
      <c r="F52" s="38"/>
      <c r="G52" s="63"/>
    </row>
    <row r="53" spans="2:8" ht="30" x14ac:dyDescent="0.25">
      <c r="B53" s="420"/>
      <c r="C53" s="462"/>
      <c r="D53" s="132" t="s">
        <v>430</v>
      </c>
      <c r="E53" s="38"/>
      <c r="F53" s="38"/>
      <c r="G53" s="63"/>
    </row>
    <row r="54" spans="2:8" x14ac:dyDescent="0.25">
      <c r="B54" s="420"/>
      <c r="C54" s="462"/>
      <c r="D54" s="132" t="s">
        <v>432</v>
      </c>
      <c r="E54" s="38"/>
      <c r="F54" s="38"/>
      <c r="G54" s="63"/>
    </row>
    <row r="55" spans="2:8" ht="30" x14ac:dyDescent="0.25">
      <c r="B55" s="420"/>
      <c r="C55" s="462"/>
      <c r="D55" s="132" t="s">
        <v>434</v>
      </c>
      <c r="E55" s="38"/>
      <c r="F55" s="38"/>
      <c r="G55" s="63"/>
    </row>
    <row r="56" spans="2:8" ht="30" x14ac:dyDescent="0.25">
      <c r="B56" s="420"/>
      <c r="C56" s="462"/>
      <c r="D56" s="132" t="s">
        <v>436</v>
      </c>
      <c r="E56" s="38"/>
      <c r="F56" s="38"/>
      <c r="G56" s="63"/>
    </row>
    <row r="57" spans="2:8" ht="30.75" thickBot="1" x14ac:dyDescent="0.3">
      <c r="B57" s="427"/>
      <c r="C57" s="493"/>
      <c r="D57" s="194" t="s">
        <v>437</v>
      </c>
      <c r="E57" s="171"/>
      <c r="F57" s="171"/>
      <c r="G57" s="172"/>
    </row>
  </sheetData>
  <mergeCells count="13">
    <mergeCell ref="B28:K28"/>
    <mergeCell ref="H34:N34"/>
    <mergeCell ref="H37:N37"/>
    <mergeCell ref="B46:B57"/>
    <mergeCell ref="C46:C49"/>
    <mergeCell ref="C50:C57"/>
    <mergeCell ref="B30:G30"/>
    <mergeCell ref="B31:C33"/>
    <mergeCell ref="E31:G31"/>
    <mergeCell ref="E32:G32"/>
    <mergeCell ref="B34:B45"/>
    <mergeCell ref="C34:C37"/>
    <mergeCell ref="C38:C45"/>
  </mergeCells>
  <hyperlinks>
    <hyperlink ref="E3" r:id="rId1" xr:uid="{4C93A0CF-E836-45AE-841E-4C39E178EB36}"/>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CCCF-2E3C-4008-A3E7-DB90481DB5B9}">
  <sheetPr>
    <tabColor theme="9" tint="0.59999389629810485"/>
  </sheetPr>
  <dimension ref="A1:K37"/>
  <sheetViews>
    <sheetView zoomScale="90" zoomScaleNormal="90" zoomScaleSheetLayoutView="50" workbookViewId="0"/>
  </sheetViews>
  <sheetFormatPr defaultRowHeight="15" x14ac:dyDescent="0.25"/>
  <cols>
    <col min="4" max="4" width="26.28515625" customWidth="1"/>
    <col min="5" max="5" width="11.140625" customWidth="1"/>
    <col min="6" max="6" width="13" bestFit="1" customWidth="1"/>
    <col min="7" max="7" width="13.140625" customWidth="1"/>
    <col min="9" max="9" width="12.85546875" customWidth="1"/>
    <col min="10" max="10" width="27.85546875" customWidth="1"/>
  </cols>
  <sheetData>
    <row r="1" spans="1:11" x14ac:dyDescent="0.25">
      <c r="A1" s="303" t="s">
        <v>333</v>
      </c>
    </row>
    <row r="2" spans="1:11" x14ac:dyDescent="0.25">
      <c r="A2" s="2" t="s">
        <v>935</v>
      </c>
      <c r="C2" t="s">
        <v>268</v>
      </c>
    </row>
    <row r="3" spans="1:11" x14ac:dyDescent="0.25">
      <c r="A3" s="353" t="s">
        <v>653</v>
      </c>
      <c r="B3" s="353"/>
      <c r="C3" s="353"/>
      <c r="D3" s="353"/>
      <c r="E3" s="353"/>
      <c r="F3" s="353"/>
    </row>
    <row r="4" spans="1:11" x14ac:dyDescent="0.25">
      <c r="A4" s="487" t="s">
        <v>936</v>
      </c>
      <c r="B4" s="487"/>
      <c r="C4" s="487"/>
      <c r="D4" s="487"/>
      <c r="E4" s="487"/>
      <c r="F4" s="487"/>
      <c r="G4" s="487"/>
      <c r="H4" s="487"/>
      <c r="I4" s="487"/>
      <c r="J4" s="487"/>
      <c r="K4" s="487"/>
    </row>
    <row r="5" spans="1:11" x14ac:dyDescent="0.25">
      <c r="A5" t="s">
        <v>937</v>
      </c>
      <c r="E5" s="358">
        <f>86/10858</f>
        <v>7.9204273346841041E-3</v>
      </c>
      <c r="F5" s="89" t="s">
        <v>450</v>
      </c>
      <c r="G5" t="s">
        <v>938</v>
      </c>
    </row>
    <row r="6" spans="1:11" x14ac:dyDescent="0.25">
      <c r="A6" t="s">
        <v>939</v>
      </c>
      <c r="E6" s="358">
        <f>9/7064</f>
        <v>1.2740656851642129E-3</v>
      </c>
      <c r="F6" t="s">
        <v>450</v>
      </c>
      <c r="G6" t="s">
        <v>938</v>
      </c>
      <c r="H6" t="s">
        <v>940</v>
      </c>
    </row>
    <row r="8" spans="1:11" ht="30" x14ac:dyDescent="0.25">
      <c r="A8" t="s">
        <v>941</v>
      </c>
      <c r="F8" s="370">
        <f>2/(1456*20)</f>
        <v>6.8681318681318681E-5</v>
      </c>
      <c r="G8" t="s">
        <v>926</v>
      </c>
      <c r="I8" s="8" t="s">
        <v>942</v>
      </c>
      <c r="J8" s="8" t="s">
        <v>943</v>
      </c>
    </row>
    <row r="9" spans="1:11" ht="15.75" thickBot="1" x14ac:dyDescent="0.3"/>
    <row r="10" spans="1:11" x14ac:dyDescent="0.25">
      <c r="B10" s="489" t="s">
        <v>606</v>
      </c>
      <c r="C10" s="490"/>
      <c r="D10" s="490"/>
      <c r="E10" s="490"/>
      <c r="F10" s="490"/>
      <c r="G10" s="491"/>
    </row>
    <row r="11" spans="1:11" ht="59.65" customHeight="1" x14ac:dyDescent="0.25">
      <c r="B11" s="492" t="s">
        <v>319</v>
      </c>
      <c r="C11" s="478"/>
      <c r="D11" s="34" t="s">
        <v>607</v>
      </c>
      <c r="E11" s="526" t="s">
        <v>333</v>
      </c>
      <c r="F11" s="526"/>
      <c r="G11" s="527"/>
    </row>
    <row r="12" spans="1:11" ht="20.25" customHeight="1" x14ac:dyDescent="0.25">
      <c r="B12" s="492"/>
      <c r="C12" s="478"/>
      <c r="D12" s="34" t="s">
        <v>19</v>
      </c>
      <c r="E12" s="462" t="s">
        <v>492</v>
      </c>
      <c r="F12" s="462"/>
      <c r="G12" s="463"/>
    </row>
    <row r="13" spans="1:11" ht="60" x14ac:dyDescent="0.25">
      <c r="B13" s="492"/>
      <c r="C13" s="478"/>
      <c r="D13" s="34" t="s">
        <v>364</v>
      </c>
      <c r="E13" s="34" t="s">
        <v>365</v>
      </c>
      <c r="F13" s="34" t="s">
        <v>366</v>
      </c>
      <c r="G13" s="61" t="s">
        <v>367</v>
      </c>
    </row>
    <row r="14" spans="1:11" ht="45" x14ac:dyDescent="0.25">
      <c r="B14" s="420" t="s">
        <v>368</v>
      </c>
      <c r="C14" s="478" t="s">
        <v>369</v>
      </c>
      <c r="D14" s="129" t="s">
        <v>370</v>
      </c>
      <c r="E14" s="58">
        <v>7.92E-3</v>
      </c>
      <c r="F14" s="35" t="s">
        <v>375</v>
      </c>
      <c r="G14" s="62" t="s">
        <v>376</v>
      </c>
      <c r="H14" s="21"/>
    </row>
    <row r="15" spans="1:11" ht="30" x14ac:dyDescent="0.25">
      <c r="B15" s="420"/>
      <c r="C15" s="478"/>
      <c r="D15" s="132" t="s">
        <v>380</v>
      </c>
      <c r="E15" s="34"/>
      <c r="F15" s="34"/>
      <c r="G15" s="61"/>
    </row>
    <row r="16" spans="1:11" ht="30" x14ac:dyDescent="0.25">
      <c r="B16" s="420"/>
      <c r="C16" s="478"/>
      <c r="D16" s="132" t="s">
        <v>394</v>
      </c>
      <c r="E16" s="59">
        <v>6.8700000000000003E-5</v>
      </c>
      <c r="F16" s="34" t="s">
        <v>403</v>
      </c>
      <c r="G16" s="61" t="s">
        <v>376</v>
      </c>
    </row>
    <row r="17" spans="2:7" ht="30" x14ac:dyDescent="0.25">
      <c r="B17" s="420"/>
      <c r="C17" s="478"/>
      <c r="D17" s="129" t="s">
        <v>405</v>
      </c>
      <c r="E17" s="58"/>
      <c r="F17" s="39"/>
      <c r="G17" s="62"/>
    </row>
    <row r="18" spans="2:7" x14ac:dyDescent="0.25">
      <c r="B18" s="420"/>
      <c r="C18" s="462" t="s">
        <v>421</v>
      </c>
      <c r="D18" s="132" t="s">
        <v>422</v>
      </c>
      <c r="E18" s="59"/>
      <c r="F18" s="46"/>
      <c r="G18" s="61"/>
    </row>
    <row r="19" spans="2:7" ht="30" x14ac:dyDescent="0.25">
      <c r="B19" s="420"/>
      <c r="C19" s="462"/>
      <c r="D19" s="132" t="s">
        <v>428</v>
      </c>
      <c r="E19" s="59"/>
      <c r="F19" s="46"/>
      <c r="G19" s="61"/>
    </row>
    <row r="20" spans="2:7" ht="30" x14ac:dyDescent="0.25">
      <c r="B20" s="420"/>
      <c r="C20" s="462"/>
      <c r="D20" s="132" t="s">
        <v>429</v>
      </c>
      <c r="E20" s="91"/>
      <c r="F20" s="38"/>
      <c r="G20" s="63"/>
    </row>
    <row r="21" spans="2:7" ht="30" x14ac:dyDescent="0.25">
      <c r="B21" s="420"/>
      <c r="C21" s="462"/>
      <c r="D21" s="132" t="s">
        <v>430</v>
      </c>
      <c r="E21" s="91"/>
      <c r="F21" s="38"/>
      <c r="G21" s="63"/>
    </row>
    <row r="22" spans="2:7" x14ac:dyDescent="0.25">
      <c r="B22" s="420"/>
      <c r="C22" s="462"/>
      <c r="D22" s="132" t="s">
        <v>432</v>
      </c>
      <c r="E22" s="59"/>
      <c r="F22" s="34"/>
      <c r="G22" s="61"/>
    </row>
    <row r="23" spans="2:7" ht="30" x14ac:dyDescent="0.25">
      <c r="B23" s="420"/>
      <c r="C23" s="462"/>
      <c r="D23" s="132" t="s">
        <v>434</v>
      </c>
      <c r="E23" s="59"/>
      <c r="F23" s="34"/>
      <c r="G23" s="61"/>
    </row>
    <row r="24" spans="2:7" ht="30" x14ac:dyDescent="0.25">
      <c r="B24" s="420"/>
      <c r="C24" s="462"/>
      <c r="D24" s="132" t="s">
        <v>436</v>
      </c>
      <c r="E24" s="91"/>
      <c r="F24" s="38"/>
      <c r="G24" s="63"/>
    </row>
    <row r="25" spans="2:7" ht="30" x14ac:dyDescent="0.25">
      <c r="B25" s="420"/>
      <c r="C25" s="462"/>
      <c r="D25" s="132" t="s">
        <v>437</v>
      </c>
      <c r="E25" s="91"/>
      <c r="F25" s="38"/>
      <c r="G25" s="63"/>
    </row>
    <row r="26" spans="2:7" ht="45" x14ac:dyDescent="0.25">
      <c r="B26" s="420" t="s">
        <v>438</v>
      </c>
      <c r="C26" s="478" t="s">
        <v>369</v>
      </c>
      <c r="D26" s="129" t="s">
        <v>370</v>
      </c>
      <c r="E26" s="225">
        <v>1.2700000000000001E-3</v>
      </c>
      <c r="F26" s="52" t="s">
        <v>444</v>
      </c>
      <c r="G26" s="168" t="s">
        <v>373</v>
      </c>
    </row>
    <row r="27" spans="2:7" ht="30" x14ac:dyDescent="0.25">
      <c r="B27" s="420"/>
      <c r="C27" s="478"/>
      <c r="D27" s="132" t="s">
        <v>380</v>
      </c>
      <c r="E27" s="51"/>
      <c r="F27" s="93"/>
      <c r="G27" s="61"/>
    </row>
    <row r="28" spans="2:7" ht="30" x14ac:dyDescent="0.25">
      <c r="B28" s="420"/>
      <c r="C28" s="478"/>
      <c r="D28" s="132" t="s">
        <v>394</v>
      </c>
      <c r="E28" s="29"/>
      <c r="F28" s="93"/>
      <c r="G28" s="61"/>
    </row>
    <row r="29" spans="2:7" ht="30" x14ac:dyDescent="0.25">
      <c r="B29" s="420"/>
      <c r="C29" s="478"/>
      <c r="D29" s="129" t="s">
        <v>405</v>
      </c>
      <c r="E29" s="226"/>
      <c r="F29" s="52"/>
      <c r="G29" s="168"/>
    </row>
    <row r="30" spans="2:7" ht="30" x14ac:dyDescent="0.25">
      <c r="B30" s="420"/>
      <c r="C30" s="462" t="s">
        <v>421</v>
      </c>
      <c r="D30" s="132" t="s">
        <v>453</v>
      </c>
      <c r="E30" s="91"/>
      <c r="F30" s="38"/>
      <c r="G30" s="63"/>
    </row>
    <row r="31" spans="2:7" ht="30" x14ac:dyDescent="0.25">
      <c r="B31" s="420"/>
      <c r="C31" s="462"/>
      <c r="D31" s="132" t="s">
        <v>428</v>
      </c>
      <c r="E31" s="91"/>
      <c r="F31" s="38"/>
      <c r="G31" s="63"/>
    </row>
    <row r="32" spans="2:7" ht="30" x14ac:dyDescent="0.25">
      <c r="B32" s="420"/>
      <c r="C32" s="462"/>
      <c r="D32" s="132" t="s">
        <v>429</v>
      </c>
      <c r="E32" s="91"/>
      <c r="F32" s="38"/>
      <c r="G32" s="63"/>
    </row>
    <row r="33" spans="2:7" ht="30" x14ac:dyDescent="0.25">
      <c r="B33" s="420"/>
      <c r="C33" s="462"/>
      <c r="D33" s="132" t="s">
        <v>430</v>
      </c>
      <c r="E33" s="91"/>
      <c r="F33" s="38"/>
      <c r="G33" s="63"/>
    </row>
    <row r="34" spans="2:7" x14ac:dyDescent="0.25">
      <c r="B34" s="420"/>
      <c r="C34" s="462"/>
      <c r="D34" s="132" t="s">
        <v>432</v>
      </c>
      <c r="E34" s="91"/>
      <c r="F34" s="38"/>
      <c r="G34" s="63"/>
    </row>
    <row r="35" spans="2:7" ht="30" x14ac:dyDescent="0.25">
      <c r="B35" s="420"/>
      <c r="C35" s="462"/>
      <c r="D35" s="132" t="s">
        <v>434</v>
      </c>
      <c r="E35" s="91"/>
      <c r="F35" s="38"/>
      <c r="G35" s="63"/>
    </row>
    <row r="36" spans="2:7" ht="30" x14ac:dyDescent="0.25">
      <c r="B36" s="420"/>
      <c r="C36" s="462"/>
      <c r="D36" s="132" t="s">
        <v>436</v>
      </c>
      <c r="E36" s="91"/>
      <c r="F36" s="38"/>
      <c r="G36" s="63"/>
    </row>
    <row r="37" spans="2:7" ht="30.75" thickBot="1" x14ac:dyDescent="0.3">
      <c r="B37" s="427"/>
      <c r="C37" s="493"/>
      <c r="D37" s="194" t="s">
        <v>437</v>
      </c>
      <c r="E37" s="227"/>
      <c r="F37" s="171"/>
      <c r="G37" s="172"/>
    </row>
  </sheetData>
  <mergeCells count="11">
    <mergeCell ref="B26:B37"/>
    <mergeCell ref="C26:C29"/>
    <mergeCell ref="C30:C37"/>
    <mergeCell ref="A4:K4"/>
    <mergeCell ref="B10:G10"/>
    <mergeCell ref="B11:C13"/>
    <mergeCell ref="E11:G11"/>
    <mergeCell ref="E12:G12"/>
    <mergeCell ref="B14:B25"/>
    <mergeCell ref="C14:C17"/>
    <mergeCell ref="C18:C2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51369-2965-4E2E-B6F3-00CCF4B9FECE}">
  <sheetPr>
    <tabColor theme="9" tint="0.59999389629810485"/>
  </sheetPr>
  <dimension ref="A1:N46"/>
  <sheetViews>
    <sheetView zoomScale="70" zoomScaleNormal="70" workbookViewId="0"/>
  </sheetViews>
  <sheetFormatPr defaultRowHeight="15" x14ac:dyDescent="0.25"/>
  <cols>
    <col min="4" max="4" width="28.7109375" customWidth="1"/>
    <col min="5" max="5" width="11.5703125" customWidth="1"/>
    <col min="7" max="7" width="11.85546875" customWidth="1"/>
    <col min="9" max="9" width="13.7109375" customWidth="1"/>
  </cols>
  <sheetData>
    <row r="1" spans="1:14" x14ac:dyDescent="0.25">
      <c r="A1" s="303" t="s">
        <v>214</v>
      </c>
      <c r="I1" s="375" t="s">
        <v>653</v>
      </c>
      <c r="J1" s="375"/>
      <c r="K1" s="375"/>
      <c r="L1" s="375"/>
      <c r="M1" s="375"/>
      <c r="N1" s="375"/>
    </row>
    <row r="2" spans="1:14" x14ac:dyDescent="0.25">
      <c r="A2" s="2" t="s">
        <v>494</v>
      </c>
    </row>
    <row r="3" spans="1:14" x14ac:dyDescent="0.25">
      <c r="A3" s="2"/>
    </row>
    <row r="6" spans="1:14" ht="23.85" customHeight="1" x14ac:dyDescent="0.25">
      <c r="A6" s="474" t="s">
        <v>944</v>
      </c>
      <c r="B6" s="474"/>
      <c r="C6" s="474"/>
      <c r="D6" s="21">
        <v>6953</v>
      </c>
      <c r="E6" s="21"/>
      <c r="F6" s="21"/>
      <c r="G6" s="21"/>
      <c r="H6" s="21"/>
    </row>
    <row r="7" spans="1:14" ht="23.85" customHeight="1" x14ac:dyDescent="0.25">
      <c r="A7" s="474" t="s">
        <v>945</v>
      </c>
      <c r="B7" s="474"/>
      <c r="C7" s="474"/>
      <c r="D7" s="21">
        <v>428</v>
      </c>
      <c r="E7" s="21"/>
      <c r="F7" s="21"/>
      <c r="G7" s="21"/>
      <c r="H7" s="21"/>
    </row>
    <row r="8" spans="1:14" ht="31.9" customHeight="1" x14ac:dyDescent="0.25">
      <c r="A8" s="474" t="s">
        <v>946</v>
      </c>
      <c r="B8" s="474"/>
      <c r="C8" s="474"/>
      <c r="D8" s="371">
        <f>D7/D6</f>
        <v>6.1556162807421259E-2</v>
      </c>
      <c r="E8" s="95" t="s">
        <v>450</v>
      </c>
      <c r="F8" s="21"/>
      <c r="G8" s="21"/>
    </row>
    <row r="9" spans="1:14" ht="59.25" customHeight="1" x14ac:dyDescent="0.25">
      <c r="A9" s="469" t="s">
        <v>947</v>
      </c>
      <c r="B9" s="469"/>
      <c r="C9" s="469"/>
      <c r="D9" s="96" t="s">
        <v>948</v>
      </c>
      <c r="E9" s="403" t="s">
        <v>949</v>
      </c>
      <c r="F9" s="21" t="s">
        <v>950</v>
      </c>
      <c r="G9" s="21"/>
    </row>
    <row r="10" spans="1:14" ht="18" customHeight="1" x14ac:dyDescent="0.25">
      <c r="A10" s="474"/>
      <c r="B10" s="474"/>
      <c r="C10" s="474"/>
      <c r="D10" s="21" t="s">
        <v>951</v>
      </c>
      <c r="E10" s="403" t="s">
        <v>952</v>
      </c>
      <c r="F10" s="21">
        <v>60.74</v>
      </c>
      <c r="G10" s="21"/>
    </row>
    <row r="11" spans="1:14" ht="18" customHeight="1" x14ac:dyDescent="0.25">
      <c r="A11" s="21"/>
      <c r="B11" s="21"/>
      <c r="C11" s="21"/>
      <c r="D11" s="246" t="s">
        <v>953</v>
      </c>
      <c r="E11" s="403" t="s">
        <v>954</v>
      </c>
      <c r="F11" s="21">
        <v>28.89</v>
      </c>
      <c r="G11" s="21"/>
    </row>
    <row r="12" spans="1:14" ht="18" customHeight="1" x14ac:dyDescent="0.25">
      <c r="A12" s="21"/>
      <c r="B12" s="21"/>
      <c r="C12" s="21"/>
      <c r="D12" s="21" t="s">
        <v>955</v>
      </c>
      <c r="E12" s="403" t="s">
        <v>956</v>
      </c>
      <c r="F12" s="21">
        <v>2.96</v>
      </c>
      <c r="G12" s="21"/>
    </row>
    <row r="13" spans="1:14" ht="18" customHeight="1" x14ac:dyDescent="0.25">
      <c r="A13" s="21"/>
      <c r="B13" s="21"/>
      <c r="C13" s="21"/>
      <c r="D13" s="21" t="s">
        <v>957</v>
      </c>
      <c r="E13" s="403" t="s">
        <v>958</v>
      </c>
      <c r="F13" s="21">
        <v>0.74</v>
      </c>
      <c r="G13" s="21"/>
    </row>
    <row r="14" spans="1:14" ht="18" customHeight="1" x14ac:dyDescent="0.25">
      <c r="A14" s="474"/>
      <c r="B14" s="474"/>
      <c r="C14" s="474"/>
      <c r="D14" s="21" t="s">
        <v>959</v>
      </c>
      <c r="E14" s="403" t="s">
        <v>960</v>
      </c>
      <c r="F14" s="21">
        <v>6.76</v>
      </c>
      <c r="G14" s="21"/>
      <c r="H14" s="21"/>
    </row>
    <row r="15" spans="1:14" x14ac:dyDescent="0.25">
      <c r="F15">
        <f>SUM(F10:F14)</f>
        <v>100.08999999999999</v>
      </c>
    </row>
    <row r="16" spans="1:14" x14ac:dyDescent="0.25">
      <c r="D16" s="372" t="s">
        <v>961</v>
      </c>
      <c r="E16" s="372" t="s">
        <v>962</v>
      </c>
      <c r="F16" t="s">
        <v>963</v>
      </c>
    </row>
    <row r="17" spans="2:7" x14ac:dyDescent="0.25">
      <c r="D17" s="21" t="s">
        <v>964</v>
      </c>
      <c r="E17" s="21" t="s">
        <v>965</v>
      </c>
      <c r="F17" t="s">
        <v>966</v>
      </c>
    </row>
    <row r="18" spans="2:7" ht="15.75" thickBot="1" x14ac:dyDescent="0.3"/>
    <row r="19" spans="2:7" x14ac:dyDescent="0.25">
      <c r="B19" s="489" t="s">
        <v>606</v>
      </c>
      <c r="C19" s="490"/>
      <c r="D19" s="490"/>
      <c r="E19" s="490"/>
      <c r="F19" s="490"/>
      <c r="G19" s="491"/>
    </row>
    <row r="20" spans="2:7" x14ac:dyDescent="0.25">
      <c r="B20" s="492" t="s">
        <v>967</v>
      </c>
      <c r="C20" s="478"/>
      <c r="D20" s="34" t="s">
        <v>607</v>
      </c>
      <c r="E20" s="462" t="s">
        <v>214</v>
      </c>
      <c r="F20" s="462"/>
      <c r="G20" s="463"/>
    </row>
    <row r="21" spans="2:7" x14ac:dyDescent="0.25">
      <c r="B21" s="492"/>
      <c r="C21" s="478"/>
      <c r="D21" s="34" t="s">
        <v>19</v>
      </c>
      <c r="E21" s="462" t="s">
        <v>494</v>
      </c>
      <c r="F21" s="462"/>
      <c r="G21" s="463"/>
    </row>
    <row r="22" spans="2:7" ht="75" x14ac:dyDescent="0.25">
      <c r="B22" s="492"/>
      <c r="C22" s="478"/>
      <c r="D22" s="34" t="s">
        <v>364</v>
      </c>
      <c r="E22" s="34" t="s">
        <v>365</v>
      </c>
      <c r="F22" s="34" t="s">
        <v>366</v>
      </c>
      <c r="G22" s="61" t="s">
        <v>367</v>
      </c>
    </row>
    <row r="23" spans="2:7" ht="30" x14ac:dyDescent="0.25">
      <c r="B23" s="420" t="s">
        <v>368</v>
      </c>
      <c r="C23" s="478" t="s">
        <v>369</v>
      </c>
      <c r="D23" s="129" t="s">
        <v>370</v>
      </c>
      <c r="E23" s="35">
        <v>0.06</v>
      </c>
      <c r="F23" s="35"/>
      <c r="G23" s="62" t="s">
        <v>377</v>
      </c>
    </row>
    <row r="24" spans="2:7" x14ac:dyDescent="0.25">
      <c r="B24" s="420"/>
      <c r="C24" s="478"/>
      <c r="D24" s="132" t="s">
        <v>380</v>
      </c>
      <c r="E24" s="34"/>
      <c r="F24" s="34"/>
      <c r="G24" s="61"/>
    </row>
    <row r="25" spans="2:7" ht="30" x14ac:dyDescent="0.25">
      <c r="B25" s="420"/>
      <c r="C25" s="478"/>
      <c r="D25" s="132" t="s">
        <v>394</v>
      </c>
      <c r="E25" s="34"/>
      <c r="F25" s="34"/>
      <c r="G25" s="61"/>
    </row>
    <row r="26" spans="2:7" ht="30" x14ac:dyDescent="0.25">
      <c r="B26" s="420"/>
      <c r="C26" s="478"/>
      <c r="D26" s="129" t="s">
        <v>405</v>
      </c>
      <c r="E26" s="39"/>
      <c r="F26" s="39"/>
      <c r="G26" s="149"/>
    </row>
    <row r="27" spans="2:7" x14ac:dyDescent="0.25">
      <c r="B27" s="420"/>
      <c r="C27" s="462" t="s">
        <v>421</v>
      </c>
      <c r="D27" s="132" t="s">
        <v>422</v>
      </c>
      <c r="E27" s="59"/>
      <c r="F27" s="46"/>
      <c r="G27" s="61"/>
    </row>
    <row r="28" spans="2:7" ht="30" x14ac:dyDescent="0.25">
      <c r="B28" s="420"/>
      <c r="C28" s="462"/>
      <c r="D28" s="132" t="s">
        <v>428</v>
      </c>
      <c r="E28" s="59"/>
      <c r="F28" s="46"/>
      <c r="G28" s="61"/>
    </row>
    <row r="29" spans="2:7" ht="30" x14ac:dyDescent="0.25">
      <c r="B29" s="420"/>
      <c r="C29" s="462"/>
      <c r="D29" s="132" t="s">
        <v>429</v>
      </c>
      <c r="E29" s="91"/>
      <c r="F29" s="38"/>
      <c r="G29" s="63"/>
    </row>
    <row r="30" spans="2:7" ht="30" x14ac:dyDescent="0.25">
      <c r="B30" s="420"/>
      <c r="C30" s="462"/>
      <c r="D30" s="132" t="s">
        <v>430</v>
      </c>
      <c r="E30" s="91"/>
      <c r="F30" s="38"/>
      <c r="G30" s="63"/>
    </row>
    <row r="31" spans="2:7" x14ac:dyDescent="0.25">
      <c r="B31" s="420"/>
      <c r="C31" s="462"/>
      <c r="D31" s="132" t="s">
        <v>432</v>
      </c>
      <c r="E31" s="59"/>
      <c r="F31" s="34"/>
      <c r="G31" s="61"/>
    </row>
    <row r="32" spans="2:7" x14ac:dyDescent="0.25">
      <c r="B32" s="420"/>
      <c r="C32" s="462"/>
      <c r="D32" s="132" t="s">
        <v>434</v>
      </c>
      <c r="E32" s="59"/>
      <c r="F32" s="34"/>
      <c r="G32" s="61"/>
    </row>
    <row r="33" spans="2:7" ht="30" x14ac:dyDescent="0.25">
      <c r="B33" s="420"/>
      <c r="C33" s="462"/>
      <c r="D33" s="132" t="s">
        <v>436</v>
      </c>
      <c r="E33" s="91"/>
      <c r="F33" s="38"/>
      <c r="G33" s="63"/>
    </row>
    <row r="34" spans="2:7" ht="30" x14ac:dyDescent="0.25">
      <c r="B34" s="420"/>
      <c r="C34" s="462"/>
      <c r="D34" s="132" t="s">
        <v>437</v>
      </c>
      <c r="E34" s="91"/>
      <c r="F34" s="38"/>
      <c r="G34" s="63"/>
    </row>
    <row r="35" spans="2:7" x14ac:dyDescent="0.25">
      <c r="B35" s="420" t="s">
        <v>438</v>
      </c>
      <c r="C35" s="478" t="s">
        <v>369</v>
      </c>
      <c r="D35" s="129" t="s">
        <v>370</v>
      </c>
      <c r="E35" s="97"/>
      <c r="F35" s="52"/>
      <c r="G35" s="168"/>
    </row>
    <row r="36" spans="2:7" x14ac:dyDescent="0.25">
      <c r="B36" s="420"/>
      <c r="C36" s="478"/>
      <c r="D36" s="132" t="s">
        <v>380</v>
      </c>
      <c r="E36" s="228"/>
      <c r="F36" s="34"/>
      <c r="G36" s="61"/>
    </row>
    <row r="37" spans="2:7" ht="30" x14ac:dyDescent="0.25">
      <c r="B37" s="420"/>
      <c r="C37" s="478"/>
      <c r="D37" s="132" t="s">
        <v>394</v>
      </c>
      <c r="E37" s="59"/>
      <c r="F37" s="34"/>
      <c r="G37" s="61"/>
    </row>
    <row r="38" spans="2:7" ht="30" x14ac:dyDescent="0.25">
      <c r="B38" s="420"/>
      <c r="C38" s="478"/>
      <c r="D38" s="129" t="s">
        <v>405</v>
      </c>
      <c r="E38" s="60"/>
      <c r="F38" s="52"/>
      <c r="G38" s="168"/>
    </row>
    <row r="39" spans="2:7" x14ac:dyDescent="0.25">
      <c r="B39" s="420"/>
      <c r="C39" s="462" t="s">
        <v>421</v>
      </c>
      <c r="D39" s="132" t="s">
        <v>453</v>
      </c>
      <c r="E39" s="91"/>
      <c r="F39" s="38"/>
      <c r="G39" s="63"/>
    </row>
    <row r="40" spans="2:7" ht="30" x14ac:dyDescent="0.25">
      <c r="B40" s="420"/>
      <c r="C40" s="462"/>
      <c r="D40" s="132" t="s">
        <v>428</v>
      </c>
      <c r="E40" s="91"/>
      <c r="F40" s="38"/>
      <c r="G40" s="63"/>
    </row>
    <row r="41" spans="2:7" ht="30" x14ac:dyDescent="0.25">
      <c r="B41" s="420"/>
      <c r="C41" s="462"/>
      <c r="D41" s="132" t="s">
        <v>429</v>
      </c>
      <c r="E41" s="91"/>
      <c r="F41" s="38"/>
      <c r="G41" s="63"/>
    </row>
    <row r="42" spans="2:7" ht="30" x14ac:dyDescent="0.25">
      <c r="B42" s="420"/>
      <c r="C42" s="462"/>
      <c r="D42" s="132" t="s">
        <v>430</v>
      </c>
      <c r="E42" s="91"/>
      <c r="F42" s="38"/>
      <c r="G42" s="63"/>
    </row>
    <row r="43" spans="2:7" x14ac:dyDescent="0.25">
      <c r="B43" s="420"/>
      <c r="C43" s="462"/>
      <c r="D43" s="132" t="s">
        <v>432</v>
      </c>
      <c r="E43" s="91"/>
      <c r="F43" s="38"/>
      <c r="G43" s="63"/>
    </row>
    <row r="44" spans="2:7" x14ac:dyDescent="0.25">
      <c r="B44" s="420"/>
      <c r="C44" s="462"/>
      <c r="D44" s="132" t="s">
        <v>434</v>
      </c>
      <c r="E44" s="91"/>
      <c r="F44" s="38"/>
      <c r="G44" s="63"/>
    </row>
    <row r="45" spans="2:7" ht="30" x14ac:dyDescent="0.25">
      <c r="B45" s="420"/>
      <c r="C45" s="462"/>
      <c r="D45" s="132" t="s">
        <v>436</v>
      </c>
      <c r="E45" s="91"/>
      <c r="F45" s="38"/>
      <c r="G45" s="63"/>
    </row>
    <row r="46" spans="2:7" ht="30.75" thickBot="1" x14ac:dyDescent="0.3">
      <c r="B46" s="427"/>
      <c r="C46" s="493"/>
      <c r="D46" s="194" t="s">
        <v>437</v>
      </c>
      <c r="E46" s="227"/>
      <c r="F46" s="171"/>
      <c r="G46" s="172"/>
    </row>
  </sheetData>
  <mergeCells count="16">
    <mergeCell ref="B35:B46"/>
    <mergeCell ref="C35:C38"/>
    <mergeCell ref="C39:C46"/>
    <mergeCell ref="B19:G19"/>
    <mergeCell ref="B20:C22"/>
    <mergeCell ref="E20:G20"/>
    <mergeCell ref="E21:G21"/>
    <mergeCell ref="A8:C8"/>
    <mergeCell ref="A6:C6"/>
    <mergeCell ref="A7:C7"/>
    <mergeCell ref="A9:C9"/>
    <mergeCell ref="B23:B34"/>
    <mergeCell ref="C23:C26"/>
    <mergeCell ref="C27:C34"/>
    <mergeCell ref="A10:C10"/>
    <mergeCell ref="A14:C1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606D-8F2B-4B1C-BDE7-E96ADF17A59F}">
  <sheetPr>
    <tabColor theme="9" tint="0.59999389629810485"/>
  </sheetPr>
  <dimension ref="A1:U43"/>
  <sheetViews>
    <sheetView zoomScale="60" zoomScaleNormal="60" workbookViewId="0">
      <selection sqref="A1:G1"/>
    </sheetView>
  </sheetViews>
  <sheetFormatPr defaultRowHeight="15" x14ac:dyDescent="0.25"/>
  <cols>
    <col min="4" max="4" width="31" customWidth="1"/>
    <col min="5" max="5" width="31.85546875" customWidth="1"/>
    <col min="6" max="7" width="25.7109375" customWidth="1"/>
    <col min="12" max="13" width="13" customWidth="1"/>
    <col min="17" max="17" width="12.5703125" customWidth="1"/>
    <col min="18" max="18" width="14.42578125" customWidth="1"/>
    <col min="21" max="21" width="17" customWidth="1"/>
    <col min="22" max="22" width="11.85546875" customWidth="1"/>
  </cols>
  <sheetData>
    <row r="1" spans="1:21" x14ac:dyDescent="0.25">
      <c r="A1" s="528" t="s">
        <v>968</v>
      </c>
      <c r="B1" s="528"/>
      <c r="C1" s="528"/>
      <c r="D1" s="528"/>
      <c r="E1" s="528"/>
      <c r="F1" s="528"/>
      <c r="G1" s="528"/>
    </row>
    <row r="2" spans="1:21" x14ac:dyDescent="0.25">
      <c r="A2" s="2" t="s">
        <v>496</v>
      </c>
    </row>
    <row r="3" spans="1:21" x14ac:dyDescent="0.25">
      <c r="A3" s="353" t="s">
        <v>653</v>
      </c>
      <c r="B3" s="353"/>
      <c r="C3" s="353"/>
      <c r="D3" s="353"/>
      <c r="E3" s="353"/>
      <c r="F3" s="353"/>
    </row>
    <row r="5" spans="1:21" x14ac:dyDescent="0.25">
      <c r="C5" s="2" t="s">
        <v>969</v>
      </c>
      <c r="H5" s="2" t="s">
        <v>970</v>
      </c>
      <c r="M5" s="2"/>
      <c r="N5" s="2" t="s">
        <v>971</v>
      </c>
      <c r="U5" s="2" t="s">
        <v>969</v>
      </c>
    </row>
    <row r="6" spans="1:21" x14ac:dyDescent="0.25">
      <c r="C6" s="2" t="s">
        <v>972</v>
      </c>
      <c r="H6" s="2" t="s">
        <v>973</v>
      </c>
      <c r="N6" s="2" t="s">
        <v>974</v>
      </c>
      <c r="U6" s="2" t="s">
        <v>975</v>
      </c>
    </row>
    <row r="7" spans="1:21" x14ac:dyDescent="0.25">
      <c r="C7" s="414" t="s">
        <v>976</v>
      </c>
      <c r="D7" s="414"/>
      <c r="E7" t="s">
        <v>977</v>
      </c>
      <c r="F7" s="358">
        <f>6650/14927/35</f>
        <v>1.2728612581228645E-2</v>
      </c>
      <c r="H7" t="s">
        <v>969</v>
      </c>
      <c r="K7" t="s">
        <v>978</v>
      </c>
      <c r="L7" s="358">
        <f>216/6600</f>
        <v>3.272727272727273E-2</v>
      </c>
      <c r="N7" t="s">
        <v>976</v>
      </c>
      <c r="U7" s="373">
        <f>34/9333</f>
        <v>3.6429872495446266E-3</v>
      </c>
    </row>
    <row r="8" spans="1:21" x14ac:dyDescent="0.25">
      <c r="C8" s="414"/>
      <c r="D8" s="414"/>
      <c r="E8" t="s">
        <v>979</v>
      </c>
      <c r="F8" s="358">
        <f>1600/4700/35</f>
        <v>9.7264437689969594E-3</v>
      </c>
      <c r="N8" t="s">
        <v>980</v>
      </c>
    </row>
    <row r="9" spans="1:21" x14ac:dyDescent="0.25">
      <c r="E9" t="s">
        <v>978</v>
      </c>
      <c r="F9" s="358">
        <f>482/2682/35</f>
        <v>5.1347608394588266E-3</v>
      </c>
      <c r="O9" t="s">
        <v>981</v>
      </c>
      <c r="P9" s="404">
        <f>7.1+2.2+2+1+1+0.7+0.5+0.5+0.5+0.25+0.25+0.25</f>
        <v>16.25</v>
      </c>
    </row>
    <row r="10" spans="1:21" x14ac:dyDescent="0.25">
      <c r="O10" t="s">
        <v>982</v>
      </c>
      <c r="Q10" s="373">
        <f>P9/100/35</f>
        <v>4.642857142857143E-3</v>
      </c>
    </row>
    <row r="11" spans="1:21" x14ac:dyDescent="0.25">
      <c r="E11" t="s">
        <v>983</v>
      </c>
      <c r="F11" s="358">
        <f>(F8+F9)/2</f>
        <v>7.4306023042278926E-3</v>
      </c>
      <c r="N11" t="s">
        <v>984</v>
      </c>
    </row>
    <row r="12" spans="1:21" x14ac:dyDescent="0.25">
      <c r="M12" s="2"/>
      <c r="O12" s="23" t="s">
        <v>981</v>
      </c>
      <c r="P12" s="405">
        <f>2+0.25</f>
        <v>2.25</v>
      </c>
      <c r="Q12" s="373">
        <f>P12/100/35</f>
        <v>6.4285714285714282E-4</v>
      </c>
    </row>
    <row r="13" spans="1:21" x14ac:dyDescent="0.25">
      <c r="N13" t="s">
        <v>985</v>
      </c>
      <c r="Q13" s="373">
        <f>Q10+Q12</f>
        <v>5.2857142857142859E-3</v>
      </c>
    </row>
    <row r="15" spans="1:21" ht="15.75" thickBot="1" x14ac:dyDescent="0.3"/>
    <row r="16" spans="1:21" x14ac:dyDescent="0.25">
      <c r="B16" s="489" t="s">
        <v>606</v>
      </c>
      <c r="C16" s="490"/>
      <c r="D16" s="490"/>
      <c r="E16" s="490"/>
      <c r="F16" s="490"/>
      <c r="G16" s="491"/>
    </row>
    <row r="17" spans="2:7" ht="57.75" customHeight="1" x14ac:dyDescent="0.25">
      <c r="B17" s="492" t="s">
        <v>319</v>
      </c>
      <c r="C17" s="478"/>
      <c r="D17" s="34" t="s">
        <v>607</v>
      </c>
      <c r="E17" s="526" t="s">
        <v>334</v>
      </c>
      <c r="F17" s="526"/>
      <c r="G17" s="527"/>
    </row>
    <row r="18" spans="2:7" ht="32.65" customHeight="1" x14ac:dyDescent="0.25">
      <c r="B18" s="492"/>
      <c r="C18" s="478"/>
      <c r="D18" s="34" t="s">
        <v>19</v>
      </c>
      <c r="E18" s="462" t="s">
        <v>496</v>
      </c>
      <c r="F18" s="462"/>
      <c r="G18" s="463"/>
    </row>
    <row r="19" spans="2:7" ht="55.15" customHeight="1" x14ac:dyDescent="0.25">
      <c r="B19" s="492"/>
      <c r="C19" s="478"/>
      <c r="D19" s="34" t="s">
        <v>364</v>
      </c>
      <c r="E19" s="34" t="s">
        <v>365</v>
      </c>
      <c r="F19" s="34" t="s">
        <v>366</v>
      </c>
      <c r="G19" s="61" t="s">
        <v>367</v>
      </c>
    </row>
    <row r="20" spans="2:7" ht="60" x14ac:dyDescent="0.25">
      <c r="B20" s="420" t="s">
        <v>368</v>
      </c>
      <c r="C20" s="478" t="s">
        <v>369</v>
      </c>
      <c r="D20" s="129" t="s">
        <v>370</v>
      </c>
      <c r="E20" s="140" t="s">
        <v>378</v>
      </c>
      <c r="F20" s="35"/>
      <c r="G20" s="62"/>
    </row>
    <row r="21" spans="2:7" x14ac:dyDescent="0.25">
      <c r="B21" s="420"/>
      <c r="C21" s="478"/>
      <c r="D21" s="132" t="s">
        <v>380</v>
      </c>
      <c r="E21" s="34"/>
      <c r="F21" s="34"/>
      <c r="G21" s="61"/>
    </row>
    <row r="22" spans="2:7" ht="30" x14ac:dyDescent="0.25">
      <c r="B22" s="420"/>
      <c r="C22" s="478"/>
      <c r="D22" s="132" t="s">
        <v>394</v>
      </c>
      <c r="E22" s="34"/>
      <c r="F22" s="34"/>
      <c r="G22" s="61"/>
    </row>
    <row r="23" spans="2:7" ht="30" x14ac:dyDescent="0.25">
      <c r="B23" s="420"/>
      <c r="C23" s="478"/>
      <c r="D23" s="129" t="s">
        <v>405</v>
      </c>
      <c r="E23" s="39"/>
      <c r="F23" s="39"/>
      <c r="G23" s="149"/>
    </row>
    <row r="24" spans="2:7" ht="104.25" customHeight="1" x14ac:dyDescent="0.25">
      <c r="B24" s="420"/>
      <c r="C24" s="462" t="s">
        <v>421</v>
      </c>
      <c r="D24" s="132" t="s">
        <v>422</v>
      </c>
      <c r="E24" s="139" t="s">
        <v>427</v>
      </c>
      <c r="F24" s="46"/>
      <c r="G24" s="61"/>
    </row>
    <row r="25" spans="2:7" ht="30" x14ac:dyDescent="0.25">
      <c r="B25" s="420"/>
      <c r="C25" s="462"/>
      <c r="D25" s="132" t="s">
        <v>428</v>
      </c>
      <c r="E25" s="59"/>
      <c r="F25" s="46"/>
      <c r="G25" s="61"/>
    </row>
    <row r="26" spans="2:7" ht="30" x14ac:dyDescent="0.25">
      <c r="B26" s="420"/>
      <c r="C26" s="462"/>
      <c r="D26" s="132" t="s">
        <v>429</v>
      </c>
      <c r="E26" s="223"/>
      <c r="F26" s="46"/>
      <c r="G26" s="61"/>
    </row>
    <row r="27" spans="2:7" ht="30" x14ac:dyDescent="0.25">
      <c r="B27" s="420"/>
      <c r="C27" s="462"/>
      <c r="D27" s="132" t="s">
        <v>430</v>
      </c>
      <c r="E27" s="59"/>
      <c r="F27" s="46"/>
      <c r="G27" s="61"/>
    </row>
    <row r="28" spans="2:7" ht="30" x14ac:dyDescent="0.25">
      <c r="B28" s="420"/>
      <c r="C28" s="462"/>
      <c r="D28" s="132" t="s">
        <v>432</v>
      </c>
      <c r="E28" s="59" t="s">
        <v>433</v>
      </c>
      <c r="F28" s="46"/>
      <c r="G28" s="61"/>
    </row>
    <row r="29" spans="2:7" x14ac:dyDescent="0.25">
      <c r="B29" s="420"/>
      <c r="C29" s="462"/>
      <c r="D29" s="132" t="s">
        <v>434</v>
      </c>
      <c r="E29" s="59"/>
      <c r="F29" s="34"/>
      <c r="G29" s="61"/>
    </row>
    <row r="30" spans="2:7" ht="30" x14ac:dyDescent="0.25">
      <c r="B30" s="420"/>
      <c r="C30" s="462"/>
      <c r="D30" s="132" t="s">
        <v>436</v>
      </c>
      <c r="E30" s="91"/>
      <c r="F30" s="38"/>
      <c r="G30" s="63"/>
    </row>
    <row r="31" spans="2:7" ht="30" x14ac:dyDescent="0.25">
      <c r="B31" s="420"/>
      <c r="C31" s="462"/>
      <c r="D31" s="132" t="s">
        <v>437</v>
      </c>
      <c r="E31" s="91"/>
      <c r="F31" s="38"/>
      <c r="G31" s="63"/>
    </row>
    <row r="32" spans="2:7" x14ac:dyDescent="0.25">
      <c r="B32" s="420" t="s">
        <v>438</v>
      </c>
      <c r="C32" s="478" t="s">
        <v>369</v>
      </c>
      <c r="D32" s="129" t="s">
        <v>370</v>
      </c>
      <c r="E32" s="60"/>
      <c r="F32" s="52"/>
      <c r="G32" s="168"/>
    </row>
    <row r="33" spans="2:7" x14ac:dyDescent="0.25">
      <c r="B33" s="420"/>
      <c r="C33" s="478"/>
      <c r="D33" s="132" t="s">
        <v>380</v>
      </c>
      <c r="E33" s="59"/>
      <c r="F33" s="34"/>
      <c r="G33" s="61"/>
    </row>
    <row r="34" spans="2:7" ht="30" x14ac:dyDescent="0.25">
      <c r="B34" s="420"/>
      <c r="C34" s="478"/>
      <c r="D34" s="132" t="s">
        <v>394</v>
      </c>
      <c r="E34" s="59"/>
      <c r="F34" s="34"/>
      <c r="G34" s="61"/>
    </row>
    <row r="35" spans="2:7" ht="30" x14ac:dyDescent="0.25">
      <c r="B35" s="420"/>
      <c r="C35" s="478"/>
      <c r="D35" s="129" t="s">
        <v>405</v>
      </c>
      <c r="E35" s="60"/>
      <c r="F35" s="52"/>
      <c r="G35" s="168"/>
    </row>
    <row r="36" spans="2:7" x14ac:dyDescent="0.25">
      <c r="B36" s="420"/>
      <c r="C36" s="462" t="s">
        <v>421</v>
      </c>
      <c r="D36" s="132" t="s">
        <v>453</v>
      </c>
      <c r="E36" s="91"/>
      <c r="F36" s="38"/>
      <c r="G36" s="63"/>
    </row>
    <row r="37" spans="2:7" ht="30" x14ac:dyDescent="0.25">
      <c r="B37" s="420"/>
      <c r="C37" s="462"/>
      <c r="D37" s="132" t="s">
        <v>428</v>
      </c>
      <c r="E37" s="91"/>
      <c r="F37" s="38"/>
      <c r="G37" s="63"/>
    </row>
    <row r="38" spans="2:7" ht="30" x14ac:dyDescent="0.25">
      <c r="B38" s="420"/>
      <c r="C38" s="462"/>
      <c r="D38" s="132" t="s">
        <v>429</v>
      </c>
      <c r="E38" s="91"/>
      <c r="F38" s="38"/>
      <c r="G38" s="63"/>
    </row>
    <row r="39" spans="2:7" ht="30" x14ac:dyDescent="0.25">
      <c r="B39" s="420"/>
      <c r="C39" s="462"/>
      <c r="D39" s="132" t="s">
        <v>430</v>
      </c>
      <c r="E39" s="91"/>
      <c r="F39" s="38"/>
      <c r="G39" s="63"/>
    </row>
    <row r="40" spans="2:7" x14ac:dyDescent="0.25">
      <c r="B40" s="420"/>
      <c r="C40" s="462"/>
      <c r="D40" s="132" t="s">
        <v>432</v>
      </c>
      <c r="E40" s="91"/>
      <c r="F40" s="38"/>
      <c r="G40" s="63"/>
    </row>
    <row r="41" spans="2:7" x14ac:dyDescent="0.25">
      <c r="B41" s="420"/>
      <c r="C41" s="462"/>
      <c r="D41" s="132" t="s">
        <v>434</v>
      </c>
      <c r="E41" s="91"/>
      <c r="F41" s="38"/>
      <c r="G41" s="63"/>
    </row>
    <row r="42" spans="2:7" ht="30" x14ac:dyDescent="0.25">
      <c r="B42" s="420"/>
      <c r="C42" s="462"/>
      <c r="D42" s="132" t="s">
        <v>436</v>
      </c>
      <c r="E42" s="91"/>
      <c r="F42" s="38"/>
      <c r="G42" s="63"/>
    </row>
    <row r="43" spans="2:7" ht="30.75" thickBot="1" x14ac:dyDescent="0.3">
      <c r="B43" s="427"/>
      <c r="C43" s="493"/>
      <c r="D43" s="194" t="s">
        <v>437</v>
      </c>
      <c r="E43" s="227"/>
      <c r="F43" s="171"/>
      <c r="G43" s="172"/>
    </row>
  </sheetData>
  <mergeCells count="12">
    <mergeCell ref="A1:G1"/>
    <mergeCell ref="C7:D8"/>
    <mergeCell ref="B32:B43"/>
    <mergeCell ref="C32:C35"/>
    <mergeCell ref="C36:C43"/>
    <mergeCell ref="B16:G16"/>
    <mergeCell ref="B17:C19"/>
    <mergeCell ref="E17:G17"/>
    <mergeCell ref="E18:G18"/>
    <mergeCell ref="B20:B31"/>
    <mergeCell ref="C20:C23"/>
    <mergeCell ref="C24:C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793FF-006F-4424-9536-3FA263251BAC}">
  <sheetPr>
    <tabColor theme="7" tint="0.39997558519241921"/>
  </sheetPr>
  <dimension ref="A1:CH52"/>
  <sheetViews>
    <sheetView zoomScale="80" zoomScaleNormal="80" workbookViewId="0">
      <pane xSplit="5" ySplit="5" topLeftCell="F6" activePane="bottomRight" state="frozen"/>
      <selection pane="topRight" activeCell="F1" sqref="F1"/>
      <selection pane="bottomLeft" activeCell="A6" sqref="A6"/>
      <selection pane="bottomRight"/>
    </sheetView>
  </sheetViews>
  <sheetFormatPr defaultRowHeight="15" x14ac:dyDescent="0.25"/>
  <cols>
    <col min="3" max="3" width="22.42578125" customWidth="1"/>
    <col min="4" max="4" width="18.7109375" style="8" customWidth="1"/>
    <col min="5" max="5" width="56.28515625" bestFit="1" customWidth="1"/>
    <col min="6" max="8" width="23.140625" customWidth="1"/>
    <col min="9" max="11" width="14.140625" customWidth="1"/>
    <col min="12" max="12" width="13.5703125" customWidth="1"/>
    <col min="13" max="13" width="16" customWidth="1"/>
    <col min="14" max="14" width="13.5703125" customWidth="1"/>
    <col min="15" max="15" width="14" customWidth="1"/>
    <col min="16" max="16" width="14.42578125" customWidth="1"/>
    <col min="17" max="18" width="13.85546875" customWidth="1"/>
    <col min="19" max="19" width="11.140625" customWidth="1"/>
    <col min="20" max="20" width="13.28515625" customWidth="1"/>
    <col min="21" max="21" width="14.42578125" customWidth="1"/>
    <col min="22" max="22" width="13" bestFit="1" customWidth="1"/>
    <col min="23" max="23" width="12.42578125" customWidth="1"/>
    <col min="24" max="24" width="17" customWidth="1"/>
    <col min="25" max="26" width="11" customWidth="1"/>
    <col min="27" max="27" width="18" customWidth="1"/>
    <col min="28" max="28" width="18.42578125" customWidth="1"/>
    <col min="29" max="29" width="18.7109375" customWidth="1"/>
    <col min="30" max="30" width="13.140625" customWidth="1"/>
    <col min="31" max="31" width="20.85546875" customWidth="1"/>
    <col min="32" max="32" width="9.140625" customWidth="1"/>
    <col min="33" max="33" width="16.7109375" customWidth="1"/>
    <col min="34" max="34" width="12" customWidth="1"/>
    <col min="37" max="37" width="12.42578125" customWidth="1"/>
    <col min="42" max="42" width="18.5703125" customWidth="1"/>
    <col min="43" max="43" width="13.85546875" customWidth="1"/>
    <col min="44" max="44" width="17" customWidth="1"/>
    <col min="45" max="45" width="16.7109375" customWidth="1"/>
    <col min="47" max="47" width="11.5703125" customWidth="1"/>
    <col min="48" max="48" width="12.7109375" customWidth="1"/>
    <col min="49" max="49" width="15.140625" customWidth="1"/>
    <col min="50" max="50" width="11.85546875" customWidth="1"/>
    <col min="51" max="51" width="14" customWidth="1"/>
    <col min="52" max="52" width="21" customWidth="1"/>
    <col min="53" max="53" width="17.140625" customWidth="1"/>
    <col min="54" max="55" width="10.140625" customWidth="1"/>
    <col min="56" max="56" width="13.85546875" customWidth="1"/>
    <col min="57" max="57" width="17.140625" customWidth="1"/>
    <col min="58" max="58" width="16.5703125" customWidth="1"/>
    <col min="60" max="60" width="11.5703125" customWidth="1"/>
    <col min="63" max="63" width="10.5703125" customWidth="1"/>
    <col min="66" max="66" width="10.42578125" customWidth="1"/>
    <col min="69" max="69" width="24.7109375" customWidth="1"/>
    <col min="72" max="72" width="11.28515625" customWidth="1"/>
    <col min="75" max="77" width="10.85546875" customWidth="1"/>
    <col min="78" max="80" width="11.85546875" customWidth="1"/>
    <col min="81" max="81" width="12.7109375" customWidth="1"/>
    <col min="82" max="82" width="13.140625" customWidth="1"/>
  </cols>
  <sheetData>
    <row r="1" spans="1:86" ht="9.75" customHeight="1" x14ac:dyDescent="0.25"/>
    <row r="2" spans="1:86" ht="9.75" customHeight="1" thickBot="1" x14ac:dyDescent="0.3"/>
    <row r="3" spans="1:86" s="33" customFormat="1" ht="72" customHeight="1" x14ac:dyDescent="0.25">
      <c r="C3" s="415" t="s">
        <v>319</v>
      </c>
      <c r="D3" s="416"/>
      <c r="E3" s="195" t="s">
        <v>320</v>
      </c>
      <c r="F3" s="437" t="s">
        <v>321</v>
      </c>
      <c r="G3" s="438"/>
      <c r="H3" s="439"/>
      <c r="I3" s="437" t="s">
        <v>322</v>
      </c>
      <c r="J3" s="438"/>
      <c r="K3" s="439"/>
      <c r="L3" s="438" t="s">
        <v>323</v>
      </c>
      <c r="M3" s="438"/>
      <c r="N3" s="439"/>
      <c r="O3" s="449" t="s">
        <v>324</v>
      </c>
      <c r="P3" s="450"/>
      <c r="Q3" s="451"/>
      <c r="R3" s="449" t="s">
        <v>325</v>
      </c>
      <c r="S3" s="450"/>
      <c r="T3" s="464"/>
      <c r="U3" s="452" t="s">
        <v>28</v>
      </c>
      <c r="V3" s="424"/>
      <c r="W3" s="425"/>
      <c r="X3" s="424" t="s">
        <v>258</v>
      </c>
      <c r="Y3" s="424"/>
      <c r="Z3" s="425"/>
      <c r="AA3" s="452" t="s">
        <v>326</v>
      </c>
      <c r="AB3" s="424"/>
      <c r="AC3" s="425"/>
      <c r="AD3" s="431" t="s">
        <v>205</v>
      </c>
      <c r="AE3" s="432"/>
      <c r="AF3" s="433"/>
      <c r="AG3" s="449" t="s">
        <v>208</v>
      </c>
      <c r="AH3" s="450"/>
      <c r="AI3" s="451"/>
      <c r="AJ3" s="449" t="s">
        <v>327</v>
      </c>
      <c r="AK3" s="450"/>
      <c r="AL3" s="451"/>
      <c r="AM3" s="452" t="s">
        <v>328</v>
      </c>
      <c r="AN3" s="424"/>
      <c r="AO3" s="425"/>
      <c r="AP3" s="452" t="s">
        <v>67</v>
      </c>
      <c r="AQ3" s="424"/>
      <c r="AR3" s="425"/>
      <c r="AS3" s="452" t="s">
        <v>70</v>
      </c>
      <c r="AT3" s="424"/>
      <c r="AU3" s="425"/>
      <c r="AV3" s="452" t="s">
        <v>329</v>
      </c>
      <c r="AW3" s="424"/>
      <c r="AX3" s="425"/>
      <c r="AY3" s="449" t="s">
        <v>87</v>
      </c>
      <c r="AZ3" s="450"/>
      <c r="BA3" s="451"/>
      <c r="BB3" s="449" t="s">
        <v>330</v>
      </c>
      <c r="BC3" s="450"/>
      <c r="BD3" s="451"/>
      <c r="BE3" s="449" t="s">
        <v>331</v>
      </c>
      <c r="BF3" s="450"/>
      <c r="BG3" s="451"/>
      <c r="BH3" s="449" t="s">
        <v>332</v>
      </c>
      <c r="BI3" s="450"/>
      <c r="BJ3" s="451"/>
      <c r="BK3" s="443" t="s">
        <v>184</v>
      </c>
      <c r="BL3" s="444"/>
      <c r="BM3" s="445"/>
      <c r="BN3" s="453" t="s">
        <v>333</v>
      </c>
      <c r="BO3" s="454"/>
      <c r="BP3" s="455"/>
      <c r="BQ3" s="431" t="s">
        <v>214</v>
      </c>
      <c r="BR3" s="432"/>
      <c r="BS3" s="433"/>
      <c r="BT3" s="453" t="s">
        <v>334</v>
      </c>
      <c r="BU3" s="454"/>
      <c r="BV3" s="455"/>
      <c r="BW3" s="443" t="s">
        <v>335</v>
      </c>
      <c r="BX3" s="444"/>
      <c r="BY3" s="445"/>
      <c r="BZ3" s="449" t="s">
        <v>336</v>
      </c>
      <c r="CA3" s="450"/>
      <c r="CB3" s="451"/>
      <c r="CC3" s="449" t="s">
        <v>129</v>
      </c>
      <c r="CD3" s="450"/>
      <c r="CE3" s="451"/>
      <c r="CF3" s="431" t="s">
        <v>337</v>
      </c>
      <c r="CG3" s="432"/>
      <c r="CH3" s="433"/>
    </row>
    <row r="4" spans="1:86" ht="64.150000000000006" customHeight="1" x14ac:dyDescent="0.25">
      <c r="C4" s="417"/>
      <c r="D4" s="418"/>
      <c r="E4" s="196" t="s">
        <v>19</v>
      </c>
      <c r="F4" s="440" t="s">
        <v>338</v>
      </c>
      <c r="G4" s="441"/>
      <c r="H4" s="442"/>
      <c r="I4" s="440" t="s">
        <v>339</v>
      </c>
      <c r="J4" s="441"/>
      <c r="K4" s="442"/>
      <c r="L4" s="441" t="s">
        <v>340</v>
      </c>
      <c r="M4" s="441"/>
      <c r="N4" s="442"/>
      <c r="O4" s="440" t="s">
        <v>341</v>
      </c>
      <c r="P4" s="441"/>
      <c r="Q4" s="442"/>
      <c r="R4" s="440" t="s">
        <v>342</v>
      </c>
      <c r="S4" s="441"/>
      <c r="T4" s="441"/>
      <c r="U4" s="420" t="s">
        <v>343</v>
      </c>
      <c r="V4" s="462"/>
      <c r="W4" s="463"/>
      <c r="X4" s="459" t="s">
        <v>344</v>
      </c>
      <c r="Y4" s="460"/>
      <c r="Z4" s="461"/>
      <c r="AA4" s="456" t="s">
        <v>345</v>
      </c>
      <c r="AB4" s="457"/>
      <c r="AC4" s="458"/>
      <c r="AD4" s="456" t="s">
        <v>346</v>
      </c>
      <c r="AE4" s="457"/>
      <c r="AF4" s="458"/>
      <c r="AG4" s="446" t="s">
        <v>347</v>
      </c>
      <c r="AH4" s="447"/>
      <c r="AI4" s="448"/>
      <c r="AJ4" s="446" t="s">
        <v>348</v>
      </c>
      <c r="AK4" s="447"/>
      <c r="AL4" s="448"/>
      <c r="AM4" s="456" t="s">
        <v>349</v>
      </c>
      <c r="AN4" s="457"/>
      <c r="AO4" s="458"/>
      <c r="AP4" s="456" t="s">
        <v>350</v>
      </c>
      <c r="AQ4" s="457"/>
      <c r="AR4" s="458"/>
      <c r="AS4" s="456" t="s">
        <v>351</v>
      </c>
      <c r="AT4" s="457"/>
      <c r="AU4" s="458"/>
      <c r="AV4" s="456" t="s">
        <v>352</v>
      </c>
      <c r="AW4" s="457"/>
      <c r="AX4" s="458"/>
      <c r="AY4" s="446" t="s">
        <v>353</v>
      </c>
      <c r="AZ4" s="447"/>
      <c r="BA4" s="448"/>
      <c r="BB4" s="446" t="s">
        <v>354</v>
      </c>
      <c r="BC4" s="447"/>
      <c r="BD4" s="448"/>
      <c r="BE4" s="446" t="s">
        <v>355</v>
      </c>
      <c r="BF4" s="447"/>
      <c r="BG4" s="448"/>
      <c r="BH4" s="446" t="s">
        <v>356</v>
      </c>
      <c r="BI4" s="447"/>
      <c r="BJ4" s="448"/>
      <c r="BK4" s="446" t="s">
        <v>181</v>
      </c>
      <c r="BL4" s="447"/>
      <c r="BM4" s="448"/>
      <c r="BN4" s="456" t="s">
        <v>357</v>
      </c>
      <c r="BO4" s="457"/>
      <c r="BP4" s="458"/>
      <c r="BQ4" s="456" t="s">
        <v>358</v>
      </c>
      <c r="BR4" s="457"/>
      <c r="BS4" s="458"/>
      <c r="BT4" s="456" t="s">
        <v>359</v>
      </c>
      <c r="BU4" s="457"/>
      <c r="BV4" s="458"/>
      <c r="BW4" s="446" t="s">
        <v>360</v>
      </c>
      <c r="BX4" s="447"/>
      <c r="BY4" s="448"/>
      <c r="BZ4" s="446" t="s">
        <v>361</v>
      </c>
      <c r="CA4" s="447"/>
      <c r="CB4" s="448"/>
      <c r="CC4" s="446" t="s">
        <v>362</v>
      </c>
      <c r="CD4" s="447"/>
      <c r="CE4" s="448"/>
      <c r="CF4" s="434" t="s">
        <v>363</v>
      </c>
      <c r="CG4" s="435"/>
      <c r="CH4" s="436"/>
    </row>
    <row r="5" spans="1:86" ht="57" customHeight="1" x14ac:dyDescent="0.25">
      <c r="C5" s="417"/>
      <c r="D5" s="418"/>
      <c r="E5" s="124" t="s">
        <v>364</v>
      </c>
      <c r="F5" s="123" t="s">
        <v>365</v>
      </c>
      <c r="G5" s="143" t="s">
        <v>366</v>
      </c>
      <c r="H5" s="124" t="s">
        <v>367</v>
      </c>
      <c r="I5" s="123" t="s">
        <v>365</v>
      </c>
      <c r="J5" s="143" t="s">
        <v>366</v>
      </c>
      <c r="K5" s="124" t="s">
        <v>367</v>
      </c>
      <c r="L5" s="249" t="s">
        <v>365</v>
      </c>
      <c r="M5" s="143" t="s">
        <v>366</v>
      </c>
      <c r="N5" s="124" t="s">
        <v>367</v>
      </c>
      <c r="O5" s="123" t="s">
        <v>365</v>
      </c>
      <c r="P5" s="143" t="s">
        <v>366</v>
      </c>
      <c r="Q5" s="124" t="s">
        <v>367</v>
      </c>
      <c r="R5" s="123" t="s">
        <v>365</v>
      </c>
      <c r="S5" s="143" t="s">
        <v>366</v>
      </c>
      <c r="T5" s="279" t="s">
        <v>367</v>
      </c>
      <c r="U5" s="145" t="s">
        <v>365</v>
      </c>
      <c r="V5" s="34" t="s">
        <v>366</v>
      </c>
      <c r="W5" s="61" t="s">
        <v>367</v>
      </c>
      <c r="X5" s="93" t="s">
        <v>365</v>
      </c>
      <c r="Y5" s="34" t="s">
        <v>366</v>
      </c>
      <c r="Z5" s="61" t="s">
        <v>367</v>
      </c>
      <c r="AA5" s="145" t="s">
        <v>365</v>
      </c>
      <c r="AB5" s="34" t="s">
        <v>366</v>
      </c>
      <c r="AC5" s="61" t="s">
        <v>367</v>
      </c>
      <c r="AD5" s="145" t="s">
        <v>365</v>
      </c>
      <c r="AE5" s="34" t="s">
        <v>366</v>
      </c>
      <c r="AF5" s="61" t="s">
        <v>367</v>
      </c>
      <c r="AG5" s="123" t="s">
        <v>365</v>
      </c>
      <c r="AH5" s="143" t="s">
        <v>366</v>
      </c>
      <c r="AI5" s="124" t="s">
        <v>367</v>
      </c>
      <c r="AJ5" s="123" t="s">
        <v>365</v>
      </c>
      <c r="AK5" s="143" t="s">
        <v>366</v>
      </c>
      <c r="AL5" s="124" t="s">
        <v>367</v>
      </c>
      <c r="AM5" s="145" t="s">
        <v>365</v>
      </c>
      <c r="AN5" s="34" t="s">
        <v>366</v>
      </c>
      <c r="AO5" s="61" t="s">
        <v>367</v>
      </c>
      <c r="AP5" s="145" t="s">
        <v>365</v>
      </c>
      <c r="AQ5" s="34" t="s">
        <v>366</v>
      </c>
      <c r="AR5" s="61" t="s">
        <v>367</v>
      </c>
      <c r="AS5" s="145" t="s">
        <v>365</v>
      </c>
      <c r="AT5" s="34" t="s">
        <v>366</v>
      </c>
      <c r="AU5" s="61" t="s">
        <v>367</v>
      </c>
      <c r="AV5" s="145" t="s">
        <v>365</v>
      </c>
      <c r="AW5" s="34" t="s">
        <v>366</v>
      </c>
      <c r="AX5" s="61" t="s">
        <v>367</v>
      </c>
      <c r="AY5" s="123" t="s">
        <v>365</v>
      </c>
      <c r="AZ5" s="143" t="s">
        <v>366</v>
      </c>
      <c r="BA5" s="124" t="s">
        <v>367</v>
      </c>
      <c r="BB5" s="123" t="s">
        <v>365</v>
      </c>
      <c r="BC5" s="143" t="s">
        <v>366</v>
      </c>
      <c r="BD5" s="124" t="s">
        <v>367</v>
      </c>
      <c r="BE5" s="123" t="s">
        <v>365</v>
      </c>
      <c r="BF5" s="143" t="s">
        <v>366</v>
      </c>
      <c r="BG5" s="124" t="s">
        <v>367</v>
      </c>
      <c r="BH5" s="123" t="s">
        <v>365</v>
      </c>
      <c r="BI5" s="143" t="s">
        <v>366</v>
      </c>
      <c r="BJ5" s="124" t="s">
        <v>367</v>
      </c>
      <c r="BK5" s="123" t="s">
        <v>365</v>
      </c>
      <c r="BL5" s="143" t="s">
        <v>366</v>
      </c>
      <c r="BM5" s="124" t="s">
        <v>367</v>
      </c>
      <c r="BN5" s="145" t="s">
        <v>365</v>
      </c>
      <c r="BO5" s="34" t="s">
        <v>366</v>
      </c>
      <c r="BP5" s="61" t="s">
        <v>367</v>
      </c>
      <c r="BQ5" s="145" t="s">
        <v>365</v>
      </c>
      <c r="BR5" s="34" t="s">
        <v>366</v>
      </c>
      <c r="BS5" s="61" t="s">
        <v>367</v>
      </c>
      <c r="BT5" s="145" t="s">
        <v>365</v>
      </c>
      <c r="BU5" s="34" t="s">
        <v>366</v>
      </c>
      <c r="BV5" s="61" t="s">
        <v>367</v>
      </c>
      <c r="BW5" s="123" t="s">
        <v>365</v>
      </c>
      <c r="BX5" s="143" t="s">
        <v>366</v>
      </c>
      <c r="BY5" s="124" t="s">
        <v>367</v>
      </c>
      <c r="BZ5" s="123" t="s">
        <v>365</v>
      </c>
      <c r="CA5" s="143" t="s">
        <v>366</v>
      </c>
      <c r="CB5" s="124" t="s">
        <v>367</v>
      </c>
      <c r="CC5" s="123" t="s">
        <v>365</v>
      </c>
      <c r="CD5" s="143" t="s">
        <v>366</v>
      </c>
      <c r="CE5" s="124" t="s">
        <v>367</v>
      </c>
      <c r="CF5" s="123" t="s">
        <v>365</v>
      </c>
      <c r="CG5" s="143" t="s">
        <v>366</v>
      </c>
      <c r="CH5" s="124" t="s">
        <v>367</v>
      </c>
    </row>
    <row r="6" spans="1:86" s="10" customFormat="1" ht="119.65" customHeight="1" x14ac:dyDescent="0.25">
      <c r="A6"/>
      <c r="B6"/>
      <c r="C6" s="419" t="s">
        <v>368</v>
      </c>
      <c r="D6" s="421" t="s">
        <v>369</v>
      </c>
      <c r="E6" s="197" t="s">
        <v>370</v>
      </c>
      <c r="F6" s="173">
        <v>2E-3</v>
      </c>
      <c r="G6" s="253" t="s">
        <v>371</v>
      </c>
      <c r="H6" s="255">
        <v>180</v>
      </c>
      <c r="I6" s="173"/>
      <c r="J6" s="253"/>
      <c r="K6" s="255"/>
      <c r="L6" s="256">
        <v>5.0000000000000002E-5</v>
      </c>
      <c r="M6" s="215" t="s">
        <v>372</v>
      </c>
      <c r="N6" s="215" t="s">
        <v>373</v>
      </c>
      <c r="O6" s="58"/>
      <c r="P6" s="35"/>
      <c r="Q6" s="41"/>
      <c r="R6" s="60"/>
      <c r="S6" s="60"/>
      <c r="T6" s="275"/>
      <c r="U6" s="183">
        <v>0.1141776169108365</v>
      </c>
      <c r="V6" s="52">
        <v>0.434</v>
      </c>
      <c r="W6" s="62" t="s">
        <v>373</v>
      </c>
      <c r="X6" s="291"/>
      <c r="Y6" s="57"/>
      <c r="Z6" s="62"/>
      <c r="AA6" s="173"/>
      <c r="AB6" s="57"/>
      <c r="AC6" s="62"/>
      <c r="AD6" s="188"/>
      <c r="AE6" s="119"/>
      <c r="AF6" s="189"/>
      <c r="AG6" s="60"/>
      <c r="AH6" s="57"/>
      <c r="AI6" s="62"/>
      <c r="AJ6" s="160"/>
      <c r="AK6" s="69"/>
      <c r="AL6" s="155"/>
      <c r="AM6" s="183"/>
      <c r="AN6" s="57"/>
      <c r="AO6" s="62"/>
      <c r="AP6" s="183"/>
      <c r="AQ6" s="52"/>
      <c r="AR6" s="62"/>
      <c r="AS6" s="60" t="s">
        <v>374</v>
      </c>
      <c r="AT6" s="57"/>
      <c r="AU6" s="62"/>
      <c r="AV6" s="183"/>
      <c r="AW6" s="57"/>
      <c r="AX6" s="62"/>
      <c r="AY6" s="60"/>
      <c r="AZ6" s="57"/>
      <c r="BA6" s="62"/>
      <c r="BB6" s="183"/>
      <c r="BC6" s="57"/>
      <c r="BD6" s="62"/>
      <c r="BE6" s="160"/>
      <c r="BF6" s="69"/>
      <c r="BG6" s="155"/>
      <c r="BH6" s="176"/>
      <c r="BI6" s="85"/>
      <c r="BJ6" s="177"/>
      <c r="BK6" s="58"/>
      <c r="BL6" s="35"/>
      <c r="BM6" s="62"/>
      <c r="BN6" s="401">
        <v>7.92E-3</v>
      </c>
      <c r="BO6" s="35" t="s">
        <v>375</v>
      </c>
      <c r="BP6" s="62" t="s">
        <v>376</v>
      </c>
      <c r="BQ6" s="35">
        <v>0.06</v>
      </c>
      <c r="BR6" s="35"/>
      <c r="BS6" s="62" t="s">
        <v>377</v>
      </c>
      <c r="BT6" s="199" t="s">
        <v>378</v>
      </c>
      <c r="BU6" s="35"/>
      <c r="BV6" s="62"/>
      <c r="BW6" s="229"/>
      <c r="BX6" s="35"/>
      <c r="BY6" s="62"/>
      <c r="BZ6" s="154"/>
      <c r="CA6" s="67" t="s">
        <v>379</v>
      </c>
      <c r="CB6" s="155"/>
      <c r="CC6" s="154"/>
      <c r="CD6" s="67"/>
      <c r="CE6" s="155"/>
      <c r="CF6" s="147"/>
      <c r="CG6" s="35"/>
      <c r="CH6" s="62"/>
    </row>
    <row r="7" spans="1:86" ht="55.5" customHeight="1" x14ac:dyDescent="0.25">
      <c r="C7" s="420"/>
      <c r="D7" s="422"/>
      <c r="E7" s="127" t="s">
        <v>380</v>
      </c>
      <c r="F7" s="265"/>
      <c r="G7" s="29"/>
      <c r="H7" s="266" t="s">
        <v>381</v>
      </c>
      <c r="I7" s="237" t="s">
        <v>381</v>
      </c>
      <c r="J7" s="93" t="s">
        <v>382</v>
      </c>
      <c r="K7" s="61" t="s">
        <v>383</v>
      </c>
      <c r="L7" s="257">
        <v>4.7000000000000004E-5</v>
      </c>
      <c r="M7" s="59" t="s">
        <v>384</v>
      </c>
      <c r="N7" s="40">
        <v>67.5</v>
      </c>
      <c r="O7" s="59"/>
      <c r="P7" s="34"/>
      <c r="Q7" s="40"/>
      <c r="R7" s="223">
        <v>4.2000000000000002E-4</v>
      </c>
      <c r="S7" s="54" t="s">
        <v>385</v>
      </c>
      <c r="T7" s="276" t="s">
        <v>386</v>
      </c>
      <c r="U7" s="166"/>
      <c r="V7" s="34"/>
      <c r="W7" s="61"/>
      <c r="X7" s="292" t="s">
        <v>387</v>
      </c>
      <c r="Y7" s="116"/>
      <c r="Z7" s="61"/>
      <c r="AA7" s="30"/>
      <c r="AB7" s="116"/>
      <c r="AC7" s="61"/>
      <c r="AD7" s="166"/>
      <c r="AE7" s="54"/>
      <c r="AF7" s="61"/>
      <c r="AG7" s="59"/>
      <c r="AH7" s="54">
        <v>15.2</v>
      </c>
      <c r="AI7" s="61" t="s">
        <v>388</v>
      </c>
      <c r="AJ7" s="169"/>
      <c r="AK7" s="68"/>
      <c r="AL7" s="124"/>
      <c r="AM7" s="186"/>
      <c r="AN7" s="54"/>
      <c r="AO7" s="61"/>
      <c r="AP7" s="187"/>
      <c r="AQ7" s="54"/>
      <c r="AR7" s="61"/>
      <c r="AS7" s="4"/>
      <c r="AT7" s="54"/>
      <c r="AU7" s="61"/>
      <c r="AV7" s="166">
        <v>2.2000000000000001E-3</v>
      </c>
      <c r="AW7" s="136" t="s">
        <v>389</v>
      </c>
      <c r="AX7" s="61"/>
      <c r="AY7" s="59"/>
      <c r="AZ7" s="54"/>
      <c r="BA7" s="61"/>
      <c r="BB7" s="166"/>
      <c r="BC7" s="54"/>
      <c r="BD7" s="61"/>
      <c r="BE7" s="130"/>
      <c r="BF7" s="68"/>
      <c r="BG7" s="124"/>
      <c r="BH7" s="130"/>
      <c r="BI7" s="68"/>
      <c r="BJ7" s="124"/>
      <c r="BK7" s="59">
        <v>1.0000000000000001E-5</v>
      </c>
      <c r="BL7" s="34" t="s">
        <v>376</v>
      </c>
      <c r="BM7" s="61" t="s">
        <v>390</v>
      </c>
      <c r="BN7" s="34"/>
      <c r="BO7" s="34"/>
      <c r="BP7" s="61"/>
      <c r="BQ7" s="34"/>
      <c r="BR7" s="34"/>
      <c r="BS7" s="61"/>
      <c r="BT7" s="145"/>
      <c r="BU7" s="34"/>
      <c r="BV7" s="61"/>
      <c r="BW7" s="29"/>
      <c r="BX7" s="93"/>
      <c r="BY7" s="61"/>
      <c r="BZ7" s="123"/>
      <c r="CA7" s="143" t="s">
        <v>391</v>
      </c>
      <c r="CB7" s="124"/>
      <c r="CC7" s="123"/>
      <c r="CD7" s="143"/>
      <c r="CE7" s="124"/>
      <c r="CF7" s="145" t="s">
        <v>392</v>
      </c>
      <c r="CG7" s="34" t="s">
        <v>393</v>
      </c>
      <c r="CH7" s="61"/>
    </row>
    <row r="8" spans="1:86" ht="75" x14ac:dyDescent="0.25">
      <c r="C8" s="420"/>
      <c r="D8" s="422"/>
      <c r="E8" s="127" t="s">
        <v>394</v>
      </c>
      <c r="F8" s="126"/>
      <c r="G8" s="70"/>
      <c r="H8" s="127"/>
      <c r="I8" s="118">
        <v>5.4327437555391355E-4</v>
      </c>
      <c r="J8" s="93" t="s">
        <v>395</v>
      </c>
      <c r="K8" s="61" t="s">
        <v>396</v>
      </c>
      <c r="L8" s="258"/>
      <c r="M8" s="217"/>
      <c r="N8" s="218"/>
      <c r="O8" s="59">
        <v>1.0000000000000001E-5</v>
      </c>
      <c r="P8" s="34">
        <v>50</v>
      </c>
      <c r="Q8" s="40">
        <v>250</v>
      </c>
      <c r="R8" s="59">
        <v>7.2000000000000002E-5</v>
      </c>
      <c r="S8" s="54" t="s">
        <v>385</v>
      </c>
      <c r="T8" s="276" t="s">
        <v>397</v>
      </c>
      <c r="U8" s="166"/>
      <c r="V8" s="54"/>
      <c r="W8" s="61"/>
      <c r="X8" s="293" t="s">
        <v>398</v>
      </c>
      <c r="Y8" s="116"/>
      <c r="Z8" s="61"/>
      <c r="AA8" s="125"/>
      <c r="AB8" s="116"/>
      <c r="AC8" s="61"/>
      <c r="AD8" s="166"/>
      <c r="AE8" s="54"/>
      <c r="AF8" s="61"/>
      <c r="AG8" s="59"/>
      <c r="AH8" s="54"/>
      <c r="AI8" s="61"/>
      <c r="AJ8" s="130"/>
      <c r="AK8" s="68"/>
      <c r="AL8" s="124"/>
      <c r="AM8" s="166"/>
      <c r="AN8" s="54"/>
      <c r="AO8" s="61"/>
      <c r="AP8" s="166" t="s">
        <v>399</v>
      </c>
      <c r="AQ8" s="34">
        <v>867</v>
      </c>
      <c r="AR8" s="61">
        <v>112</v>
      </c>
      <c r="AS8" s="59"/>
      <c r="AT8" s="54"/>
      <c r="AU8" s="61"/>
      <c r="AV8" s="166">
        <v>7.3999999999999999E-4</v>
      </c>
      <c r="AW8" s="136" t="s">
        <v>400</v>
      </c>
      <c r="AX8" s="61"/>
      <c r="AY8" s="59" t="s">
        <v>401</v>
      </c>
      <c r="AZ8" s="54">
        <v>345.6</v>
      </c>
      <c r="BA8" s="61" t="s">
        <v>402</v>
      </c>
      <c r="BB8" s="166"/>
      <c r="BC8" s="54"/>
      <c r="BD8" s="61"/>
      <c r="BE8" s="130"/>
      <c r="BF8" s="68"/>
      <c r="BG8" s="124"/>
      <c r="BH8" s="130"/>
      <c r="BI8" s="68"/>
      <c r="BJ8" s="124"/>
      <c r="BK8" s="59">
        <v>1.0000000000000001E-5</v>
      </c>
      <c r="BL8" s="34" t="s">
        <v>376</v>
      </c>
      <c r="BM8" s="61" t="s">
        <v>390</v>
      </c>
      <c r="BN8" s="59">
        <v>6.8700000000000003E-5</v>
      </c>
      <c r="BO8" s="34" t="s">
        <v>403</v>
      </c>
      <c r="BP8" s="61" t="s">
        <v>376</v>
      </c>
      <c r="BQ8" s="34"/>
      <c r="BR8" s="34"/>
      <c r="BS8" s="61"/>
      <c r="BT8" s="145"/>
      <c r="BU8" s="34"/>
      <c r="BV8" s="61"/>
      <c r="BW8" s="223"/>
      <c r="BX8" s="34" t="s">
        <v>404</v>
      </c>
      <c r="BY8" s="61"/>
      <c r="BZ8" s="123"/>
      <c r="CA8" s="143"/>
      <c r="CB8" s="124"/>
      <c r="CC8" s="123"/>
      <c r="CD8" s="143"/>
      <c r="CE8" s="124"/>
      <c r="CF8" s="145"/>
      <c r="CG8" s="34"/>
      <c r="CH8" s="61"/>
    </row>
    <row r="9" spans="1:86" s="10" customFormat="1" ht="57" customHeight="1" x14ac:dyDescent="0.25">
      <c r="A9"/>
      <c r="B9"/>
      <c r="C9" s="420"/>
      <c r="D9" s="422"/>
      <c r="E9" s="129" t="s">
        <v>405</v>
      </c>
      <c r="F9" s="128"/>
      <c r="G9" s="71"/>
      <c r="H9" s="129"/>
      <c r="I9" s="117">
        <v>2.0895168290535135E-4</v>
      </c>
      <c r="J9" s="52" t="s">
        <v>406</v>
      </c>
      <c r="K9" s="62" t="s">
        <v>407</v>
      </c>
      <c r="L9" s="259"/>
      <c r="M9" s="39"/>
      <c r="N9" s="43"/>
      <c r="O9" s="58">
        <v>3.0000000000000001E-6</v>
      </c>
      <c r="P9" s="35">
        <v>5000</v>
      </c>
      <c r="Q9" s="41">
        <v>250</v>
      </c>
      <c r="R9" s="60"/>
      <c r="S9" s="60"/>
      <c r="T9" s="275"/>
      <c r="U9" s="183" t="s">
        <v>408</v>
      </c>
      <c r="V9" s="52">
        <v>19440</v>
      </c>
      <c r="W9" s="62">
        <v>90</v>
      </c>
      <c r="X9" s="294" t="s">
        <v>409</v>
      </c>
      <c r="Y9" s="57"/>
      <c r="Z9" s="62"/>
      <c r="AA9" s="190" t="s">
        <v>410</v>
      </c>
      <c r="AB9" s="57" t="s">
        <v>411</v>
      </c>
      <c r="AC9" s="62" t="s">
        <v>412</v>
      </c>
      <c r="AD9" s="183"/>
      <c r="AE9" s="57"/>
      <c r="AF9" s="62"/>
      <c r="AG9" s="60"/>
      <c r="AH9" s="57">
        <v>7200</v>
      </c>
      <c r="AI9" s="135" t="s">
        <v>413</v>
      </c>
      <c r="AJ9" s="183" t="s">
        <v>414</v>
      </c>
      <c r="AK9" s="69"/>
      <c r="AL9" s="155"/>
      <c r="AM9" s="183" t="s">
        <v>415</v>
      </c>
      <c r="AN9" s="52">
        <v>512</v>
      </c>
      <c r="AO9" s="62">
        <v>112</v>
      </c>
      <c r="AP9" s="183"/>
      <c r="AQ9" s="52"/>
      <c r="AR9" s="62"/>
      <c r="AS9" s="60"/>
      <c r="AT9" s="57"/>
      <c r="AU9" s="62"/>
      <c r="AV9" s="183">
        <v>1.3999999999999999E-4</v>
      </c>
      <c r="AW9" s="137" t="s">
        <v>416</v>
      </c>
      <c r="AX9" s="62"/>
      <c r="AY9" s="60"/>
      <c r="AZ9" s="57"/>
      <c r="BA9" s="62"/>
      <c r="BB9" s="183"/>
      <c r="BC9" s="57"/>
      <c r="BD9" s="62"/>
      <c r="BE9" s="160"/>
      <c r="BF9" s="69"/>
      <c r="BG9" s="155"/>
      <c r="BH9" s="160"/>
      <c r="BI9" s="69"/>
      <c r="BJ9" s="155"/>
      <c r="BK9" s="224">
        <v>5.7100000000000004E-6</v>
      </c>
      <c r="BL9" s="35" t="s">
        <v>376</v>
      </c>
      <c r="BM9" s="62" t="s">
        <v>417</v>
      </c>
      <c r="BN9" s="58"/>
      <c r="BO9" s="39"/>
      <c r="BP9" s="62"/>
      <c r="BQ9" s="39"/>
      <c r="BR9" s="39"/>
      <c r="BS9" s="149"/>
      <c r="BT9" s="198"/>
      <c r="BU9" s="39"/>
      <c r="BV9" s="149"/>
      <c r="BW9" s="35"/>
      <c r="BX9" s="35"/>
      <c r="BY9" s="62"/>
      <c r="BZ9" s="156"/>
      <c r="CA9" s="67">
        <v>3000</v>
      </c>
      <c r="CB9" s="155" t="s">
        <v>418</v>
      </c>
      <c r="CC9" s="156"/>
      <c r="CD9" s="72"/>
      <c r="CE9" s="157"/>
      <c r="CF9" s="148" t="s">
        <v>419</v>
      </c>
      <c r="CG9" s="142" t="s">
        <v>420</v>
      </c>
      <c r="CH9" s="149"/>
    </row>
    <row r="10" spans="1:86" ht="101.45" customHeight="1" x14ac:dyDescent="0.25">
      <c r="C10" s="420"/>
      <c r="D10" s="423" t="s">
        <v>421</v>
      </c>
      <c r="E10" s="132" t="s">
        <v>422</v>
      </c>
      <c r="F10" s="130"/>
      <c r="G10" s="143"/>
      <c r="H10" s="124"/>
      <c r="I10" s="130"/>
      <c r="J10" s="143"/>
      <c r="K10" s="124"/>
      <c r="L10" s="257"/>
      <c r="M10" s="46"/>
      <c r="N10" s="40"/>
      <c r="O10" s="38"/>
      <c r="P10" s="38"/>
      <c r="Q10" s="42"/>
      <c r="R10" s="38"/>
      <c r="S10" s="38"/>
      <c r="T10" s="287"/>
      <c r="U10" s="185"/>
      <c r="V10" s="38"/>
      <c r="W10" s="63"/>
      <c r="X10" s="295"/>
      <c r="Y10" s="34"/>
      <c r="Z10" s="61"/>
      <c r="AA10" s="184"/>
      <c r="AB10" s="34"/>
      <c r="AC10" s="61"/>
      <c r="AD10" s="184"/>
      <c r="AE10" s="34"/>
      <c r="AF10" s="63"/>
      <c r="AG10" s="38"/>
      <c r="AH10" s="38"/>
      <c r="AI10" s="63"/>
      <c r="AJ10" s="30"/>
      <c r="AK10" s="29"/>
      <c r="AL10" s="31"/>
      <c r="AM10" s="456" t="s">
        <v>423</v>
      </c>
      <c r="AN10" s="457"/>
      <c r="AO10" s="458"/>
      <c r="AP10" s="185"/>
      <c r="AQ10" s="38"/>
      <c r="AR10" s="63"/>
      <c r="AS10" s="76">
        <v>0.1</v>
      </c>
      <c r="AT10" s="38" t="s">
        <v>424</v>
      </c>
      <c r="AU10" s="63" t="s">
        <v>425</v>
      </c>
      <c r="AV10" s="30"/>
      <c r="AW10" s="29"/>
      <c r="AX10" s="31"/>
      <c r="AY10" s="30"/>
      <c r="AZ10" s="29"/>
      <c r="BA10" s="31"/>
      <c r="BB10" s="184"/>
      <c r="BC10" s="34"/>
      <c r="BD10" s="63"/>
      <c r="BE10" s="179"/>
      <c r="BF10" s="143"/>
      <c r="BG10" s="159"/>
      <c r="BH10" s="178" t="s">
        <v>426</v>
      </c>
      <c r="BI10" s="143"/>
      <c r="BJ10" s="159"/>
      <c r="BK10" s="34"/>
      <c r="BL10" s="46"/>
      <c r="BM10" s="61"/>
      <c r="BN10" s="59"/>
      <c r="BO10" s="46"/>
      <c r="BP10" s="61"/>
      <c r="BQ10" s="59"/>
      <c r="BR10" s="46"/>
      <c r="BS10" s="61"/>
      <c r="BT10" s="200" t="s">
        <v>427</v>
      </c>
      <c r="BU10" s="46"/>
      <c r="BV10" s="61"/>
      <c r="BW10" s="30"/>
      <c r="BX10" s="29"/>
      <c r="BY10" s="31"/>
      <c r="BZ10" s="130"/>
      <c r="CA10" s="73"/>
      <c r="CB10" s="124"/>
      <c r="CC10" s="130"/>
      <c r="CD10" s="73"/>
      <c r="CE10" s="124"/>
      <c r="CF10" s="30"/>
      <c r="CG10" s="29"/>
      <c r="CH10" s="31"/>
    </row>
    <row r="11" spans="1:86" ht="14.25" customHeight="1" x14ac:dyDescent="0.25">
      <c r="C11" s="420"/>
      <c r="D11" s="423"/>
      <c r="E11" s="127" t="s">
        <v>428</v>
      </c>
      <c r="F11" s="126"/>
      <c r="G11" s="70"/>
      <c r="H11" s="127"/>
      <c r="I11" s="126"/>
      <c r="J11" s="70"/>
      <c r="K11" s="127"/>
      <c r="L11" s="257">
        <v>4.7000000000000004E-5</v>
      </c>
      <c r="M11" s="46" t="s">
        <v>384</v>
      </c>
      <c r="N11" s="40">
        <v>67.5</v>
      </c>
      <c r="O11" s="34"/>
      <c r="P11" s="46"/>
      <c r="Q11" s="40"/>
      <c r="R11" s="34"/>
      <c r="S11" s="46"/>
      <c r="T11" s="276"/>
      <c r="U11" s="145"/>
      <c r="V11" s="46"/>
      <c r="W11" s="61"/>
      <c r="X11" s="295"/>
      <c r="Y11" s="46"/>
      <c r="Z11" s="61"/>
      <c r="AA11" s="184"/>
      <c r="AB11" s="46"/>
      <c r="AC11" s="61"/>
      <c r="AD11" s="184"/>
      <c r="AE11" s="46"/>
      <c r="AF11" s="61"/>
      <c r="AG11" s="34"/>
      <c r="AH11" s="46"/>
      <c r="AI11" s="61"/>
      <c r="AJ11" s="30"/>
      <c r="AK11" s="29"/>
      <c r="AL11" s="31"/>
      <c r="AM11" s="145"/>
      <c r="AN11" s="46"/>
      <c r="AO11" s="61"/>
      <c r="AP11" s="145"/>
      <c r="AQ11" s="46"/>
      <c r="AR11" s="61"/>
      <c r="AS11" s="76"/>
      <c r="AT11" s="46"/>
      <c r="AU11" s="61"/>
      <c r="AV11" s="30"/>
      <c r="AW11" s="29"/>
      <c r="AX11" s="31"/>
      <c r="AY11" s="30"/>
      <c r="AZ11" s="29"/>
      <c r="BA11" s="31"/>
      <c r="BB11" s="184"/>
      <c r="BC11" s="46"/>
      <c r="BD11" s="61"/>
      <c r="BE11" s="179"/>
      <c r="BF11" s="73"/>
      <c r="BG11" s="124"/>
      <c r="BH11" s="179"/>
      <c r="BI11" s="73"/>
      <c r="BJ11" s="124"/>
      <c r="BK11" s="34"/>
      <c r="BL11" s="46"/>
      <c r="BM11" s="61"/>
      <c r="BN11" s="59"/>
      <c r="BO11" s="46"/>
      <c r="BP11" s="61"/>
      <c r="BQ11" s="59"/>
      <c r="BR11" s="46"/>
      <c r="BS11" s="61"/>
      <c r="BT11" s="166"/>
      <c r="BU11" s="46"/>
      <c r="BV11" s="61"/>
      <c r="BW11" s="30"/>
      <c r="BX11" s="29"/>
      <c r="BY11" s="31"/>
      <c r="BZ11" s="130"/>
      <c r="CA11" s="73"/>
      <c r="CB11" s="124"/>
      <c r="CC11" s="130"/>
      <c r="CD11" s="73"/>
      <c r="CE11" s="124"/>
      <c r="CF11" s="30"/>
      <c r="CG11" s="29"/>
      <c r="CH11" s="31"/>
    </row>
    <row r="12" spans="1:86" ht="14.25" customHeight="1" x14ac:dyDescent="0.25">
      <c r="C12" s="420"/>
      <c r="D12" s="423"/>
      <c r="E12" s="127" t="s">
        <v>429</v>
      </c>
      <c r="F12" s="126"/>
      <c r="G12" s="70"/>
      <c r="H12" s="127"/>
      <c r="I12" s="126"/>
      <c r="J12" s="70"/>
      <c r="K12" s="127"/>
      <c r="L12" s="260"/>
      <c r="M12" s="38"/>
      <c r="N12" s="42"/>
      <c r="O12" s="38"/>
      <c r="P12" s="38"/>
      <c r="Q12" s="42"/>
      <c r="R12" s="38"/>
      <c r="S12" s="38"/>
      <c r="T12" s="287"/>
      <c r="U12" s="185"/>
      <c r="V12" s="38"/>
      <c r="W12" s="63"/>
      <c r="X12" s="295"/>
      <c r="Y12" s="34"/>
      <c r="Z12" s="63"/>
      <c r="AA12" s="184"/>
      <c r="AB12" s="34"/>
      <c r="AC12" s="63"/>
      <c r="AD12" s="184"/>
      <c r="AE12" s="34"/>
      <c r="AF12" s="63"/>
      <c r="AG12" s="38"/>
      <c r="AH12" s="38"/>
      <c r="AI12" s="63"/>
      <c r="AJ12" s="30"/>
      <c r="AK12" s="29"/>
      <c r="AL12" s="31"/>
      <c r="AM12" s="185"/>
      <c r="AN12" s="38"/>
      <c r="AO12" s="63"/>
      <c r="AP12" s="185"/>
      <c r="AQ12" s="38"/>
      <c r="AR12" s="63"/>
      <c r="AS12" s="76"/>
      <c r="AT12" s="38"/>
      <c r="AU12" s="63"/>
      <c r="AV12" s="30"/>
      <c r="AW12" s="29"/>
      <c r="AX12" s="31"/>
      <c r="AY12" s="30"/>
      <c r="AZ12" s="29"/>
      <c r="BA12" s="31"/>
      <c r="BB12" s="184"/>
      <c r="BC12" s="34"/>
      <c r="BD12" s="63"/>
      <c r="BE12" s="179"/>
      <c r="BF12" s="143"/>
      <c r="BG12" s="159"/>
      <c r="BH12" s="179"/>
      <c r="BI12" s="143"/>
      <c r="BJ12" s="159"/>
      <c r="BK12" s="38"/>
      <c r="BL12" s="38"/>
      <c r="BM12" s="63"/>
      <c r="BN12" s="91"/>
      <c r="BO12" s="38"/>
      <c r="BP12" s="63"/>
      <c r="BQ12" s="91"/>
      <c r="BR12" s="38"/>
      <c r="BS12" s="63"/>
      <c r="BT12" s="191"/>
      <c r="BU12" s="46"/>
      <c r="BV12" s="61"/>
      <c r="BW12" s="30"/>
      <c r="BX12" s="29"/>
      <c r="BY12" s="31"/>
      <c r="BZ12" s="158"/>
      <c r="CA12" s="74"/>
      <c r="CB12" s="159"/>
      <c r="CC12" s="158"/>
      <c r="CD12" s="74"/>
      <c r="CE12" s="159"/>
      <c r="CF12" s="30"/>
      <c r="CG12" s="29"/>
      <c r="CH12" s="31"/>
    </row>
    <row r="13" spans="1:86" ht="75" customHeight="1" x14ac:dyDescent="0.25">
      <c r="C13" s="420"/>
      <c r="D13" s="423"/>
      <c r="E13" s="132" t="s">
        <v>430</v>
      </c>
      <c r="F13" s="131"/>
      <c r="G13" s="144"/>
      <c r="H13" s="132"/>
      <c r="I13" s="131"/>
      <c r="J13" s="144"/>
      <c r="K13" s="132"/>
      <c r="L13" s="260"/>
      <c r="M13" s="38"/>
      <c r="N13" s="42"/>
      <c r="O13" s="38"/>
      <c r="P13" s="38"/>
      <c r="Q13" s="42"/>
      <c r="R13" s="38"/>
      <c r="S13" s="38"/>
      <c r="T13" s="287"/>
      <c r="U13" s="185"/>
      <c r="V13" s="38"/>
      <c r="W13" s="63"/>
      <c r="X13" s="295"/>
      <c r="Y13" s="34"/>
      <c r="Z13" s="61"/>
      <c r="AA13" s="184"/>
      <c r="AB13" s="34"/>
      <c r="AC13" s="61"/>
      <c r="AD13" s="184"/>
      <c r="AE13" s="34"/>
      <c r="AF13" s="63"/>
      <c r="AG13" s="38"/>
      <c r="AH13" s="38"/>
      <c r="AI13" s="63"/>
      <c r="AJ13" s="30"/>
      <c r="AK13" s="29"/>
      <c r="AL13" s="31"/>
      <c r="AM13" s="185"/>
      <c r="AN13" s="38"/>
      <c r="AO13" s="63"/>
      <c r="AP13" s="185"/>
      <c r="AQ13" s="38"/>
      <c r="AR13" s="63"/>
      <c r="AS13" s="76">
        <v>0.3</v>
      </c>
      <c r="AT13" s="38" t="s">
        <v>424</v>
      </c>
      <c r="AU13" s="63" t="s">
        <v>431</v>
      </c>
      <c r="AV13" s="30"/>
      <c r="AW13" s="29"/>
      <c r="AX13" s="31"/>
      <c r="AY13" s="30"/>
      <c r="AZ13" s="29"/>
      <c r="BA13" s="31"/>
      <c r="BB13" s="184"/>
      <c r="BC13" s="34"/>
      <c r="BD13" s="63"/>
      <c r="BE13" s="179"/>
      <c r="BF13" s="143"/>
      <c r="BG13" s="159"/>
      <c r="BH13" s="179"/>
      <c r="BI13" s="143"/>
      <c r="BJ13" s="159"/>
      <c r="BK13" s="38"/>
      <c r="BL13" s="38"/>
      <c r="BM13" s="63"/>
      <c r="BN13" s="91"/>
      <c r="BO13" s="38"/>
      <c r="BP13" s="63"/>
      <c r="BQ13" s="91"/>
      <c r="BR13" s="38"/>
      <c r="BS13" s="63"/>
      <c r="BT13" s="166"/>
      <c r="BU13" s="46"/>
      <c r="BV13" s="61"/>
      <c r="BW13" s="30"/>
      <c r="BX13" s="29"/>
      <c r="BY13" s="31"/>
      <c r="BZ13" s="158"/>
      <c r="CA13" s="74"/>
      <c r="CB13" s="159"/>
      <c r="CC13" s="158"/>
      <c r="CD13" s="74"/>
      <c r="CE13" s="159"/>
      <c r="CF13" s="30"/>
      <c r="CG13" s="29"/>
      <c r="CH13" s="31"/>
    </row>
    <row r="14" spans="1:86" ht="36" customHeight="1" x14ac:dyDescent="0.25">
      <c r="C14" s="420"/>
      <c r="D14" s="423"/>
      <c r="E14" s="132" t="s">
        <v>432</v>
      </c>
      <c r="F14" s="126"/>
      <c r="G14" s="70"/>
      <c r="H14" s="127"/>
      <c r="I14" s="126"/>
      <c r="J14" s="70"/>
      <c r="K14" s="127"/>
      <c r="L14" s="261">
        <v>5.0000000000000002E-5</v>
      </c>
      <c r="M14" s="219" t="s">
        <v>372</v>
      </c>
      <c r="N14" s="219" t="s">
        <v>373</v>
      </c>
      <c r="O14" s="38"/>
      <c r="P14" s="38"/>
      <c r="Q14" s="42"/>
      <c r="R14" s="38"/>
      <c r="S14" s="38"/>
      <c r="T14" s="287"/>
      <c r="U14" s="166"/>
      <c r="V14" s="54"/>
      <c r="W14" s="61"/>
      <c r="X14" s="257"/>
      <c r="Y14" s="34"/>
      <c r="Z14" s="61"/>
      <c r="AA14" s="166"/>
      <c r="AB14" s="34"/>
      <c r="AC14" s="61"/>
      <c r="AD14" s="166"/>
      <c r="AE14" s="54"/>
      <c r="AF14" s="61"/>
      <c r="AG14" s="59"/>
      <c r="AH14" s="54"/>
      <c r="AI14" s="61"/>
      <c r="AJ14" s="30"/>
      <c r="AK14" s="29"/>
      <c r="AL14" s="31"/>
      <c r="AM14" s="166"/>
      <c r="AN14" s="54"/>
      <c r="AO14" s="61"/>
      <c r="AP14" s="166"/>
      <c r="AQ14" s="54"/>
      <c r="AR14" s="61"/>
      <c r="AS14" s="59"/>
      <c r="AT14" s="54"/>
      <c r="AU14" s="61"/>
      <c r="AV14" s="30"/>
      <c r="AW14" s="29"/>
      <c r="AX14" s="31"/>
      <c r="AY14" s="30"/>
      <c r="AZ14" s="29"/>
      <c r="BA14" s="31"/>
      <c r="BB14" s="166"/>
      <c r="BC14" s="54"/>
      <c r="BD14" s="61"/>
      <c r="BE14" s="130"/>
      <c r="BF14" s="68"/>
      <c r="BG14" s="124"/>
      <c r="BH14" s="130"/>
      <c r="BI14" s="68"/>
      <c r="BJ14" s="124"/>
      <c r="BK14" s="34"/>
      <c r="BL14" s="34"/>
      <c r="BM14" s="61"/>
      <c r="BN14" s="59"/>
      <c r="BO14" s="34"/>
      <c r="BP14" s="61"/>
      <c r="BQ14" s="59"/>
      <c r="BR14" s="34"/>
      <c r="BS14" s="61"/>
      <c r="BT14" s="166" t="s">
        <v>433</v>
      </c>
      <c r="BU14" s="46"/>
      <c r="BV14" s="61"/>
      <c r="BW14" s="30"/>
      <c r="BX14" s="29"/>
      <c r="BY14" s="31"/>
      <c r="BZ14" s="130"/>
      <c r="CA14" s="143"/>
      <c r="CB14" s="124"/>
      <c r="CC14" s="130"/>
      <c r="CD14" s="143"/>
      <c r="CE14" s="124"/>
      <c r="CF14" s="30"/>
      <c r="CG14" s="29"/>
      <c r="CH14" s="31"/>
    </row>
    <row r="15" spans="1:86" ht="14.25" customHeight="1" x14ac:dyDescent="0.25">
      <c r="C15" s="420"/>
      <c r="D15" s="423"/>
      <c r="E15" s="127" t="s">
        <v>434</v>
      </c>
      <c r="F15" s="126"/>
      <c r="G15" s="70"/>
      <c r="H15" s="127"/>
      <c r="I15" s="126"/>
      <c r="J15" s="70"/>
      <c r="K15" s="127"/>
      <c r="L15" s="261"/>
      <c r="M15" s="34"/>
      <c r="N15" s="40"/>
      <c r="O15" s="34" t="s">
        <v>435</v>
      </c>
      <c r="P15" s="34"/>
      <c r="Q15" s="40"/>
      <c r="R15" s="34"/>
      <c r="S15" s="34"/>
      <c r="T15" s="276"/>
      <c r="U15" s="166"/>
      <c r="V15" s="54"/>
      <c r="W15" s="61"/>
      <c r="X15" s="257"/>
      <c r="Y15" s="54"/>
      <c r="Z15" s="61"/>
      <c r="AA15" s="166"/>
      <c r="AB15" s="54"/>
      <c r="AC15" s="61"/>
      <c r="AD15" s="166"/>
      <c r="AE15" s="54"/>
      <c r="AF15" s="61"/>
      <c r="AG15" s="59"/>
      <c r="AH15" s="54"/>
      <c r="AI15" s="61"/>
      <c r="AJ15" s="30"/>
      <c r="AK15" s="29"/>
      <c r="AL15" s="31"/>
      <c r="AM15" s="166"/>
      <c r="AN15" s="54"/>
      <c r="AO15" s="61"/>
      <c r="AP15" s="166"/>
      <c r="AQ15" s="54"/>
      <c r="AR15" s="61"/>
      <c r="AS15" s="59"/>
      <c r="AT15" s="54"/>
      <c r="AU15" s="61"/>
      <c r="AV15" s="30"/>
      <c r="AW15" s="29"/>
      <c r="AX15" s="31"/>
      <c r="AY15" s="30"/>
      <c r="AZ15" s="29"/>
      <c r="BA15" s="31"/>
      <c r="BB15" s="166"/>
      <c r="BC15" s="54"/>
      <c r="BD15" s="61"/>
      <c r="BE15" s="130"/>
      <c r="BF15" s="68"/>
      <c r="BG15" s="124"/>
      <c r="BH15" s="130"/>
      <c r="BI15" s="68"/>
      <c r="BJ15" s="124"/>
      <c r="BK15" s="34"/>
      <c r="BL15" s="34"/>
      <c r="BM15" s="61"/>
      <c r="BN15" s="59"/>
      <c r="BO15" s="34"/>
      <c r="BP15" s="61"/>
      <c r="BQ15" s="59"/>
      <c r="BR15" s="34"/>
      <c r="BS15" s="61"/>
      <c r="BT15" s="166"/>
      <c r="BU15" s="34"/>
      <c r="BV15" s="61"/>
      <c r="BW15" s="30"/>
      <c r="BX15" s="29"/>
      <c r="BY15" s="31"/>
      <c r="BZ15" s="130"/>
      <c r="CA15" s="143"/>
      <c r="CB15" s="124"/>
      <c r="CC15" s="130"/>
      <c r="CD15" s="143"/>
      <c r="CE15" s="124"/>
      <c r="CF15" s="30"/>
      <c r="CG15" s="29"/>
      <c r="CH15" s="31"/>
    </row>
    <row r="16" spans="1:86" ht="14.25" customHeight="1" x14ac:dyDescent="0.25">
      <c r="C16" s="420"/>
      <c r="D16" s="423"/>
      <c r="E16" s="127" t="s">
        <v>436</v>
      </c>
      <c r="F16" s="126"/>
      <c r="G16" s="70"/>
      <c r="H16" s="127"/>
      <c r="I16" s="126"/>
      <c r="J16" s="70"/>
      <c r="K16" s="127"/>
      <c r="L16" s="258"/>
      <c r="M16" s="217"/>
      <c r="N16" s="218"/>
      <c r="O16" s="38"/>
      <c r="P16" s="38"/>
      <c r="Q16" s="42"/>
      <c r="R16" s="38"/>
      <c r="S16" s="38"/>
      <c r="T16" s="287"/>
      <c r="U16" s="145"/>
      <c r="V16" s="54"/>
      <c r="W16" s="61"/>
      <c r="X16" s="93"/>
      <c r="Y16" s="54"/>
      <c r="Z16" s="61"/>
      <c r="AA16" s="145"/>
      <c r="AB16" s="54"/>
      <c r="AC16" s="61"/>
      <c r="AD16" s="145"/>
      <c r="AE16" s="54"/>
      <c r="AF16" s="61"/>
      <c r="AG16" s="34"/>
      <c r="AH16" s="54"/>
      <c r="AI16" s="61"/>
      <c r="AJ16" s="30"/>
      <c r="AK16" s="29"/>
      <c r="AL16" s="31"/>
      <c r="AM16" s="145"/>
      <c r="AN16" s="54"/>
      <c r="AO16" s="61"/>
      <c r="AP16" s="145"/>
      <c r="AQ16" s="54"/>
      <c r="AR16" s="61"/>
      <c r="AS16" s="34"/>
      <c r="AT16" s="54"/>
      <c r="AU16" s="61"/>
      <c r="AV16" s="30"/>
      <c r="AW16" s="29"/>
      <c r="AX16" s="31"/>
      <c r="AY16" s="30"/>
      <c r="AZ16" s="29"/>
      <c r="BA16" s="31"/>
      <c r="BB16" s="145"/>
      <c r="BC16" s="54"/>
      <c r="BD16" s="61"/>
      <c r="BE16" s="123"/>
      <c r="BF16" s="68"/>
      <c r="BG16" s="124"/>
      <c r="BH16" s="123"/>
      <c r="BI16" s="68"/>
      <c r="BJ16" s="124"/>
      <c r="BK16" s="38"/>
      <c r="BL16" s="38"/>
      <c r="BM16" s="63"/>
      <c r="BN16" s="91"/>
      <c r="BO16" s="38"/>
      <c r="BP16" s="63"/>
      <c r="BQ16" s="91"/>
      <c r="BR16" s="38"/>
      <c r="BS16" s="63"/>
      <c r="BT16" s="167"/>
      <c r="BU16" s="38"/>
      <c r="BV16" s="63"/>
      <c r="BW16" s="30"/>
      <c r="BX16" s="29"/>
      <c r="BY16" s="31"/>
      <c r="BZ16" s="158"/>
      <c r="CA16" s="74"/>
      <c r="CB16" s="159"/>
      <c r="CC16" s="158"/>
      <c r="CD16" s="74"/>
      <c r="CE16" s="159"/>
      <c r="CF16" s="30"/>
      <c r="CG16" s="29"/>
      <c r="CH16" s="31"/>
    </row>
    <row r="17" spans="1:86" ht="28.5" customHeight="1" x14ac:dyDescent="0.25">
      <c r="C17" s="420"/>
      <c r="D17" s="423"/>
      <c r="E17" s="132" t="s">
        <v>437</v>
      </c>
      <c r="F17" s="131"/>
      <c r="G17" s="144"/>
      <c r="H17" s="132"/>
      <c r="I17" s="131"/>
      <c r="J17" s="144"/>
      <c r="K17" s="132"/>
      <c r="L17" s="260"/>
      <c r="M17" s="38"/>
      <c r="N17" s="42"/>
      <c r="O17" s="38"/>
      <c r="P17" s="38"/>
      <c r="Q17" s="42"/>
      <c r="R17" s="38"/>
      <c r="S17" s="38"/>
      <c r="T17" s="287"/>
      <c r="U17" s="166"/>
      <c r="V17" s="54"/>
      <c r="W17" s="61"/>
      <c r="X17" s="257"/>
      <c r="Y17" s="34"/>
      <c r="Z17" s="61"/>
      <c r="AA17" s="166"/>
      <c r="AB17" s="34"/>
      <c r="AC17" s="61"/>
      <c r="AD17" s="166"/>
      <c r="AE17" s="54"/>
      <c r="AF17" s="61"/>
      <c r="AG17" s="59"/>
      <c r="AH17" s="54"/>
      <c r="AI17" s="61"/>
      <c r="AJ17" s="30"/>
      <c r="AK17" s="29"/>
      <c r="AL17" s="31"/>
      <c r="AM17" s="166"/>
      <c r="AN17" s="54"/>
      <c r="AO17" s="61"/>
      <c r="AP17" s="166"/>
      <c r="AQ17" s="54"/>
      <c r="AR17" s="61"/>
      <c r="AS17" s="59"/>
      <c r="AT17" s="54"/>
      <c r="AU17" s="61"/>
      <c r="AV17" s="30"/>
      <c r="AW17" s="29"/>
      <c r="AX17" s="31"/>
      <c r="AY17" s="30"/>
      <c r="AZ17" s="29"/>
      <c r="BA17" s="31"/>
      <c r="BB17" s="166"/>
      <c r="BC17" s="54"/>
      <c r="BD17" s="61"/>
      <c r="BE17" s="130"/>
      <c r="BF17" s="68"/>
      <c r="BG17" s="124"/>
      <c r="BH17" s="130"/>
      <c r="BI17" s="68"/>
      <c r="BJ17" s="124"/>
      <c r="BK17" s="38"/>
      <c r="BL17" s="38"/>
      <c r="BM17" s="63"/>
      <c r="BN17" s="91"/>
      <c r="BO17" s="38"/>
      <c r="BP17" s="63"/>
      <c r="BQ17" s="91"/>
      <c r="BR17" s="38"/>
      <c r="BS17" s="63"/>
      <c r="BT17" s="167"/>
      <c r="BU17" s="38"/>
      <c r="BV17" s="63"/>
      <c r="BW17" s="30"/>
      <c r="BX17" s="29"/>
      <c r="BY17" s="31"/>
      <c r="BZ17" s="158"/>
      <c r="CA17" s="74"/>
      <c r="CB17" s="159"/>
      <c r="CC17" s="158"/>
      <c r="CD17" s="74"/>
      <c r="CE17" s="159"/>
      <c r="CF17" s="30"/>
      <c r="CG17" s="29"/>
      <c r="CH17" s="31"/>
    </row>
    <row r="18" spans="1:86" s="10" customFormat="1" ht="85.5" customHeight="1" x14ac:dyDescent="0.25">
      <c r="A18"/>
      <c r="B18"/>
      <c r="C18" s="420" t="s">
        <v>438</v>
      </c>
      <c r="D18" s="422" t="s">
        <v>369</v>
      </c>
      <c r="E18" s="197" t="s">
        <v>370</v>
      </c>
      <c r="F18" s="252">
        <v>5.5000000000000003E-4</v>
      </c>
      <c r="G18" s="253" t="s">
        <v>439</v>
      </c>
      <c r="H18" s="254">
        <v>180</v>
      </c>
      <c r="I18" s="252"/>
      <c r="J18" s="253"/>
      <c r="K18" s="254"/>
      <c r="L18" s="262">
        <v>1.7000000000000001E-4</v>
      </c>
      <c r="M18" s="52">
        <v>0.68</v>
      </c>
      <c r="N18" s="90" t="s">
        <v>373</v>
      </c>
      <c r="O18" s="58"/>
      <c r="P18" s="35"/>
      <c r="Q18" s="41"/>
      <c r="R18" s="58"/>
      <c r="S18" s="55"/>
      <c r="T18" s="275"/>
      <c r="U18" s="298">
        <v>5.3999999999999999E-2</v>
      </c>
      <c r="V18" s="35">
        <v>0.63</v>
      </c>
      <c r="W18" s="62" t="s">
        <v>440</v>
      </c>
      <c r="X18" s="262"/>
      <c r="Y18" s="57"/>
      <c r="Z18" s="62"/>
      <c r="AA18" s="183"/>
      <c r="AB18" s="57"/>
      <c r="AC18" s="62"/>
      <c r="AD18" s="183">
        <v>0.4505061389684315</v>
      </c>
      <c r="AE18" s="52" t="s">
        <v>441</v>
      </c>
      <c r="AF18" s="62" t="s">
        <v>373</v>
      </c>
      <c r="AG18" s="60"/>
      <c r="AH18" s="57"/>
      <c r="AI18" s="62"/>
      <c r="AJ18" s="37"/>
      <c r="AK18" s="36"/>
      <c r="AL18" s="150"/>
      <c r="AM18" s="183"/>
      <c r="AN18" s="57"/>
      <c r="AO18" s="62"/>
      <c r="AP18" s="183"/>
      <c r="AQ18" s="57"/>
      <c r="AR18" s="62"/>
      <c r="AS18" s="183"/>
      <c r="AT18" s="57"/>
      <c r="AU18" s="62"/>
      <c r="AV18" s="37"/>
      <c r="AW18" s="36"/>
      <c r="AX18" s="150"/>
      <c r="AY18" s="37"/>
      <c r="AZ18" s="36"/>
      <c r="BA18" s="150"/>
      <c r="BB18" s="183"/>
      <c r="BC18" s="52" t="s">
        <v>442</v>
      </c>
      <c r="BD18" s="62" t="s">
        <v>443</v>
      </c>
      <c r="BE18" s="160"/>
      <c r="BF18" s="69"/>
      <c r="BG18" s="155"/>
      <c r="BH18" s="160"/>
      <c r="BI18" s="69"/>
      <c r="BJ18" s="155"/>
      <c r="BK18" s="52"/>
      <c r="BL18" s="52"/>
      <c r="BM18" s="168"/>
      <c r="BN18" s="225">
        <v>1.2700000000000001E-3</v>
      </c>
      <c r="BO18" s="52" t="s">
        <v>444</v>
      </c>
      <c r="BP18" s="168" t="s">
        <v>373</v>
      </c>
      <c r="BQ18" s="97"/>
      <c r="BR18" s="52"/>
      <c r="BS18" s="168"/>
      <c r="BT18" s="183"/>
      <c r="BU18" s="52"/>
      <c r="BV18" s="168"/>
      <c r="BW18" s="37"/>
      <c r="BX18" s="36"/>
      <c r="BY18" s="150"/>
      <c r="BZ18" s="165"/>
      <c r="CA18" s="141" t="s">
        <v>445</v>
      </c>
      <c r="CB18" s="161"/>
      <c r="CC18" s="160"/>
      <c r="CD18" s="57" t="s">
        <v>446</v>
      </c>
      <c r="CE18" s="161"/>
      <c r="CF18" s="37"/>
      <c r="CG18" s="36"/>
      <c r="CH18" s="150"/>
    </row>
    <row r="19" spans="1:86" ht="48.75" customHeight="1" x14ac:dyDescent="0.25">
      <c r="C19" s="420"/>
      <c r="D19" s="422"/>
      <c r="E19" s="127" t="s">
        <v>380</v>
      </c>
      <c r="F19" s="265"/>
      <c r="G19" s="29"/>
      <c r="H19" s="266"/>
      <c r="I19" s="265"/>
      <c r="J19" s="29"/>
      <c r="K19" s="266"/>
      <c r="L19" s="257">
        <v>2.2000000000000001E-4</v>
      </c>
      <c r="M19" s="34">
        <v>13.7</v>
      </c>
      <c r="N19" s="40">
        <v>135</v>
      </c>
      <c r="O19" s="59" t="s">
        <v>447</v>
      </c>
      <c r="P19" s="34">
        <v>7</v>
      </c>
      <c r="Q19" s="40" t="s">
        <v>373</v>
      </c>
      <c r="R19" s="59"/>
      <c r="S19" s="54"/>
      <c r="T19" s="276"/>
      <c r="U19" s="166">
        <v>1E-4</v>
      </c>
      <c r="V19" s="34">
        <v>25</v>
      </c>
      <c r="W19" s="61">
        <v>730</v>
      </c>
      <c r="X19" s="257"/>
      <c r="Y19" s="34"/>
      <c r="Z19" s="61"/>
      <c r="AA19" s="166"/>
      <c r="AB19" s="34"/>
      <c r="AC19" s="61"/>
      <c r="AD19" s="166">
        <v>7.1830371368169447E-4</v>
      </c>
      <c r="AE19" s="86" t="s">
        <v>448</v>
      </c>
      <c r="AF19" s="61" t="s">
        <v>373</v>
      </c>
      <c r="AG19" s="59"/>
      <c r="AH19" s="34">
        <v>32.799999999999997</v>
      </c>
      <c r="AI19" s="61" t="s">
        <v>449</v>
      </c>
      <c r="AJ19" s="30"/>
      <c r="AK19" s="29"/>
      <c r="AL19" s="31"/>
      <c r="AM19" s="166"/>
      <c r="AN19" s="34"/>
      <c r="AO19" s="61"/>
      <c r="AP19" s="166"/>
      <c r="AQ19" s="34"/>
      <c r="AR19" s="61"/>
      <c r="AS19" s="166"/>
      <c r="AT19" s="34"/>
      <c r="AU19" s="61"/>
      <c r="AV19" s="30"/>
      <c r="AW19" s="29"/>
      <c r="AX19" s="31"/>
      <c r="AY19" s="30"/>
      <c r="AZ19" s="29"/>
      <c r="BA19" s="31"/>
      <c r="BB19" s="166"/>
      <c r="BC19" s="54"/>
      <c r="BD19" s="61"/>
      <c r="BE19" s="130"/>
      <c r="BF19" s="143"/>
      <c r="BG19" s="124"/>
      <c r="BH19" s="130"/>
      <c r="BI19" s="143"/>
      <c r="BJ19" s="124"/>
      <c r="BK19" s="59">
        <v>2.0000000000000001E-4</v>
      </c>
      <c r="BL19" s="34" t="s">
        <v>376</v>
      </c>
      <c r="BM19" s="61" t="s">
        <v>450</v>
      </c>
      <c r="BN19" s="51"/>
      <c r="BO19" s="93"/>
      <c r="BP19" s="61"/>
      <c r="BQ19" s="228"/>
      <c r="BR19" s="34"/>
      <c r="BS19" s="61"/>
      <c r="BT19" s="166"/>
      <c r="BU19" s="34"/>
      <c r="BV19" s="61"/>
      <c r="BW19" s="30"/>
      <c r="BX19" s="29"/>
      <c r="BY19" s="31"/>
      <c r="BZ19" s="130"/>
      <c r="CA19" s="108"/>
      <c r="CB19" s="124"/>
      <c r="CC19" s="130"/>
      <c r="CD19" s="34"/>
      <c r="CE19" s="124"/>
      <c r="CF19" s="30"/>
      <c r="CG19" s="29"/>
      <c r="CH19" s="31"/>
    </row>
    <row r="20" spans="1:86" ht="51" customHeight="1" x14ac:dyDescent="0.25">
      <c r="C20" s="420"/>
      <c r="D20" s="422"/>
      <c r="E20" s="127" t="s">
        <v>394</v>
      </c>
      <c r="F20" s="133"/>
      <c r="G20" s="75"/>
      <c r="H20" s="134"/>
      <c r="I20" s="133"/>
      <c r="J20" s="75"/>
      <c r="K20" s="134"/>
      <c r="L20" s="257"/>
      <c r="M20" s="34"/>
      <c r="N20" s="40"/>
      <c r="O20" s="34"/>
      <c r="P20" s="34"/>
      <c r="Q20" s="40"/>
      <c r="R20" s="59">
        <v>2.3E-5</v>
      </c>
      <c r="S20" s="54" t="s">
        <v>385</v>
      </c>
      <c r="T20" s="276" t="s">
        <v>451</v>
      </c>
      <c r="U20" s="166"/>
      <c r="V20" s="34"/>
      <c r="W20" s="61"/>
      <c r="X20" s="93"/>
      <c r="Y20" s="34"/>
      <c r="Z20" s="61"/>
      <c r="AA20" s="145"/>
      <c r="AB20" s="34"/>
      <c r="AC20" s="61"/>
      <c r="AD20" s="166"/>
      <c r="AE20" s="34"/>
      <c r="AF20" s="61"/>
      <c r="AG20" s="123"/>
      <c r="AH20" s="143"/>
      <c r="AI20" s="124"/>
      <c r="AJ20" s="30"/>
      <c r="AK20" s="29"/>
      <c r="AL20" s="31"/>
      <c r="AM20" s="145"/>
      <c r="AN20" s="34"/>
      <c r="AO20" s="61"/>
      <c r="AP20" s="145"/>
      <c r="AQ20" s="34"/>
      <c r="AR20" s="61"/>
      <c r="AS20" s="145"/>
      <c r="AT20" s="34"/>
      <c r="AU20" s="61"/>
      <c r="AV20" s="30"/>
      <c r="AW20" s="29"/>
      <c r="AX20" s="31"/>
      <c r="AY20" s="30"/>
      <c r="AZ20" s="29"/>
      <c r="BA20" s="31"/>
      <c r="BB20" s="145"/>
      <c r="BC20" s="54"/>
      <c r="BD20" s="61"/>
      <c r="BE20" s="123"/>
      <c r="BF20" s="143"/>
      <c r="BG20" s="124"/>
      <c r="BH20" s="123"/>
      <c r="BI20" s="143"/>
      <c r="BJ20" s="124"/>
      <c r="BK20" s="34"/>
      <c r="BL20" s="34"/>
      <c r="BM20" s="61"/>
      <c r="BN20" s="29"/>
      <c r="BO20" s="93"/>
      <c r="BP20" s="61"/>
      <c r="BQ20" s="59"/>
      <c r="BR20" s="34"/>
      <c r="BS20" s="61"/>
      <c r="BT20" s="166"/>
      <c r="BU20" s="34"/>
      <c r="BV20" s="61"/>
      <c r="BW20" s="30"/>
      <c r="BX20" s="29"/>
      <c r="BY20" s="31"/>
      <c r="BZ20" s="130"/>
      <c r="CA20" s="108"/>
      <c r="CB20" s="124"/>
      <c r="CC20" s="130"/>
      <c r="CD20" s="34"/>
      <c r="CE20" s="124"/>
      <c r="CF20" s="30"/>
      <c r="CG20" s="29"/>
      <c r="CH20" s="31"/>
    </row>
    <row r="21" spans="1:86" s="10" customFormat="1" ht="34.9" customHeight="1" x14ac:dyDescent="0.25">
      <c r="A21"/>
      <c r="B21"/>
      <c r="C21" s="420"/>
      <c r="D21" s="422"/>
      <c r="E21" s="129" t="s">
        <v>405</v>
      </c>
      <c r="F21" s="128"/>
      <c r="G21" s="71"/>
      <c r="H21" s="129"/>
      <c r="I21" s="128"/>
      <c r="J21" s="71"/>
      <c r="K21" s="129"/>
      <c r="L21" s="262"/>
      <c r="M21" s="52"/>
      <c r="N21" s="90"/>
      <c r="O21" s="58">
        <v>1.9999999999999999E-6</v>
      </c>
      <c r="P21" s="35">
        <v>3000</v>
      </c>
      <c r="Q21" s="41">
        <v>365</v>
      </c>
      <c r="R21" s="60"/>
      <c r="S21" s="57"/>
      <c r="T21" s="288"/>
      <c r="U21" s="183">
        <v>1.0000000000000001E-5</v>
      </c>
      <c r="V21" s="52">
        <v>19440</v>
      </c>
      <c r="W21" s="62">
        <v>90</v>
      </c>
      <c r="X21" s="296"/>
      <c r="Y21" s="57"/>
      <c r="Z21" s="62"/>
      <c r="AA21" s="147"/>
      <c r="AB21" s="57"/>
      <c r="AC21" s="62"/>
      <c r="AD21" s="183"/>
      <c r="AE21" s="52"/>
      <c r="AF21" s="62"/>
      <c r="AG21" s="154"/>
      <c r="AH21" s="69"/>
      <c r="AI21" s="155"/>
      <c r="AJ21" s="37"/>
      <c r="AK21" s="36"/>
      <c r="AL21" s="150"/>
      <c r="AM21" s="147"/>
      <c r="AN21" s="57"/>
      <c r="AO21" s="62"/>
      <c r="AP21" s="147"/>
      <c r="AQ21" s="57"/>
      <c r="AR21" s="62"/>
      <c r="AS21" s="147"/>
      <c r="AT21" s="57"/>
      <c r="AU21" s="62"/>
      <c r="AV21" s="37"/>
      <c r="AW21" s="36"/>
      <c r="AX21" s="150"/>
      <c r="AY21" s="37"/>
      <c r="AZ21" s="36"/>
      <c r="BA21" s="150"/>
      <c r="BB21" s="147"/>
      <c r="BC21" s="52"/>
      <c r="BD21" s="62"/>
      <c r="BE21" s="154"/>
      <c r="BF21" s="80"/>
      <c r="BG21" s="155"/>
      <c r="BH21" s="154"/>
      <c r="BI21" s="80"/>
      <c r="BJ21" s="155"/>
      <c r="BK21" s="224"/>
      <c r="BL21" s="52"/>
      <c r="BM21" s="168"/>
      <c r="BN21" s="226"/>
      <c r="BO21" s="52"/>
      <c r="BP21" s="168"/>
      <c r="BQ21" s="60"/>
      <c r="BR21" s="52"/>
      <c r="BS21" s="168"/>
      <c r="BT21" s="183"/>
      <c r="BU21" s="52"/>
      <c r="BV21" s="168"/>
      <c r="BW21" s="37"/>
      <c r="BX21" s="36"/>
      <c r="BY21" s="150"/>
      <c r="BZ21" s="160"/>
      <c r="CA21" s="107"/>
      <c r="CB21" s="161"/>
      <c r="CC21" s="160"/>
      <c r="CD21" s="57" t="s">
        <v>452</v>
      </c>
      <c r="CE21" s="161"/>
      <c r="CF21" s="37"/>
      <c r="CG21" s="36"/>
      <c r="CH21" s="150"/>
    </row>
    <row r="22" spans="1:86" ht="28.5" customHeight="1" x14ac:dyDescent="0.25">
      <c r="C22" s="420"/>
      <c r="D22" s="423" t="s">
        <v>421</v>
      </c>
      <c r="E22" s="132" t="s">
        <v>453</v>
      </c>
      <c r="F22" s="130"/>
      <c r="G22" s="143"/>
      <c r="H22" s="124"/>
      <c r="I22" s="130"/>
      <c r="J22" s="143"/>
      <c r="K22" s="124"/>
      <c r="L22" s="263"/>
      <c r="M22" s="74"/>
      <c r="N22" s="159"/>
      <c r="O22" s="174"/>
      <c r="P22" s="74"/>
      <c r="Q22" s="159"/>
      <c r="R22" s="174"/>
      <c r="S22" s="74"/>
      <c r="T22" s="289"/>
      <c r="U22" s="185"/>
      <c r="V22" s="38"/>
      <c r="W22" s="63"/>
      <c r="X22" s="297"/>
      <c r="Y22" s="38"/>
      <c r="Z22" s="63"/>
      <c r="AA22" s="185"/>
      <c r="AB22" s="38"/>
      <c r="AC22" s="63"/>
      <c r="AD22" s="185"/>
      <c r="AE22" s="34"/>
      <c r="AF22" s="63"/>
      <c r="AG22" s="174"/>
      <c r="AH22" s="74"/>
      <c r="AI22" s="159"/>
      <c r="AJ22" s="30"/>
      <c r="AK22" s="29"/>
      <c r="AL22" s="31"/>
      <c r="AM22" s="185"/>
      <c r="AN22" s="38"/>
      <c r="AO22" s="63"/>
      <c r="AP22" s="185"/>
      <c r="AQ22" s="38"/>
      <c r="AR22" s="63"/>
      <c r="AS22" s="185"/>
      <c r="AT22" s="38"/>
      <c r="AU22" s="63"/>
      <c r="AV22" s="30"/>
      <c r="AW22" s="29"/>
      <c r="AX22" s="31"/>
      <c r="AY22" s="30"/>
      <c r="AZ22" s="29"/>
      <c r="BA22" s="31"/>
      <c r="BB22" s="185"/>
      <c r="BC22" s="34"/>
      <c r="BD22" s="61"/>
      <c r="BE22" s="174"/>
      <c r="BF22" s="143"/>
      <c r="BG22" s="159"/>
      <c r="BH22" s="174"/>
      <c r="BI22" s="143"/>
      <c r="BJ22" s="159"/>
      <c r="BK22" s="38"/>
      <c r="BL22" s="38"/>
      <c r="BM22" s="63"/>
      <c r="BN22" s="91"/>
      <c r="BO22" s="38"/>
      <c r="BP22" s="63"/>
      <c r="BQ22" s="91"/>
      <c r="BR22" s="38"/>
      <c r="BS22" s="63"/>
      <c r="BT22" s="167"/>
      <c r="BU22" s="38"/>
      <c r="BV22" s="63"/>
      <c r="BW22" s="30"/>
      <c r="BX22" s="29"/>
      <c r="BY22" s="31"/>
      <c r="BZ22" s="158"/>
      <c r="CA22" s="74"/>
      <c r="CB22" s="159"/>
      <c r="CC22" s="158"/>
      <c r="CD22" s="74"/>
      <c r="CE22" s="159"/>
      <c r="CF22" s="30"/>
      <c r="CG22" s="29"/>
      <c r="CH22" s="31"/>
    </row>
    <row r="23" spans="1:86" ht="63" customHeight="1" x14ac:dyDescent="0.25">
      <c r="C23" s="420"/>
      <c r="D23" s="423"/>
      <c r="E23" s="127" t="s">
        <v>428</v>
      </c>
      <c r="F23" s="126"/>
      <c r="G23" s="70"/>
      <c r="H23" s="127"/>
      <c r="I23" s="126"/>
      <c r="J23" s="70"/>
      <c r="K23" s="127"/>
      <c r="L23" s="263"/>
      <c r="M23" s="74"/>
      <c r="N23" s="159"/>
      <c r="O23" s="174"/>
      <c r="P23" s="74"/>
      <c r="Q23" s="159"/>
      <c r="R23" s="174"/>
      <c r="S23" s="74"/>
      <c r="T23" s="289"/>
      <c r="U23" s="185"/>
      <c r="V23" s="38"/>
      <c r="W23" s="63"/>
      <c r="X23" s="297"/>
      <c r="Y23" s="38"/>
      <c r="Z23" s="63"/>
      <c r="AA23" s="185"/>
      <c r="AB23" s="38"/>
      <c r="AC23" s="63"/>
      <c r="AD23" s="185"/>
      <c r="AE23" s="34"/>
      <c r="AF23" s="63"/>
      <c r="AG23" s="174"/>
      <c r="AH23" s="74"/>
      <c r="AI23" s="159"/>
      <c r="AJ23" s="30"/>
      <c r="AK23" s="29"/>
      <c r="AL23" s="31"/>
      <c r="AM23" s="185"/>
      <c r="AN23" s="38"/>
      <c r="AO23" s="63"/>
      <c r="AP23" s="185"/>
      <c r="AQ23" s="38"/>
      <c r="AR23" s="63"/>
      <c r="AS23" s="185"/>
      <c r="AT23" s="38"/>
      <c r="AU23" s="63"/>
      <c r="AV23" s="30"/>
      <c r="AW23" s="29"/>
      <c r="AX23" s="31"/>
      <c r="AY23" s="30"/>
      <c r="AZ23" s="29"/>
      <c r="BA23" s="31"/>
      <c r="BB23" s="185"/>
      <c r="BC23" s="34" t="s">
        <v>454</v>
      </c>
      <c r="BD23" s="63"/>
      <c r="BE23" s="174"/>
      <c r="BF23" s="143"/>
      <c r="BG23" s="159"/>
      <c r="BH23" s="174"/>
      <c r="BI23" s="143"/>
      <c r="BJ23" s="159"/>
      <c r="BK23" s="38"/>
      <c r="BL23" s="38"/>
      <c r="BM23" s="63"/>
      <c r="BN23" s="91"/>
      <c r="BO23" s="38"/>
      <c r="BP23" s="63"/>
      <c r="BQ23" s="91"/>
      <c r="BR23" s="38"/>
      <c r="BS23" s="63"/>
      <c r="BT23" s="167"/>
      <c r="BU23" s="38"/>
      <c r="BV23" s="63"/>
      <c r="BW23" s="30"/>
      <c r="BX23" s="29"/>
      <c r="BY23" s="31"/>
      <c r="BZ23" s="158"/>
      <c r="CA23" s="74"/>
      <c r="CB23" s="159"/>
      <c r="CC23" s="158"/>
      <c r="CD23" s="74"/>
      <c r="CE23" s="159"/>
      <c r="CF23" s="30"/>
      <c r="CG23" s="29"/>
      <c r="CH23" s="31"/>
    </row>
    <row r="24" spans="1:86" ht="14.25" customHeight="1" x14ac:dyDescent="0.25">
      <c r="C24" s="420"/>
      <c r="D24" s="423"/>
      <c r="E24" s="127" t="s">
        <v>429</v>
      </c>
      <c r="F24" s="126"/>
      <c r="G24" s="70"/>
      <c r="H24" s="127"/>
      <c r="I24" s="126"/>
      <c r="J24" s="70"/>
      <c r="K24" s="127"/>
      <c r="L24" s="263"/>
      <c r="M24" s="74"/>
      <c r="N24" s="159"/>
      <c r="O24" s="174"/>
      <c r="P24" s="74"/>
      <c r="Q24" s="159"/>
      <c r="R24" s="174"/>
      <c r="S24" s="74"/>
      <c r="T24" s="289"/>
      <c r="U24" s="185"/>
      <c r="V24" s="38"/>
      <c r="W24" s="63"/>
      <c r="X24" s="297"/>
      <c r="Y24" s="38"/>
      <c r="Z24" s="63"/>
      <c r="AA24" s="185"/>
      <c r="AB24" s="38"/>
      <c r="AC24" s="63"/>
      <c r="AD24" s="185"/>
      <c r="AE24" s="38"/>
      <c r="AF24" s="63"/>
      <c r="AG24" s="174"/>
      <c r="AH24" s="74"/>
      <c r="AI24" s="159"/>
      <c r="AJ24" s="30"/>
      <c r="AK24" s="29"/>
      <c r="AL24" s="31"/>
      <c r="AM24" s="185"/>
      <c r="AN24" s="38"/>
      <c r="AO24" s="63"/>
      <c r="AP24" s="185"/>
      <c r="AQ24" s="38"/>
      <c r="AR24" s="63"/>
      <c r="AS24" s="185"/>
      <c r="AT24" s="38"/>
      <c r="AU24" s="63"/>
      <c r="AV24" s="30"/>
      <c r="AW24" s="29"/>
      <c r="AX24" s="31"/>
      <c r="AY24" s="30"/>
      <c r="AZ24" s="29"/>
      <c r="BA24" s="31"/>
      <c r="BB24" s="185"/>
      <c r="BC24" s="38"/>
      <c r="BD24" s="63"/>
      <c r="BE24" s="174"/>
      <c r="BF24" s="74"/>
      <c r="BG24" s="159"/>
      <c r="BH24" s="174"/>
      <c r="BI24" s="74"/>
      <c r="BJ24" s="159"/>
      <c r="BK24" s="38"/>
      <c r="BL24" s="38"/>
      <c r="BM24" s="63"/>
      <c r="BN24" s="91"/>
      <c r="BO24" s="38"/>
      <c r="BP24" s="63"/>
      <c r="BQ24" s="91"/>
      <c r="BR24" s="38"/>
      <c r="BS24" s="63"/>
      <c r="BT24" s="167"/>
      <c r="BU24" s="38"/>
      <c r="BV24" s="63"/>
      <c r="BW24" s="30"/>
      <c r="BX24" s="29"/>
      <c r="BY24" s="31"/>
      <c r="BZ24" s="158"/>
      <c r="CA24" s="74"/>
      <c r="CB24" s="159"/>
      <c r="CC24" s="158"/>
      <c r="CD24" s="74"/>
      <c r="CE24" s="159"/>
      <c r="CF24" s="30"/>
      <c r="CG24" s="29"/>
      <c r="CH24" s="31"/>
    </row>
    <row r="25" spans="1:86" ht="28.5" customHeight="1" x14ac:dyDescent="0.25">
      <c r="C25" s="420"/>
      <c r="D25" s="423"/>
      <c r="E25" s="132" t="s">
        <v>430</v>
      </c>
      <c r="F25" s="131"/>
      <c r="G25" s="144"/>
      <c r="H25" s="132"/>
      <c r="I25" s="131"/>
      <c r="J25" s="144"/>
      <c r="K25" s="132"/>
      <c r="L25" s="263"/>
      <c r="M25" s="74"/>
      <c r="N25" s="159"/>
      <c r="O25" s="174"/>
      <c r="P25" s="74"/>
      <c r="Q25" s="159"/>
      <c r="R25" s="174"/>
      <c r="S25" s="74"/>
      <c r="T25" s="289"/>
      <c r="U25" s="185"/>
      <c r="V25" s="38"/>
      <c r="W25" s="63"/>
      <c r="X25" s="297"/>
      <c r="Y25" s="38"/>
      <c r="Z25" s="63"/>
      <c r="AA25" s="185"/>
      <c r="AB25" s="38"/>
      <c r="AC25" s="63"/>
      <c r="AD25" s="185"/>
      <c r="AE25" s="38"/>
      <c r="AF25" s="63"/>
      <c r="AG25" s="174"/>
      <c r="AH25" s="74"/>
      <c r="AI25" s="159"/>
      <c r="AJ25" s="30"/>
      <c r="AK25" s="29"/>
      <c r="AL25" s="31"/>
      <c r="AM25" s="185"/>
      <c r="AN25" s="38"/>
      <c r="AO25" s="63"/>
      <c r="AP25" s="185"/>
      <c r="AQ25" s="38"/>
      <c r="AR25" s="63"/>
      <c r="AS25" s="185"/>
      <c r="AT25" s="38"/>
      <c r="AU25" s="63"/>
      <c r="AV25" s="30"/>
      <c r="AW25" s="29"/>
      <c r="AX25" s="31"/>
      <c r="AY25" s="30"/>
      <c r="AZ25" s="29"/>
      <c r="BA25" s="31"/>
      <c r="BB25" s="185"/>
      <c r="BC25" s="38"/>
      <c r="BD25" s="63"/>
      <c r="BE25" s="174"/>
      <c r="BF25" s="74"/>
      <c r="BG25" s="159"/>
      <c r="BH25" s="174"/>
      <c r="BI25" s="74"/>
      <c r="BJ25" s="159"/>
      <c r="BK25" s="38"/>
      <c r="BL25" s="38"/>
      <c r="BM25" s="63"/>
      <c r="BN25" s="91"/>
      <c r="BO25" s="38"/>
      <c r="BP25" s="63"/>
      <c r="BQ25" s="91"/>
      <c r="BR25" s="38"/>
      <c r="BS25" s="63"/>
      <c r="BT25" s="167"/>
      <c r="BU25" s="38"/>
      <c r="BV25" s="63"/>
      <c r="BW25" s="30"/>
      <c r="BX25" s="29"/>
      <c r="BY25" s="31"/>
      <c r="BZ25" s="158"/>
      <c r="CA25" s="74"/>
      <c r="CB25" s="159"/>
      <c r="CC25" s="158"/>
      <c r="CD25" s="74"/>
      <c r="CE25" s="159"/>
      <c r="CF25" s="30"/>
      <c r="CG25" s="29"/>
      <c r="CH25" s="31"/>
    </row>
    <row r="26" spans="1:86" ht="97.15" customHeight="1" x14ac:dyDescent="0.25">
      <c r="C26" s="420"/>
      <c r="D26" s="423"/>
      <c r="E26" s="132" t="s">
        <v>432</v>
      </c>
      <c r="F26" s="126"/>
      <c r="G26" s="70"/>
      <c r="H26" s="127"/>
      <c r="I26" s="126"/>
      <c r="J26" s="70"/>
      <c r="K26" s="127"/>
      <c r="L26" s="263"/>
      <c r="M26" s="74"/>
      <c r="N26" s="159"/>
      <c r="O26" s="174"/>
      <c r="P26" s="74"/>
      <c r="Q26" s="159"/>
      <c r="R26" s="174"/>
      <c r="S26" s="74"/>
      <c r="T26" s="289"/>
      <c r="U26" s="166"/>
      <c r="V26" s="54"/>
      <c r="W26" s="61"/>
      <c r="X26" s="257"/>
      <c r="Y26" s="54"/>
      <c r="Z26" s="61"/>
      <c r="AA26" s="166"/>
      <c r="AB26" s="54"/>
      <c r="AC26" s="61"/>
      <c r="AD26" s="166"/>
      <c r="AE26" s="54"/>
      <c r="AF26" s="61"/>
      <c r="AG26" s="130"/>
      <c r="AH26" s="68"/>
      <c r="AI26" s="124"/>
      <c r="AJ26" s="30"/>
      <c r="AK26" s="29"/>
      <c r="AL26" s="31"/>
      <c r="AM26" s="166"/>
      <c r="AN26" s="54"/>
      <c r="AO26" s="61"/>
      <c r="AP26" s="166"/>
      <c r="AQ26" s="54"/>
      <c r="AR26" s="61"/>
      <c r="AS26" s="166"/>
      <c r="AT26" s="54"/>
      <c r="AU26" s="61"/>
      <c r="AV26" s="30"/>
      <c r="AW26" s="29"/>
      <c r="AX26" s="31"/>
      <c r="AY26" s="30"/>
      <c r="AZ26" s="29"/>
      <c r="BA26" s="31"/>
      <c r="BB26" s="166"/>
      <c r="BC26" s="54"/>
      <c r="BD26" s="61"/>
      <c r="BE26" s="59"/>
      <c r="BF26" s="400" t="s">
        <v>455</v>
      </c>
      <c r="BG26" s="61" t="s">
        <v>456</v>
      </c>
      <c r="BH26" s="130"/>
      <c r="BI26" s="68"/>
      <c r="BJ26" s="124"/>
      <c r="BK26" s="38"/>
      <c r="BL26" s="38"/>
      <c r="BM26" s="63"/>
      <c r="BN26" s="91"/>
      <c r="BO26" s="38"/>
      <c r="BP26" s="63"/>
      <c r="BQ26" s="91"/>
      <c r="BR26" s="38"/>
      <c r="BS26" s="63"/>
      <c r="BT26" s="167"/>
      <c r="BU26" s="38"/>
      <c r="BV26" s="63"/>
      <c r="BW26" s="30"/>
      <c r="BX26" s="29"/>
      <c r="BY26" s="31"/>
      <c r="BZ26" s="158"/>
      <c r="CA26" s="74"/>
      <c r="CB26" s="159"/>
      <c r="CC26" s="158"/>
      <c r="CD26" s="74"/>
      <c r="CE26" s="159"/>
      <c r="CF26" s="30"/>
      <c r="CG26" s="29"/>
      <c r="CH26" s="31"/>
    </row>
    <row r="27" spans="1:86" ht="52.5" customHeight="1" x14ac:dyDescent="0.25">
      <c r="C27" s="420"/>
      <c r="D27" s="423"/>
      <c r="E27" s="127" t="s">
        <v>434</v>
      </c>
      <c r="F27" s="126"/>
      <c r="G27" s="70"/>
      <c r="H27" s="127"/>
      <c r="I27" s="126"/>
      <c r="J27" s="70"/>
      <c r="K27" s="127"/>
      <c r="L27" s="263"/>
      <c r="M27" s="74"/>
      <c r="N27" s="159"/>
      <c r="O27" s="174"/>
      <c r="P27" s="74"/>
      <c r="Q27" s="159"/>
      <c r="R27" s="174"/>
      <c r="S27" s="74"/>
      <c r="T27" s="289"/>
      <c r="U27" s="166"/>
      <c r="V27" s="34"/>
      <c r="W27" s="61"/>
      <c r="X27" s="257"/>
      <c r="Y27" s="34"/>
      <c r="Z27" s="61"/>
      <c r="AA27" s="166"/>
      <c r="AB27" s="34"/>
      <c r="AC27" s="61"/>
      <c r="AD27" s="166"/>
      <c r="AE27" s="34"/>
      <c r="AF27" s="61"/>
      <c r="AG27" s="130"/>
      <c r="AH27" s="143"/>
      <c r="AI27" s="124"/>
      <c r="AJ27" s="30"/>
      <c r="AK27" s="29"/>
      <c r="AL27" s="31"/>
      <c r="AM27" s="166"/>
      <c r="AN27" s="34"/>
      <c r="AO27" s="61"/>
      <c r="AP27" s="166"/>
      <c r="AQ27" s="34"/>
      <c r="AR27" s="61"/>
      <c r="AS27" s="166"/>
      <c r="AT27" s="34"/>
      <c r="AU27" s="61"/>
      <c r="AV27" s="30"/>
      <c r="AW27" s="29"/>
      <c r="AX27" s="31"/>
      <c r="AY27" s="30"/>
      <c r="AZ27" s="29"/>
      <c r="BA27" s="31"/>
      <c r="BB27" s="166"/>
      <c r="BC27" s="34"/>
      <c r="BD27" s="61"/>
      <c r="BE27" s="59"/>
      <c r="BF27" s="34"/>
      <c r="BG27" s="61"/>
      <c r="BH27" s="130"/>
      <c r="BI27" s="143"/>
      <c r="BJ27" s="124"/>
      <c r="BK27" s="38"/>
      <c r="BL27" s="38"/>
      <c r="BM27" s="63"/>
      <c r="BN27" s="91"/>
      <c r="BO27" s="38"/>
      <c r="BP27" s="63"/>
      <c r="BQ27" s="91"/>
      <c r="BR27" s="38"/>
      <c r="BS27" s="63"/>
      <c r="BT27" s="167"/>
      <c r="BU27" s="38"/>
      <c r="BV27" s="63"/>
      <c r="BW27" s="30"/>
      <c r="BX27" s="29"/>
      <c r="BY27" s="31"/>
      <c r="BZ27" s="158"/>
      <c r="CA27" s="74"/>
      <c r="CB27" s="159"/>
      <c r="CC27" s="158"/>
      <c r="CD27" s="74"/>
      <c r="CE27" s="159"/>
      <c r="CF27" s="30"/>
      <c r="CG27" s="29"/>
      <c r="CH27" s="31"/>
    </row>
    <row r="28" spans="1:86" ht="14.25" customHeight="1" x14ac:dyDescent="0.25">
      <c r="C28" s="420"/>
      <c r="D28" s="423"/>
      <c r="E28" s="127" t="s">
        <v>436</v>
      </c>
      <c r="F28" s="126"/>
      <c r="G28" s="70"/>
      <c r="H28" s="127"/>
      <c r="I28" s="126"/>
      <c r="J28" s="70"/>
      <c r="K28" s="127"/>
      <c r="L28" s="263"/>
      <c r="M28" s="74"/>
      <c r="N28" s="159"/>
      <c r="O28" s="174"/>
      <c r="P28" s="74"/>
      <c r="Q28" s="159"/>
      <c r="R28" s="174"/>
      <c r="S28" s="74"/>
      <c r="T28" s="289"/>
      <c r="U28" s="145"/>
      <c r="V28" s="34"/>
      <c r="W28" s="61"/>
      <c r="X28" s="93"/>
      <c r="Y28" s="34"/>
      <c r="Z28" s="61"/>
      <c r="AA28" s="145"/>
      <c r="AB28" s="34"/>
      <c r="AC28" s="61"/>
      <c r="AD28" s="145"/>
      <c r="AE28" s="34"/>
      <c r="AF28" s="61"/>
      <c r="AG28" s="123"/>
      <c r="AH28" s="143"/>
      <c r="AI28" s="124"/>
      <c r="AJ28" s="30"/>
      <c r="AK28" s="29"/>
      <c r="AL28" s="31"/>
      <c r="AM28" s="145"/>
      <c r="AN28" s="34"/>
      <c r="AO28" s="61"/>
      <c r="AP28" s="145"/>
      <c r="AQ28" s="34"/>
      <c r="AR28" s="61"/>
      <c r="AS28" s="145"/>
      <c r="AT28" s="34"/>
      <c r="AU28" s="61"/>
      <c r="AV28" s="30"/>
      <c r="AW28" s="29"/>
      <c r="AX28" s="31"/>
      <c r="AY28" s="30"/>
      <c r="AZ28" s="29"/>
      <c r="BA28" s="31"/>
      <c r="BB28" s="145"/>
      <c r="BC28" s="34"/>
      <c r="BD28" s="61"/>
      <c r="BE28" s="34"/>
      <c r="BF28" s="34"/>
      <c r="BG28" s="61"/>
      <c r="BH28" s="123"/>
      <c r="BI28" s="143"/>
      <c r="BJ28" s="124"/>
      <c r="BK28" s="38"/>
      <c r="BL28" s="38"/>
      <c r="BM28" s="63"/>
      <c r="BN28" s="91"/>
      <c r="BO28" s="38"/>
      <c r="BP28" s="63"/>
      <c r="BQ28" s="91"/>
      <c r="BR28" s="38"/>
      <c r="BS28" s="63"/>
      <c r="BT28" s="167"/>
      <c r="BU28" s="38"/>
      <c r="BV28" s="63"/>
      <c r="BW28" s="30"/>
      <c r="BX28" s="29"/>
      <c r="BY28" s="31"/>
      <c r="BZ28" s="158"/>
      <c r="CA28" s="74"/>
      <c r="CB28" s="159"/>
      <c r="CC28" s="158"/>
      <c r="CD28" s="74"/>
      <c r="CE28" s="159"/>
      <c r="CF28" s="30"/>
      <c r="CG28" s="29"/>
      <c r="CH28" s="31"/>
    </row>
    <row r="29" spans="1:86" ht="49.9" customHeight="1" thickBot="1" x14ac:dyDescent="0.3">
      <c r="C29" s="427"/>
      <c r="D29" s="428"/>
      <c r="E29" s="194" t="s">
        <v>437</v>
      </c>
      <c r="F29" s="192"/>
      <c r="G29" s="193"/>
      <c r="H29" s="194"/>
      <c r="I29" s="192"/>
      <c r="J29" s="193"/>
      <c r="K29" s="194"/>
      <c r="L29" s="264"/>
      <c r="M29" s="163"/>
      <c r="N29" s="164"/>
      <c r="O29" s="175"/>
      <c r="P29" s="163"/>
      <c r="Q29" s="164"/>
      <c r="R29" s="175"/>
      <c r="S29" s="163"/>
      <c r="T29" s="290"/>
      <c r="U29" s="146"/>
      <c r="V29" s="65"/>
      <c r="W29" s="66"/>
      <c r="X29" s="268"/>
      <c r="Y29" s="65"/>
      <c r="Z29" s="66"/>
      <c r="AA29" s="146"/>
      <c r="AB29" s="65"/>
      <c r="AC29" s="66"/>
      <c r="AD29" s="146"/>
      <c r="AE29" s="65"/>
      <c r="AF29" s="66"/>
      <c r="AG29" s="180"/>
      <c r="AH29" s="181"/>
      <c r="AI29" s="182"/>
      <c r="AJ29" s="151"/>
      <c r="AK29" s="152"/>
      <c r="AL29" s="153"/>
      <c r="AM29" s="146"/>
      <c r="AN29" s="65"/>
      <c r="AO29" s="66"/>
      <c r="AP29" s="146"/>
      <c r="AQ29" s="65"/>
      <c r="AR29" s="66"/>
      <c r="AS29" s="146"/>
      <c r="AT29" s="65"/>
      <c r="AU29" s="66"/>
      <c r="AV29" s="151"/>
      <c r="AW29" s="152"/>
      <c r="AX29" s="153"/>
      <c r="AY29" s="151"/>
      <c r="AZ29" s="152"/>
      <c r="BA29" s="153"/>
      <c r="BB29" s="146"/>
      <c r="BC29" s="65"/>
      <c r="BD29" s="66"/>
      <c r="BE29" s="64"/>
      <c r="BF29" s="65"/>
      <c r="BG29" s="66"/>
      <c r="BH29" s="180"/>
      <c r="BI29" s="181"/>
      <c r="BJ29" s="182"/>
      <c r="BK29" s="171"/>
      <c r="BL29" s="171"/>
      <c r="BM29" s="172"/>
      <c r="BN29" s="227"/>
      <c r="BO29" s="171"/>
      <c r="BP29" s="172"/>
      <c r="BQ29" s="227"/>
      <c r="BR29" s="171"/>
      <c r="BS29" s="172"/>
      <c r="BT29" s="170"/>
      <c r="BU29" s="171"/>
      <c r="BV29" s="172"/>
      <c r="BW29" s="151"/>
      <c r="BX29" s="152"/>
      <c r="BY29" s="153"/>
      <c r="BZ29" s="162"/>
      <c r="CA29" s="163"/>
      <c r="CB29" s="164"/>
      <c r="CC29" s="162"/>
      <c r="CD29" s="163"/>
      <c r="CE29" s="164"/>
      <c r="CF29" s="151"/>
      <c r="CG29" s="152"/>
      <c r="CH29" s="153"/>
    </row>
    <row r="30" spans="1:86" ht="11.25" customHeight="1" x14ac:dyDescent="0.25"/>
    <row r="31" spans="1:86" ht="11.25" customHeight="1" x14ac:dyDescent="0.25"/>
    <row r="32" spans="1:86" ht="11.25" customHeight="1" x14ac:dyDescent="0.25">
      <c r="C32" s="4"/>
      <c r="D32" s="21"/>
      <c r="E32" s="4"/>
      <c r="F32" s="4"/>
      <c r="G32" s="4"/>
      <c r="H32" s="4"/>
      <c r="I32" s="4"/>
      <c r="J32" s="4"/>
      <c r="K32" s="4"/>
    </row>
    <row r="33" spans="3:19" ht="21" x14ac:dyDescent="0.35">
      <c r="C33" s="304"/>
      <c r="D33" s="304"/>
      <c r="E33" s="304"/>
      <c r="F33" s="103"/>
      <c r="G33" s="103"/>
      <c r="H33" s="104"/>
      <c r="I33" s="104"/>
    </row>
    <row r="34" spans="3:19" ht="41.65" customHeight="1" x14ac:dyDescent="0.25">
      <c r="C34" s="468" t="s">
        <v>368</v>
      </c>
      <c r="D34" s="426" t="s">
        <v>457</v>
      </c>
      <c r="E34" s="426" t="s">
        <v>458</v>
      </c>
      <c r="F34" s="426" t="s">
        <v>459</v>
      </c>
      <c r="G34" s="426"/>
      <c r="H34" s="466" t="s">
        <v>460</v>
      </c>
      <c r="O34" s="22"/>
    </row>
    <row r="35" spans="3:19" ht="30" customHeight="1" x14ac:dyDescent="0.25">
      <c r="C35" s="468"/>
      <c r="D35" s="426"/>
      <c r="E35" s="426"/>
      <c r="F35" s="305" t="s">
        <v>461</v>
      </c>
      <c r="G35" s="306" t="s">
        <v>462</v>
      </c>
      <c r="H35" s="467"/>
      <c r="O35" s="22"/>
    </row>
    <row r="36" spans="3:19" ht="45.75" customHeight="1" x14ac:dyDescent="0.25">
      <c r="C36" s="468"/>
      <c r="D36" s="109" t="s">
        <v>463</v>
      </c>
      <c r="E36" s="102" t="s">
        <v>383</v>
      </c>
      <c r="F36" s="105">
        <v>0.1</v>
      </c>
      <c r="G36" s="105">
        <v>1E-3</v>
      </c>
      <c r="H36" s="102" t="s">
        <v>440</v>
      </c>
      <c r="O36" s="22"/>
    </row>
    <row r="37" spans="3:19" ht="61.9" customHeight="1" x14ac:dyDescent="0.25">
      <c r="C37" s="468"/>
      <c r="D37" s="426" t="s">
        <v>457</v>
      </c>
      <c r="E37" s="426" t="s">
        <v>458</v>
      </c>
      <c r="F37" s="426" t="s">
        <v>464</v>
      </c>
      <c r="G37" s="426"/>
      <c r="H37" s="466" t="s">
        <v>460</v>
      </c>
      <c r="O37" s="22"/>
    </row>
    <row r="38" spans="3:19" ht="29.25" customHeight="1" x14ac:dyDescent="0.25">
      <c r="C38" s="468"/>
      <c r="D38" s="426"/>
      <c r="E38" s="426"/>
      <c r="F38" s="305" t="s">
        <v>461</v>
      </c>
      <c r="G38" s="306" t="s">
        <v>462</v>
      </c>
      <c r="H38" s="467"/>
      <c r="O38" s="22"/>
    </row>
    <row r="39" spans="3:19" ht="43.5" customHeight="1" x14ac:dyDescent="0.25">
      <c r="C39" s="468"/>
      <c r="D39" s="110" t="s">
        <v>465</v>
      </c>
      <c r="E39" s="106" t="s">
        <v>466</v>
      </c>
      <c r="F39" s="105">
        <v>1E-3</v>
      </c>
      <c r="G39" s="105">
        <v>1.0000000000000001E-5</v>
      </c>
      <c r="H39" s="102">
        <f>6*30</f>
        <v>180</v>
      </c>
      <c r="O39" s="22"/>
    </row>
    <row r="40" spans="3:19" ht="36" customHeight="1" x14ac:dyDescent="0.25">
      <c r="C40" s="468"/>
      <c r="D40" s="111" t="s">
        <v>467</v>
      </c>
      <c r="E40" s="102" t="s">
        <v>468</v>
      </c>
      <c r="F40" s="115">
        <v>1E-4</v>
      </c>
      <c r="G40" s="115">
        <v>1.0000000000000001E-5</v>
      </c>
      <c r="H40" s="102">
        <f>4*30</f>
        <v>120</v>
      </c>
      <c r="O40" s="22"/>
    </row>
    <row r="41" spans="3:19" ht="37.5" customHeight="1" x14ac:dyDescent="0.25">
      <c r="C41" s="468"/>
      <c r="D41" s="112" t="s">
        <v>469</v>
      </c>
      <c r="E41" s="102" t="s">
        <v>470</v>
      </c>
      <c r="F41" s="115">
        <v>1.0000000000000001E-5</v>
      </c>
      <c r="G41" s="115">
        <v>9.9999999999999995E-7</v>
      </c>
      <c r="H41" s="102">
        <f>4*30</f>
        <v>120</v>
      </c>
      <c r="M41" t="s">
        <v>435</v>
      </c>
      <c r="O41" s="22"/>
    </row>
    <row r="42" spans="3:19" ht="42.75" customHeight="1" x14ac:dyDescent="0.3">
      <c r="C42" s="101"/>
      <c r="D42" s="100" t="s">
        <v>435</v>
      </c>
      <c r="E42" s="99"/>
      <c r="F42" s="99"/>
      <c r="G42" s="101"/>
      <c r="H42" s="101"/>
      <c r="J42" s="121"/>
      <c r="K42" s="230"/>
      <c r="L42" s="231"/>
      <c r="M42" s="231"/>
      <c r="S42" s="22"/>
    </row>
    <row r="43" spans="3:19" ht="41.25" customHeight="1" x14ac:dyDescent="0.25">
      <c r="C43" s="465" t="s">
        <v>471</v>
      </c>
      <c r="D43" s="465" t="s">
        <v>457</v>
      </c>
      <c r="E43" s="465" t="s">
        <v>458</v>
      </c>
      <c r="F43" s="465" t="s">
        <v>459</v>
      </c>
      <c r="G43" s="465"/>
      <c r="H43" s="429" t="s">
        <v>460</v>
      </c>
      <c r="J43" s="274"/>
      <c r="K43" s="274"/>
      <c r="L43" s="122"/>
      <c r="M43" s="122"/>
      <c r="S43" s="22"/>
    </row>
    <row r="44" spans="3:19" ht="27.75" customHeight="1" x14ac:dyDescent="0.25">
      <c r="C44" s="465"/>
      <c r="D44" s="465"/>
      <c r="E44" s="465"/>
      <c r="F44" s="113" t="s">
        <v>461</v>
      </c>
      <c r="G44" s="114" t="s">
        <v>462</v>
      </c>
      <c r="H44" s="430"/>
      <c r="J44" s="274"/>
      <c r="K44" s="274"/>
      <c r="L44" s="122"/>
      <c r="M44" s="122"/>
      <c r="S44" s="22"/>
    </row>
    <row r="45" spans="3:19" ht="33.75" customHeight="1" x14ac:dyDescent="0.25">
      <c r="C45" s="465"/>
      <c r="D45" s="109" t="s">
        <v>463</v>
      </c>
      <c r="E45" s="102" t="s">
        <v>383</v>
      </c>
      <c r="F45" s="105">
        <v>0.1</v>
      </c>
      <c r="G45" s="105">
        <v>1E-3</v>
      </c>
      <c r="H45" s="102" t="s">
        <v>440</v>
      </c>
      <c r="J45" s="274"/>
      <c r="K45" s="274"/>
      <c r="L45" s="122"/>
      <c r="M45" s="122"/>
      <c r="P45" s="2"/>
      <c r="Q45" s="2"/>
      <c r="R45" s="2"/>
      <c r="S45" s="22"/>
    </row>
    <row r="46" spans="3:19" ht="59.65" customHeight="1" x14ac:dyDescent="0.25">
      <c r="C46" s="465"/>
      <c r="D46" s="465" t="s">
        <v>457</v>
      </c>
      <c r="E46" s="465" t="s">
        <v>458</v>
      </c>
      <c r="F46" s="465" t="s">
        <v>464</v>
      </c>
      <c r="G46" s="465"/>
      <c r="H46" s="429" t="s">
        <v>460</v>
      </c>
      <c r="J46" s="274"/>
      <c r="K46" s="274"/>
      <c r="L46" s="122"/>
      <c r="M46" s="122"/>
      <c r="S46" s="22"/>
    </row>
    <row r="47" spans="3:19" ht="24.75" customHeight="1" x14ac:dyDescent="0.25">
      <c r="C47" s="465"/>
      <c r="D47" s="465"/>
      <c r="E47" s="465"/>
      <c r="F47" s="113" t="s">
        <v>461</v>
      </c>
      <c r="G47" s="114" t="s">
        <v>462</v>
      </c>
      <c r="H47" s="430"/>
      <c r="J47" s="274"/>
      <c r="K47" s="274"/>
      <c r="L47" s="122"/>
      <c r="M47" s="122"/>
      <c r="S47" s="22"/>
    </row>
    <row r="48" spans="3:19" ht="32.25" customHeight="1" x14ac:dyDescent="0.25">
      <c r="C48" s="465"/>
      <c r="D48" s="110" t="s">
        <v>465</v>
      </c>
      <c r="E48" s="106" t="s">
        <v>466</v>
      </c>
      <c r="F48" s="105">
        <v>1E-3</v>
      </c>
      <c r="G48" s="105">
        <v>1E-4</v>
      </c>
      <c r="H48" s="102">
        <f>6*30</f>
        <v>180</v>
      </c>
      <c r="J48" t="s">
        <v>435</v>
      </c>
      <c r="S48" s="22"/>
    </row>
    <row r="49" spans="3:28" ht="34.5" customHeight="1" x14ac:dyDescent="0.25">
      <c r="C49" s="465"/>
      <c r="D49" s="111" t="s">
        <v>467</v>
      </c>
      <c r="E49" s="102" t="s">
        <v>468</v>
      </c>
      <c r="F49" s="115">
        <v>1E-4</v>
      </c>
      <c r="G49" s="115">
        <v>1.0000000000000001E-5</v>
      </c>
      <c r="H49" s="102">
        <f>4*30</f>
        <v>120</v>
      </c>
      <c r="S49" s="22"/>
    </row>
    <row r="50" spans="3:28" ht="32.65" customHeight="1" x14ac:dyDescent="0.25">
      <c r="C50" s="465"/>
      <c r="D50" s="112" t="s">
        <v>469</v>
      </c>
      <c r="E50" s="102" t="s">
        <v>470</v>
      </c>
      <c r="F50" s="115">
        <v>1.0000000000000001E-5</v>
      </c>
      <c r="G50" s="115">
        <v>9.9999999999999995E-7</v>
      </c>
      <c r="H50" s="102">
        <f>4*30</f>
        <v>120</v>
      </c>
      <c r="S50" s="22"/>
    </row>
    <row r="51" spans="3:28" x14ac:dyDescent="0.25">
      <c r="AB51" s="22"/>
    </row>
    <row r="52" spans="3:28" x14ac:dyDescent="0.25">
      <c r="AB52" s="22"/>
    </row>
  </sheetData>
  <mergeCells count="80">
    <mergeCell ref="H46:H47"/>
    <mergeCell ref="D37:D38"/>
    <mergeCell ref="I3:K3"/>
    <mergeCell ref="I4:K4"/>
    <mergeCell ref="C43:C50"/>
    <mergeCell ref="D43:D44"/>
    <mergeCell ref="E43:E44"/>
    <mergeCell ref="F43:G43"/>
    <mergeCell ref="D46:D47"/>
    <mergeCell ref="E46:E47"/>
    <mergeCell ref="F46:G46"/>
    <mergeCell ref="E37:E38"/>
    <mergeCell ref="F37:G37"/>
    <mergeCell ref="H37:H38"/>
    <mergeCell ref="H34:H35"/>
    <mergeCell ref="C34:C41"/>
    <mergeCell ref="BT4:BV4"/>
    <mergeCell ref="BB4:BD4"/>
    <mergeCell ref="AS4:AU4"/>
    <mergeCell ref="AD4:AF4"/>
    <mergeCell ref="AY4:BA4"/>
    <mergeCell ref="BE4:BG4"/>
    <mergeCell ref="AM4:AO4"/>
    <mergeCell ref="BQ4:BS4"/>
    <mergeCell ref="BK4:BM4"/>
    <mergeCell ref="BN4:BP4"/>
    <mergeCell ref="AP4:AR4"/>
    <mergeCell ref="AJ4:AL4"/>
    <mergeCell ref="BH4:BJ4"/>
    <mergeCell ref="AV4:AX4"/>
    <mergeCell ref="AS3:AU3"/>
    <mergeCell ref="BN3:BP3"/>
    <mergeCell ref="BB3:BD3"/>
    <mergeCell ref="BE3:BG3"/>
    <mergeCell ref="BK3:BM3"/>
    <mergeCell ref="AV3:AX3"/>
    <mergeCell ref="AY3:BA3"/>
    <mergeCell ref="BH3:BJ3"/>
    <mergeCell ref="AM3:AO3"/>
    <mergeCell ref="F34:G34"/>
    <mergeCell ref="AM10:AO10"/>
    <mergeCell ref="L4:N4"/>
    <mergeCell ref="X4:Z4"/>
    <mergeCell ref="AA4:AC4"/>
    <mergeCell ref="O4:Q4"/>
    <mergeCell ref="R4:T4"/>
    <mergeCell ref="U4:W4"/>
    <mergeCell ref="O3:Q3"/>
    <mergeCell ref="AA3:AC3"/>
    <mergeCell ref="AG4:AI4"/>
    <mergeCell ref="AG3:AI3"/>
    <mergeCell ref="AJ3:AL3"/>
    <mergeCell ref="R3:T3"/>
    <mergeCell ref="AD3:AF3"/>
    <mergeCell ref="H43:H44"/>
    <mergeCell ref="CF3:CH3"/>
    <mergeCell ref="CF4:CH4"/>
    <mergeCell ref="F3:H3"/>
    <mergeCell ref="F4:H4"/>
    <mergeCell ref="BW3:BY3"/>
    <mergeCell ref="BW4:BY4"/>
    <mergeCell ref="BZ3:CB3"/>
    <mergeCell ref="BZ4:CB4"/>
    <mergeCell ref="CC3:CE3"/>
    <mergeCell ref="CC4:CE4"/>
    <mergeCell ref="L3:N3"/>
    <mergeCell ref="U3:W3"/>
    <mergeCell ref="BQ3:BS3"/>
    <mergeCell ref="AP3:AR3"/>
    <mergeCell ref="BT3:BV3"/>
    <mergeCell ref="D34:D35"/>
    <mergeCell ref="E34:E35"/>
    <mergeCell ref="C18:C29"/>
    <mergeCell ref="D18:D21"/>
    <mergeCell ref="D22:D29"/>
    <mergeCell ref="C3:D5"/>
    <mergeCell ref="C6:C17"/>
    <mergeCell ref="D6:D9"/>
    <mergeCell ref="D10:D17"/>
    <mergeCell ref="X3:Z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27876-FB62-4BEC-A530-BA0D25E1E475}">
  <sheetPr>
    <tabColor theme="9" tint="0.59999389629810485"/>
  </sheetPr>
  <dimension ref="A1:O45"/>
  <sheetViews>
    <sheetView zoomScale="80" zoomScaleNormal="80" workbookViewId="0"/>
  </sheetViews>
  <sheetFormatPr defaultRowHeight="15" x14ac:dyDescent="0.25"/>
  <cols>
    <col min="2" max="2" width="10.140625" customWidth="1"/>
    <col min="5" max="5" width="28.7109375" customWidth="1"/>
    <col min="6" max="6" width="15" customWidth="1"/>
  </cols>
  <sheetData>
    <row r="1" spans="1:15" x14ac:dyDescent="0.25">
      <c r="A1" s="2" t="s">
        <v>335</v>
      </c>
      <c r="B1" s="2"/>
      <c r="J1" s="5" t="s">
        <v>656</v>
      </c>
    </row>
    <row r="2" spans="1:15" x14ac:dyDescent="0.25">
      <c r="A2" s="2" t="s">
        <v>986</v>
      </c>
      <c r="B2" s="2"/>
    </row>
    <row r="3" spans="1:15" x14ac:dyDescent="0.25">
      <c r="A3" s="2" t="s">
        <v>98</v>
      </c>
      <c r="B3" s="2"/>
    </row>
    <row r="4" spans="1:15" x14ac:dyDescent="0.25">
      <c r="A4" s="353" t="s">
        <v>653</v>
      </c>
      <c r="B4" s="353"/>
      <c r="C4" s="353"/>
      <c r="D4" s="353"/>
      <c r="E4" s="353"/>
      <c r="F4" s="353"/>
      <c r="J4" s="310" t="s">
        <v>835</v>
      </c>
      <c r="K4" s="310"/>
      <c r="L4" s="310"/>
      <c r="M4" s="310"/>
      <c r="N4" s="310"/>
      <c r="O4" s="310"/>
    </row>
    <row r="5" spans="1:15" x14ac:dyDescent="0.25">
      <c r="B5" t="s">
        <v>987</v>
      </c>
    </row>
    <row r="6" spans="1:15" x14ac:dyDescent="0.25">
      <c r="B6" t="s">
        <v>988</v>
      </c>
    </row>
    <row r="7" spans="1:15" x14ac:dyDescent="0.25">
      <c r="B7" t="s">
        <v>989</v>
      </c>
    </row>
    <row r="8" spans="1:15" x14ac:dyDescent="0.25">
      <c r="B8" t="s">
        <v>990</v>
      </c>
      <c r="C8">
        <v>200</v>
      </c>
      <c r="D8" t="s">
        <v>991</v>
      </c>
      <c r="E8" s="353">
        <f>C8*J8</f>
        <v>10526</v>
      </c>
      <c r="F8" t="s">
        <v>820</v>
      </c>
      <c r="J8">
        <v>52.63</v>
      </c>
      <c r="K8" t="s">
        <v>992</v>
      </c>
    </row>
    <row r="9" spans="1:15" x14ac:dyDescent="0.25">
      <c r="B9" t="s">
        <v>993</v>
      </c>
    </row>
    <row r="11" spans="1:15" x14ac:dyDescent="0.25">
      <c r="B11" t="s">
        <v>994</v>
      </c>
      <c r="F11" s="310">
        <v>35</v>
      </c>
      <c r="G11" t="s">
        <v>995</v>
      </c>
    </row>
    <row r="12" spans="1:15" x14ac:dyDescent="0.25">
      <c r="B12" t="s">
        <v>996</v>
      </c>
      <c r="G12" t="s">
        <v>404</v>
      </c>
      <c r="H12" t="s">
        <v>997</v>
      </c>
    </row>
    <row r="13" spans="1:15" x14ac:dyDescent="0.25">
      <c r="B13" t="s">
        <v>998</v>
      </c>
    </row>
    <row r="14" spans="1:15" x14ac:dyDescent="0.25">
      <c r="B14" t="s">
        <v>999</v>
      </c>
    </row>
    <row r="15" spans="1:15" x14ac:dyDescent="0.25">
      <c r="B15" t="s">
        <v>1000</v>
      </c>
    </row>
    <row r="16" spans="1:15" x14ac:dyDescent="0.25">
      <c r="B16" t="s">
        <v>1001</v>
      </c>
    </row>
    <row r="17" spans="3:9" ht="15.75" thickBot="1" x14ac:dyDescent="0.3">
      <c r="C17" s="5"/>
    </row>
    <row r="18" spans="3:9" x14ac:dyDescent="0.25">
      <c r="C18" s="489" t="s">
        <v>606</v>
      </c>
      <c r="D18" s="490"/>
      <c r="E18" s="490"/>
      <c r="F18" s="490"/>
      <c r="G18" s="490"/>
      <c r="H18" s="491"/>
    </row>
    <row r="19" spans="3:9" x14ac:dyDescent="0.25">
      <c r="C19" s="492" t="s">
        <v>319</v>
      </c>
      <c r="D19" s="478"/>
      <c r="E19" s="34" t="s">
        <v>607</v>
      </c>
      <c r="F19" s="462" t="s">
        <v>335</v>
      </c>
      <c r="G19" s="462"/>
      <c r="H19" s="463"/>
    </row>
    <row r="20" spans="3:9" x14ac:dyDescent="0.25">
      <c r="C20" s="492"/>
      <c r="D20" s="478"/>
      <c r="E20" s="34" t="s">
        <v>19</v>
      </c>
      <c r="F20" s="462" t="s">
        <v>1002</v>
      </c>
      <c r="G20" s="462"/>
      <c r="H20" s="463"/>
    </row>
    <row r="21" spans="3:9" ht="75" x14ac:dyDescent="0.25">
      <c r="C21" s="492"/>
      <c r="D21" s="478"/>
      <c r="E21" s="34" t="s">
        <v>364</v>
      </c>
      <c r="F21" s="34" t="s">
        <v>365</v>
      </c>
      <c r="G21" s="34" t="s">
        <v>366</v>
      </c>
      <c r="H21" s="61" t="s">
        <v>367</v>
      </c>
    </row>
    <row r="22" spans="3:9" x14ac:dyDescent="0.25">
      <c r="C22" s="420" t="s">
        <v>368</v>
      </c>
      <c r="D22" s="478" t="s">
        <v>369</v>
      </c>
      <c r="E22" s="129" t="s">
        <v>370</v>
      </c>
      <c r="F22" s="229"/>
      <c r="G22" s="35"/>
      <c r="H22" s="62"/>
    </row>
    <row r="23" spans="3:9" ht="46.15" customHeight="1" x14ac:dyDescent="0.25">
      <c r="C23" s="420"/>
      <c r="D23" s="478"/>
      <c r="E23" s="132" t="s">
        <v>380</v>
      </c>
      <c r="F23" s="29"/>
      <c r="G23" s="93"/>
      <c r="H23" s="61"/>
    </row>
    <row r="24" spans="3:9" ht="30" x14ac:dyDescent="0.25">
      <c r="C24" s="420"/>
      <c r="D24" s="478"/>
      <c r="E24" s="132" t="s">
        <v>394</v>
      </c>
      <c r="F24" s="223"/>
      <c r="G24" s="34" t="s">
        <v>404</v>
      </c>
      <c r="H24" s="61"/>
      <c r="I24" s="23"/>
    </row>
    <row r="25" spans="3:9" ht="30" x14ac:dyDescent="0.25">
      <c r="C25" s="420"/>
      <c r="D25" s="478"/>
      <c r="E25" s="129" t="s">
        <v>405</v>
      </c>
      <c r="F25" s="35"/>
      <c r="G25" s="35"/>
      <c r="H25" s="62"/>
    </row>
    <row r="26" spans="3:9" x14ac:dyDescent="0.25">
      <c r="C26" s="420"/>
      <c r="D26" s="462" t="s">
        <v>421</v>
      </c>
      <c r="E26" s="132" t="s">
        <v>422</v>
      </c>
      <c r="F26" s="59"/>
      <c r="G26" s="46"/>
      <c r="H26" s="61"/>
    </row>
    <row r="27" spans="3:9" ht="30" x14ac:dyDescent="0.25">
      <c r="C27" s="420"/>
      <c r="D27" s="462"/>
      <c r="E27" s="132" t="s">
        <v>428</v>
      </c>
      <c r="F27" s="59"/>
      <c r="G27" s="46"/>
      <c r="H27" s="61"/>
    </row>
    <row r="28" spans="3:9" ht="30" x14ac:dyDescent="0.25">
      <c r="C28" s="420"/>
      <c r="D28" s="462"/>
      <c r="E28" s="132" t="s">
        <v>429</v>
      </c>
      <c r="F28" s="91"/>
      <c r="G28" s="38"/>
      <c r="H28" s="63"/>
    </row>
    <row r="29" spans="3:9" ht="30" x14ac:dyDescent="0.25">
      <c r="C29" s="420"/>
      <c r="D29" s="462"/>
      <c r="E29" s="132" t="s">
        <v>430</v>
      </c>
      <c r="F29" s="91"/>
      <c r="G29" s="38"/>
      <c r="H29" s="63"/>
    </row>
    <row r="30" spans="3:9" x14ac:dyDescent="0.25">
      <c r="C30" s="420"/>
      <c r="D30" s="462"/>
      <c r="E30" s="132" t="s">
        <v>432</v>
      </c>
      <c r="F30" s="59"/>
      <c r="G30" s="34"/>
      <c r="H30" s="61"/>
    </row>
    <row r="31" spans="3:9" x14ac:dyDescent="0.25">
      <c r="C31" s="420"/>
      <c r="D31" s="462"/>
      <c r="E31" s="132" t="s">
        <v>434</v>
      </c>
      <c r="F31" s="59"/>
      <c r="G31" s="34"/>
      <c r="H31" s="61"/>
    </row>
    <row r="32" spans="3:9" ht="30" x14ac:dyDescent="0.25">
      <c r="C32" s="420"/>
      <c r="D32" s="462"/>
      <c r="E32" s="132" t="s">
        <v>436</v>
      </c>
      <c r="F32" s="91"/>
      <c r="G32" s="38"/>
      <c r="H32" s="63"/>
    </row>
    <row r="33" spans="3:8" ht="30" x14ac:dyDescent="0.25">
      <c r="C33" s="420"/>
      <c r="D33" s="462"/>
      <c r="E33" s="132" t="s">
        <v>437</v>
      </c>
      <c r="F33" s="91"/>
      <c r="G33" s="38"/>
      <c r="H33" s="63"/>
    </row>
    <row r="34" spans="3:8" x14ac:dyDescent="0.25">
      <c r="C34" s="420" t="s">
        <v>438</v>
      </c>
      <c r="D34" s="478" t="s">
        <v>369</v>
      </c>
      <c r="E34" s="129" t="s">
        <v>370</v>
      </c>
      <c r="F34" s="59"/>
      <c r="G34" s="34"/>
      <c r="H34" s="61"/>
    </row>
    <row r="35" spans="3:8" x14ac:dyDescent="0.25">
      <c r="C35" s="420"/>
      <c r="D35" s="478"/>
      <c r="E35" s="132" t="s">
        <v>380</v>
      </c>
      <c r="F35" s="59"/>
      <c r="G35" s="34"/>
      <c r="H35" s="61"/>
    </row>
    <row r="36" spans="3:8" ht="30" x14ac:dyDescent="0.25">
      <c r="C36" s="420"/>
      <c r="D36" s="478"/>
      <c r="E36" s="132" t="s">
        <v>394</v>
      </c>
      <c r="F36" s="59"/>
      <c r="G36" s="34"/>
      <c r="H36" s="61"/>
    </row>
    <row r="37" spans="3:8" ht="30" x14ac:dyDescent="0.25">
      <c r="C37" s="420"/>
      <c r="D37" s="478"/>
      <c r="E37" s="129" t="s">
        <v>405</v>
      </c>
      <c r="F37" s="59"/>
      <c r="G37" s="34"/>
      <c r="H37" s="61"/>
    </row>
    <row r="38" spans="3:8" x14ac:dyDescent="0.25">
      <c r="C38" s="420"/>
      <c r="D38" s="462" t="s">
        <v>421</v>
      </c>
      <c r="E38" s="132" t="s">
        <v>453</v>
      </c>
      <c r="F38" s="91"/>
      <c r="G38" s="38"/>
      <c r="H38" s="63"/>
    </row>
    <row r="39" spans="3:8" ht="30" x14ac:dyDescent="0.25">
      <c r="C39" s="420"/>
      <c r="D39" s="462"/>
      <c r="E39" s="132" t="s">
        <v>428</v>
      </c>
      <c r="F39" s="91"/>
      <c r="G39" s="38"/>
      <c r="H39" s="63"/>
    </row>
    <row r="40" spans="3:8" ht="30" x14ac:dyDescent="0.25">
      <c r="C40" s="420"/>
      <c r="D40" s="462"/>
      <c r="E40" s="132" t="s">
        <v>429</v>
      </c>
      <c r="F40" s="91"/>
      <c r="G40" s="38"/>
      <c r="H40" s="63"/>
    </row>
    <row r="41" spans="3:8" ht="30" x14ac:dyDescent="0.25">
      <c r="C41" s="420"/>
      <c r="D41" s="462"/>
      <c r="E41" s="132" t="s">
        <v>430</v>
      </c>
      <c r="F41" s="91"/>
      <c r="G41" s="38"/>
      <c r="H41" s="63"/>
    </row>
    <row r="42" spans="3:8" x14ac:dyDescent="0.25">
      <c r="C42" s="420"/>
      <c r="D42" s="462"/>
      <c r="E42" s="132" t="s">
        <v>432</v>
      </c>
      <c r="F42" s="91"/>
      <c r="G42" s="38"/>
      <c r="H42" s="63"/>
    </row>
    <row r="43" spans="3:8" x14ac:dyDescent="0.25">
      <c r="C43" s="420"/>
      <c r="D43" s="462"/>
      <c r="E43" s="132" t="s">
        <v>434</v>
      </c>
      <c r="F43" s="91"/>
      <c r="G43" s="38"/>
      <c r="H43" s="63"/>
    </row>
    <row r="44" spans="3:8" ht="30" x14ac:dyDescent="0.25">
      <c r="C44" s="420"/>
      <c r="D44" s="462"/>
      <c r="E44" s="132" t="s">
        <v>436</v>
      </c>
      <c r="F44" s="91"/>
      <c r="G44" s="38"/>
      <c r="H44" s="63"/>
    </row>
    <row r="45" spans="3:8" ht="30.75" thickBot="1" x14ac:dyDescent="0.3">
      <c r="C45" s="427"/>
      <c r="D45" s="493"/>
      <c r="E45" s="194" t="s">
        <v>437</v>
      </c>
      <c r="F45" s="227"/>
      <c r="G45" s="171"/>
      <c r="H45" s="172"/>
    </row>
  </sheetData>
  <mergeCells count="10">
    <mergeCell ref="C34:C45"/>
    <mergeCell ref="D34:D37"/>
    <mergeCell ref="D38:D45"/>
    <mergeCell ref="C18:H18"/>
    <mergeCell ref="C19:D21"/>
    <mergeCell ref="F19:H19"/>
    <mergeCell ref="F20:H20"/>
    <mergeCell ref="C22:C33"/>
    <mergeCell ref="D22:D25"/>
    <mergeCell ref="D26:D33"/>
  </mergeCells>
  <hyperlinks>
    <hyperlink ref="J1" r:id="rId1" xr:uid="{AFC97AC9-7587-421A-9CDF-04E9BF3C361C}"/>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4722E-28B7-4AE3-844C-8A9873CF4A3A}">
  <sheetPr>
    <tabColor theme="9" tint="0.59999389629810485"/>
  </sheetPr>
  <dimension ref="A1:M48"/>
  <sheetViews>
    <sheetView workbookViewId="0"/>
  </sheetViews>
  <sheetFormatPr defaultRowHeight="15" x14ac:dyDescent="0.25"/>
  <cols>
    <col min="5" max="5" width="33.5703125" customWidth="1"/>
    <col min="6" max="6" width="10.42578125" customWidth="1"/>
  </cols>
  <sheetData>
    <row r="1" spans="1:13" x14ac:dyDescent="0.25">
      <c r="A1" s="2" t="s">
        <v>336</v>
      </c>
    </row>
    <row r="2" spans="1:13" x14ac:dyDescent="0.25">
      <c r="A2" s="2" t="s">
        <v>1003</v>
      </c>
      <c r="M2" s="395" t="s">
        <v>656</v>
      </c>
    </row>
    <row r="3" spans="1:13" x14ac:dyDescent="0.25">
      <c r="A3" s="2" t="s">
        <v>167</v>
      </c>
    </row>
    <row r="4" spans="1:13" x14ac:dyDescent="0.25">
      <c r="A4" s="310" t="s">
        <v>835</v>
      </c>
      <c r="B4" s="310"/>
      <c r="C4" s="310"/>
      <c r="D4" s="310"/>
      <c r="E4" s="310"/>
      <c r="F4" s="310"/>
    </row>
    <row r="5" spans="1:13" x14ac:dyDescent="0.25">
      <c r="B5" t="s">
        <v>1004</v>
      </c>
    </row>
    <row r="6" spans="1:13" x14ac:dyDescent="0.25">
      <c r="B6" t="s">
        <v>1005</v>
      </c>
    </row>
    <row r="7" spans="1:13" x14ac:dyDescent="0.25">
      <c r="B7" t="s">
        <v>1006</v>
      </c>
    </row>
    <row r="8" spans="1:13" x14ac:dyDescent="0.25">
      <c r="B8" t="s">
        <v>1007</v>
      </c>
    </row>
    <row r="10" spans="1:13" x14ac:dyDescent="0.25">
      <c r="B10" t="s">
        <v>1008</v>
      </c>
    </row>
    <row r="12" spans="1:13" x14ac:dyDescent="0.25">
      <c r="B12" t="s">
        <v>1009</v>
      </c>
      <c r="F12" s="308" t="s">
        <v>1010</v>
      </c>
      <c r="G12" s="310" t="s">
        <v>1011</v>
      </c>
      <c r="H12" s="310" t="s">
        <v>1012</v>
      </c>
    </row>
    <row r="13" spans="1:13" x14ac:dyDescent="0.25">
      <c r="F13" s="308">
        <v>0.14000000000000001</v>
      </c>
      <c r="G13" s="310" t="s">
        <v>1011</v>
      </c>
      <c r="H13" s="310" t="s">
        <v>1013</v>
      </c>
    </row>
    <row r="14" spans="1:13" x14ac:dyDescent="0.25">
      <c r="B14" t="s">
        <v>1014</v>
      </c>
      <c r="F14" s="308">
        <v>0.47</v>
      </c>
      <c r="G14" s="310" t="s">
        <v>1011</v>
      </c>
      <c r="H14" s="310" t="s">
        <v>1012</v>
      </c>
    </row>
    <row r="15" spans="1:13" x14ac:dyDescent="0.25">
      <c r="F15" s="308">
        <v>10.4</v>
      </c>
      <c r="G15" s="310" t="s">
        <v>1011</v>
      </c>
      <c r="H15" s="310" t="s">
        <v>1013</v>
      </c>
    </row>
    <row r="16" spans="1:13" x14ac:dyDescent="0.25">
      <c r="B16" t="s">
        <v>1015</v>
      </c>
      <c r="F16" s="308">
        <v>3000</v>
      </c>
      <c r="G16" s="310" t="s">
        <v>1011</v>
      </c>
      <c r="H16" s="310" t="s">
        <v>1013</v>
      </c>
    </row>
    <row r="17" spans="2:8" x14ac:dyDescent="0.25">
      <c r="B17" t="s">
        <v>1016</v>
      </c>
    </row>
    <row r="19" spans="2:8" x14ac:dyDescent="0.25">
      <c r="B19" t="s">
        <v>1017</v>
      </c>
    </row>
    <row r="20" spans="2:8" ht="15.75" thickBot="1" x14ac:dyDescent="0.3"/>
    <row r="21" spans="2:8" x14ac:dyDescent="0.25">
      <c r="C21" s="489" t="s">
        <v>606</v>
      </c>
      <c r="D21" s="490"/>
      <c r="E21" s="490"/>
      <c r="F21" s="490"/>
      <c r="G21" s="490"/>
      <c r="H21" s="491"/>
    </row>
    <row r="22" spans="2:8" ht="61.5" customHeight="1" x14ac:dyDescent="0.25">
      <c r="C22" s="492" t="s">
        <v>319</v>
      </c>
      <c r="D22" s="478"/>
      <c r="E22" s="34" t="s">
        <v>607</v>
      </c>
      <c r="F22" s="462" t="s">
        <v>336</v>
      </c>
      <c r="G22" s="462"/>
      <c r="H22" s="463"/>
    </row>
    <row r="23" spans="2:8" x14ac:dyDescent="0.25">
      <c r="C23" s="492"/>
      <c r="D23" s="478"/>
      <c r="E23" s="34" t="s">
        <v>19</v>
      </c>
      <c r="F23" s="462" t="s">
        <v>1018</v>
      </c>
      <c r="G23" s="462"/>
      <c r="H23" s="463"/>
    </row>
    <row r="24" spans="2:8" ht="75" x14ac:dyDescent="0.25">
      <c r="C24" s="492"/>
      <c r="D24" s="478"/>
      <c r="E24" s="34" t="s">
        <v>364</v>
      </c>
      <c r="F24" s="34" t="s">
        <v>365</v>
      </c>
      <c r="G24" s="34" t="s">
        <v>366</v>
      </c>
      <c r="H24" s="61" t="s">
        <v>367</v>
      </c>
    </row>
    <row r="25" spans="2:8" x14ac:dyDescent="0.25">
      <c r="C25" s="420" t="s">
        <v>368</v>
      </c>
      <c r="D25" s="478" t="s">
        <v>369</v>
      </c>
      <c r="E25" s="129" t="s">
        <v>370</v>
      </c>
      <c r="F25" s="35"/>
      <c r="G25" s="35">
        <v>0.47</v>
      </c>
      <c r="H25" s="62" t="s">
        <v>462</v>
      </c>
    </row>
    <row r="26" spans="2:8" x14ac:dyDescent="0.25">
      <c r="C26" s="420"/>
      <c r="D26" s="478"/>
      <c r="E26" s="132" t="s">
        <v>380</v>
      </c>
      <c r="F26" s="34"/>
      <c r="G26" s="34">
        <v>10.4</v>
      </c>
      <c r="H26" s="61" t="s">
        <v>461</v>
      </c>
    </row>
    <row r="27" spans="2:8" x14ac:dyDescent="0.25">
      <c r="C27" s="420"/>
      <c r="D27" s="478"/>
      <c r="E27" s="132" t="s">
        <v>394</v>
      </c>
      <c r="F27" s="34"/>
      <c r="G27" s="34"/>
      <c r="H27" s="61"/>
    </row>
    <row r="28" spans="2:8" x14ac:dyDescent="0.25">
      <c r="C28" s="420"/>
      <c r="D28" s="478"/>
      <c r="E28" s="129" t="s">
        <v>405</v>
      </c>
      <c r="F28" s="39"/>
      <c r="G28" s="35">
        <v>3000</v>
      </c>
      <c r="H28" s="62" t="s">
        <v>418</v>
      </c>
    </row>
    <row r="29" spans="2:8" x14ac:dyDescent="0.25">
      <c r="C29" s="420"/>
      <c r="D29" s="462" t="s">
        <v>421</v>
      </c>
      <c r="E29" s="132" t="s">
        <v>422</v>
      </c>
      <c r="F29" s="59"/>
      <c r="G29" s="46"/>
      <c r="H29" s="61"/>
    </row>
    <row r="30" spans="2:8" x14ac:dyDescent="0.25">
      <c r="C30" s="420"/>
      <c r="D30" s="462"/>
      <c r="E30" s="132" t="s">
        <v>428</v>
      </c>
      <c r="F30" s="59"/>
      <c r="G30" s="46"/>
      <c r="H30" s="61"/>
    </row>
    <row r="31" spans="2:8" ht="30" x14ac:dyDescent="0.25">
      <c r="C31" s="420"/>
      <c r="D31" s="462"/>
      <c r="E31" s="132" t="s">
        <v>429</v>
      </c>
      <c r="F31" s="91"/>
      <c r="G31" s="38"/>
      <c r="H31" s="63"/>
    </row>
    <row r="32" spans="2:8" ht="30" x14ac:dyDescent="0.25">
      <c r="C32" s="420"/>
      <c r="D32" s="462"/>
      <c r="E32" s="132" t="s">
        <v>430</v>
      </c>
      <c r="F32" s="91"/>
      <c r="G32" s="38"/>
      <c r="H32" s="63"/>
    </row>
    <row r="33" spans="3:8" x14ac:dyDescent="0.25">
      <c r="C33" s="420"/>
      <c r="D33" s="462"/>
      <c r="E33" s="132" t="s">
        <v>432</v>
      </c>
      <c r="F33" s="59"/>
      <c r="G33" s="34"/>
      <c r="H33" s="61"/>
    </row>
    <row r="34" spans="3:8" x14ac:dyDescent="0.25">
      <c r="C34" s="420"/>
      <c r="D34" s="462"/>
      <c r="E34" s="132" t="s">
        <v>434</v>
      </c>
      <c r="F34" s="59"/>
      <c r="G34" s="34"/>
      <c r="H34" s="61"/>
    </row>
    <row r="35" spans="3:8" ht="30" x14ac:dyDescent="0.25">
      <c r="C35" s="420"/>
      <c r="D35" s="462"/>
      <c r="E35" s="132" t="s">
        <v>436</v>
      </c>
      <c r="F35" s="91"/>
      <c r="G35" s="38"/>
      <c r="H35" s="63"/>
    </row>
    <row r="36" spans="3:8" x14ac:dyDescent="0.25">
      <c r="C36" s="420"/>
      <c r="D36" s="462"/>
      <c r="E36" s="132" t="s">
        <v>437</v>
      </c>
      <c r="F36" s="91"/>
      <c r="G36" s="38"/>
      <c r="H36" s="63"/>
    </row>
    <row r="37" spans="3:8" ht="60" x14ac:dyDescent="0.25">
      <c r="C37" s="420" t="s">
        <v>438</v>
      </c>
      <c r="D37" s="478" t="s">
        <v>369</v>
      </c>
      <c r="E37" s="129" t="s">
        <v>370</v>
      </c>
      <c r="F37" s="226"/>
      <c r="G37" s="141" t="s">
        <v>445</v>
      </c>
      <c r="H37" s="168"/>
    </row>
    <row r="38" spans="3:8" x14ac:dyDescent="0.25">
      <c r="C38" s="420"/>
      <c r="D38" s="478"/>
      <c r="E38" s="132" t="s">
        <v>380</v>
      </c>
      <c r="F38" s="59"/>
      <c r="G38" s="34"/>
      <c r="H38" s="61"/>
    </row>
    <row r="39" spans="3:8" x14ac:dyDescent="0.25">
      <c r="C39" s="420"/>
      <c r="D39" s="478"/>
      <c r="E39" s="132" t="s">
        <v>394</v>
      </c>
      <c r="F39" s="59"/>
      <c r="G39" s="34"/>
      <c r="H39" s="61"/>
    </row>
    <row r="40" spans="3:8" x14ac:dyDescent="0.25">
      <c r="C40" s="420"/>
      <c r="D40" s="478"/>
      <c r="E40" s="129" t="s">
        <v>405</v>
      </c>
      <c r="F40" s="60"/>
      <c r="G40" s="60"/>
      <c r="H40" s="168"/>
    </row>
    <row r="41" spans="3:8" x14ac:dyDescent="0.25">
      <c r="C41" s="420"/>
      <c r="D41" s="462" t="s">
        <v>421</v>
      </c>
      <c r="E41" s="132" t="s">
        <v>453</v>
      </c>
      <c r="F41" s="91"/>
      <c r="G41" s="38"/>
      <c r="H41" s="63"/>
    </row>
    <row r="42" spans="3:8" x14ac:dyDescent="0.25">
      <c r="C42" s="420"/>
      <c r="D42" s="462"/>
      <c r="E42" s="132" t="s">
        <v>428</v>
      </c>
      <c r="F42" s="91"/>
      <c r="G42" s="38"/>
      <c r="H42" s="63"/>
    </row>
    <row r="43" spans="3:8" ht="30" x14ac:dyDescent="0.25">
      <c r="C43" s="420"/>
      <c r="D43" s="462"/>
      <c r="E43" s="132" t="s">
        <v>429</v>
      </c>
      <c r="F43" s="91"/>
      <c r="G43" s="38"/>
      <c r="H43" s="63"/>
    </row>
    <row r="44" spans="3:8" ht="30" x14ac:dyDescent="0.25">
      <c r="C44" s="420"/>
      <c r="D44" s="462"/>
      <c r="E44" s="132" t="s">
        <v>430</v>
      </c>
      <c r="F44" s="91"/>
      <c r="G44" s="38"/>
      <c r="H44" s="63"/>
    </row>
    <row r="45" spans="3:8" x14ac:dyDescent="0.25">
      <c r="C45" s="420"/>
      <c r="D45" s="462"/>
      <c r="E45" s="132" t="s">
        <v>432</v>
      </c>
      <c r="F45" s="91"/>
      <c r="G45" s="38"/>
      <c r="H45" s="63"/>
    </row>
    <row r="46" spans="3:8" x14ac:dyDescent="0.25">
      <c r="C46" s="420"/>
      <c r="D46" s="462"/>
      <c r="E46" s="132" t="s">
        <v>434</v>
      </c>
      <c r="F46" s="91"/>
      <c r="G46" s="38"/>
      <c r="H46" s="63"/>
    </row>
    <row r="47" spans="3:8" ht="30" x14ac:dyDescent="0.25">
      <c r="C47" s="420"/>
      <c r="D47" s="462"/>
      <c r="E47" s="132" t="s">
        <v>436</v>
      </c>
      <c r="F47" s="91"/>
      <c r="G47" s="38"/>
      <c r="H47" s="63"/>
    </row>
    <row r="48" spans="3:8" ht="15.75" thickBot="1" x14ac:dyDescent="0.3">
      <c r="C48" s="427"/>
      <c r="D48" s="493"/>
      <c r="E48" s="194" t="s">
        <v>437</v>
      </c>
      <c r="F48" s="227"/>
      <c r="G48" s="171"/>
      <c r="H48" s="172"/>
    </row>
  </sheetData>
  <mergeCells count="10">
    <mergeCell ref="C37:C48"/>
    <mergeCell ref="D37:D40"/>
    <mergeCell ref="D41:D48"/>
    <mergeCell ref="C21:H21"/>
    <mergeCell ref="C22:D24"/>
    <mergeCell ref="F22:H22"/>
    <mergeCell ref="F23:H23"/>
    <mergeCell ref="C25:C36"/>
    <mergeCell ref="D25:D28"/>
    <mergeCell ref="D29:D36"/>
  </mergeCells>
  <hyperlinks>
    <hyperlink ref="M2" r:id="rId1" xr:uid="{846ED51B-0767-4531-8D65-E0D1C03DCE5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9396-DF90-4530-904A-3A2A29E8CD44}">
  <sheetPr>
    <tabColor theme="9" tint="0.59999389629810485"/>
  </sheetPr>
  <dimension ref="A1:Q37"/>
  <sheetViews>
    <sheetView workbookViewId="0"/>
  </sheetViews>
  <sheetFormatPr defaultRowHeight="15" x14ac:dyDescent="0.25"/>
  <cols>
    <col min="4" max="4" width="31" customWidth="1"/>
    <col min="5" max="5" width="10.42578125" customWidth="1"/>
    <col min="6" max="6" width="15" customWidth="1"/>
    <col min="14" max="14" width="19.28515625" bestFit="1" customWidth="1"/>
  </cols>
  <sheetData>
    <row r="1" spans="1:17" x14ac:dyDescent="0.25">
      <c r="A1" s="303" t="s">
        <v>129</v>
      </c>
      <c r="N1" s="395" t="s">
        <v>1019</v>
      </c>
    </row>
    <row r="2" spans="1:17" x14ac:dyDescent="0.25">
      <c r="A2" s="2" t="s">
        <v>1020</v>
      </c>
      <c r="E2" s="353" t="s">
        <v>653</v>
      </c>
      <c r="F2" s="353"/>
      <c r="G2" s="353"/>
      <c r="H2" s="353"/>
      <c r="I2" s="353"/>
      <c r="J2" s="353"/>
      <c r="L2" s="310" t="s">
        <v>835</v>
      </c>
      <c r="M2" s="310"/>
      <c r="N2" s="310"/>
      <c r="O2" s="310"/>
      <c r="P2" s="310"/>
      <c r="Q2" s="310"/>
    </row>
    <row r="3" spans="1:17" x14ac:dyDescent="0.25">
      <c r="A3" s="2" t="s">
        <v>127</v>
      </c>
    </row>
    <row r="5" spans="1:17" ht="29.85" customHeight="1" x14ac:dyDescent="0.25">
      <c r="B5" s="529" t="s">
        <v>1021</v>
      </c>
      <c r="C5" s="529"/>
      <c r="D5" s="529"/>
      <c r="E5" s="529"/>
      <c r="F5" s="529"/>
      <c r="G5" s="529"/>
      <c r="H5" s="529"/>
      <c r="I5" s="529"/>
      <c r="J5" s="529"/>
      <c r="K5" s="529"/>
    </row>
    <row r="6" spans="1:17" ht="29.85" customHeight="1" x14ac:dyDescent="0.25">
      <c r="B6" s="529"/>
      <c r="C6" s="529"/>
      <c r="D6" s="529"/>
      <c r="E6" s="529"/>
      <c r="F6" s="529"/>
      <c r="G6" s="529"/>
      <c r="H6" s="529"/>
      <c r="I6" s="529"/>
      <c r="J6" s="529"/>
      <c r="K6" s="529"/>
    </row>
    <row r="7" spans="1:17" ht="29.85" customHeight="1" x14ac:dyDescent="0.25">
      <c r="B7" s="529"/>
      <c r="C7" s="529"/>
      <c r="D7" s="529"/>
      <c r="E7" s="529"/>
      <c r="F7" s="529"/>
      <c r="G7" s="529"/>
      <c r="H7" s="529"/>
      <c r="I7" s="529"/>
      <c r="J7" s="529"/>
      <c r="K7" s="529"/>
    </row>
    <row r="9" spans="1:17" ht="15.75" thickBot="1" x14ac:dyDescent="0.3"/>
    <row r="10" spans="1:17" x14ac:dyDescent="0.25">
      <c r="B10" s="489" t="s">
        <v>606</v>
      </c>
      <c r="C10" s="490"/>
      <c r="D10" s="490"/>
      <c r="E10" s="490"/>
      <c r="F10" s="490"/>
      <c r="G10" s="491"/>
    </row>
    <row r="11" spans="1:17" ht="55.9" customHeight="1" x14ac:dyDescent="0.25">
      <c r="B11" s="492" t="s">
        <v>319</v>
      </c>
      <c r="C11" s="478"/>
      <c r="D11" s="34" t="s">
        <v>607</v>
      </c>
      <c r="E11" s="462" t="s">
        <v>129</v>
      </c>
      <c r="F11" s="462"/>
      <c r="G11" s="463"/>
    </row>
    <row r="12" spans="1:17" x14ac:dyDescent="0.25">
      <c r="B12" s="492"/>
      <c r="C12" s="478"/>
      <c r="D12" s="34" t="s">
        <v>19</v>
      </c>
      <c r="E12" s="462" t="s">
        <v>498</v>
      </c>
      <c r="F12" s="462"/>
      <c r="G12" s="463"/>
    </row>
    <row r="13" spans="1:17" ht="60" x14ac:dyDescent="0.25">
      <c r="B13" s="492"/>
      <c r="C13" s="478"/>
      <c r="D13" s="34" t="s">
        <v>364</v>
      </c>
      <c r="E13" s="34" t="s">
        <v>365</v>
      </c>
      <c r="F13" s="34" t="s">
        <v>366</v>
      </c>
      <c r="G13" s="61" t="s">
        <v>367</v>
      </c>
    </row>
    <row r="14" spans="1:17" x14ac:dyDescent="0.25">
      <c r="B14" s="420" t="s">
        <v>368</v>
      </c>
      <c r="C14" s="478" t="s">
        <v>369</v>
      </c>
      <c r="D14" s="129" t="s">
        <v>370</v>
      </c>
      <c r="E14" s="35"/>
      <c r="F14" s="35"/>
      <c r="G14" s="62"/>
    </row>
    <row r="15" spans="1:17" x14ac:dyDescent="0.25">
      <c r="B15" s="420"/>
      <c r="C15" s="478"/>
      <c r="D15" s="132" t="s">
        <v>380</v>
      </c>
      <c r="E15" s="34"/>
      <c r="F15" s="34"/>
      <c r="G15" s="61"/>
    </row>
    <row r="16" spans="1:17" ht="30" x14ac:dyDescent="0.25">
      <c r="B16" s="420"/>
      <c r="C16" s="478"/>
      <c r="D16" s="132" t="s">
        <v>394</v>
      </c>
      <c r="E16" s="34"/>
      <c r="F16" s="34"/>
      <c r="G16" s="61"/>
    </row>
    <row r="17" spans="2:7" ht="30" x14ac:dyDescent="0.25">
      <c r="B17" s="420"/>
      <c r="C17" s="478"/>
      <c r="D17" s="129" t="s">
        <v>405</v>
      </c>
      <c r="E17" s="39"/>
      <c r="F17" s="39"/>
      <c r="G17" s="149"/>
    </row>
    <row r="18" spans="2:7" x14ac:dyDescent="0.25">
      <c r="B18" s="420"/>
      <c r="C18" s="462" t="s">
        <v>421</v>
      </c>
      <c r="D18" s="132" t="s">
        <v>422</v>
      </c>
      <c r="E18" s="59"/>
      <c r="F18" s="46"/>
      <c r="G18" s="61"/>
    </row>
    <row r="19" spans="2:7" ht="30" x14ac:dyDescent="0.25">
      <c r="B19" s="420"/>
      <c r="C19" s="462"/>
      <c r="D19" s="132" t="s">
        <v>428</v>
      </c>
      <c r="E19" s="59"/>
      <c r="F19" s="46"/>
      <c r="G19" s="61"/>
    </row>
    <row r="20" spans="2:7" ht="30" x14ac:dyDescent="0.25">
      <c r="B20" s="420"/>
      <c r="C20" s="462"/>
      <c r="D20" s="132" t="s">
        <v>429</v>
      </c>
      <c r="E20" s="91"/>
      <c r="F20" s="38"/>
      <c r="G20" s="63"/>
    </row>
    <row r="21" spans="2:7" ht="30" x14ac:dyDescent="0.25">
      <c r="B21" s="420"/>
      <c r="C21" s="462"/>
      <c r="D21" s="132" t="s">
        <v>430</v>
      </c>
      <c r="E21" s="91"/>
      <c r="F21" s="38"/>
      <c r="G21" s="63"/>
    </row>
    <row r="22" spans="2:7" x14ac:dyDescent="0.25">
      <c r="B22" s="420"/>
      <c r="C22" s="462"/>
      <c r="D22" s="132" t="s">
        <v>432</v>
      </c>
      <c r="E22" s="59"/>
      <c r="F22" s="34"/>
      <c r="G22" s="61"/>
    </row>
    <row r="23" spans="2:7" x14ac:dyDescent="0.25">
      <c r="B23" s="420"/>
      <c r="C23" s="462"/>
      <c r="D23" s="132" t="s">
        <v>434</v>
      </c>
      <c r="E23" s="59"/>
      <c r="F23" s="34"/>
      <c r="G23" s="61"/>
    </row>
    <row r="24" spans="2:7" ht="30" x14ac:dyDescent="0.25">
      <c r="B24" s="420"/>
      <c r="C24" s="462"/>
      <c r="D24" s="132" t="s">
        <v>436</v>
      </c>
      <c r="E24" s="91"/>
      <c r="F24" s="38"/>
      <c r="G24" s="63"/>
    </row>
    <row r="25" spans="2:7" ht="30" x14ac:dyDescent="0.25">
      <c r="B25" s="420"/>
      <c r="C25" s="462"/>
      <c r="D25" s="132" t="s">
        <v>437</v>
      </c>
      <c r="E25" s="91"/>
      <c r="F25" s="38"/>
      <c r="G25" s="63"/>
    </row>
    <row r="26" spans="2:7" ht="48" x14ac:dyDescent="0.25">
      <c r="B26" s="420" t="s">
        <v>438</v>
      </c>
      <c r="C26" s="478" t="s">
        <v>369</v>
      </c>
      <c r="D26" s="129" t="s">
        <v>370</v>
      </c>
      <c r="E26" s="60"/>
      <c r="F26" s="57" t="s">
        <v>446</v>
      </c>
      <c r="G26" s="168"/>
    </row>
    <row r="27" spans="2:7" x14ac:dyDescent="0.25">
      <c r="B27" s="420"/>
      <c r="C27" s="478"/>
      <c r="D27" s="132" t="s">
        <v>380</v>
      </c>
      <c r="E27" s="59"/>
      <c r="F27" s="34"/>
      <c r="G27" s="61"/>
    </row>
    <row r="28" spans="2:7" ht="30" x14ac:dyDescent="0.25">
      <c r="B28" s="420"/>
      <c r="C28" s="478"/>
      <c r="D28" s="132" t="s">
        <v>394</v>
      </c>
      <c r="E28" s="59"/>
      <c r="F28" s="34"/>
      <c r="G28" s="61"/>
    </row>
    <row r="29" spans="2:7" ht="36" x14ac:dyDescent="0.25">
      <c r="B29" s="420"/>
      <c r="C29" s="478"/>
      <c r="D29" s="129" t="s">
        <v>405</v>
      </c>
      <c r="E29" s="60"/>
      <c r="F29" s="57" t="s">
        <v>452</v>
      </c>
      <c r="G29" s="168"/>
    </row>
    <row r="30" spans="2:7" x14ac:dyDescent="0.25">
      <c r="B30" s="420"/>
      <c r="C30" s="462" t="s">
        <v>421</v>
      </c>
      <c r="D30" s="132" t="s">
        <v>453</v>
      </c>
      <c r="E30" s="91"/>
      <c r="F30" s="38"/>
      <c r="G30" s="63"/>
    </row>
    <row r="31" spans="2:7" ht="30" x14ac:dyDescent="0.25">
      <c r="B31" s="420"/>
      <c r="C31" s="462"/>
      <c r="D31" s="132" t="s">
        <v>428</v>
      </c>
      <c r="E31" s="91"/>
      <c r="F31" s="38"/>
      <c r="G31" s="63"/>
    </row>
    <row r="32" spans="2:7" ht="30" x14ac:dyDescent="0.25">
      <c r="B32" s="420"/>
      <c r="C32" s="462"/>
      <c r="D32" s="132" t="s">
        <v>429</v>
      </c>
      <c r="E32" s="91"/>
      <c r="F32" s="38"/>
      <c r="G32" s="63"/>
    </row>
    <row r="33" spans="2:7" ht="30" x14ac:dyDescent="0.25">
      <c r="B33" s="420"/>
      <c r="C33" s="462"/>
      <c r="D33" s="132" t="s">
        <v>430</v>
      </c>
      <c r="E33" s="91"/>
      <c r="F33" s="38"/>
      <c r="G33" s="63"/>
    </row>
    <row r="34" spans="2:7" x14ac:dyDescent="0.25">
      <c r="B34" s="420"/>
      <c r="C34" s="462"/>
      <c r="D34" s="132" t="s">
        <v>432</v>
      </c>
      <c r="E34" s="91"/>
      <c r="F34" s="38"/>
      <c r="G34" s="63"/>
    </row>
    <row r="35" spans="2:7" x14ac:dyDescent="0.25">
      <c r="B35" s="420"/>
      <c r="C35" s="462"/>
      <c r="D35" s="132" t="s">
        <v>434</v>
      </c>
      <c r="E35" s="91"/>
      <c r="F35" s="38"/>
      <c r="G35" s="63"/>
    </row>
    <row r="36" spans="2:7" ht="30" x14ac:dyDescent="0.25">
      <c r="B36" s="420"/>
      <c r="C36" s="462"/>
      <c r="D36" s="132" t="s">
        <v>436</v>
      </c>
      <c r="E36" s="91"/>
      <c r="F36" s="38"/>
      <c r="G36" s="63"/>
    </row>
    <row r="37" spans="2:7" ht="30.75" thickBot="1" x14ac:dyDescent="0.3">
      <c r="B37" s="427"/>
      <c r="C37" s="493"/>
      <c r="D37" s="194" t="s">
        <v>437</v>
      </c>
      <c r="E37" s="227"/>
      <c r="F37" s="171"/>
      <c r="G37" s="172"/>
    </row>
  </sheetData>
  <mergeCells count="11">
    <mergeCell ref="B26:B37"/>
    <mergeCell ref="C26:C29"/>
    <mergeCell ref="C30:C37"/>
    <mergeCell ref="B5:K7"/>
    <mergeCell ref="B10:G10"/>
    <mergeCell ref="B11:C13"/>
    <mergeCell ref="E11:G11"/>
    <mergeCell ref="E12:G12"/>
    <mergeCell ref="B14:B25"/>
    <mergeCell ref="C14:C17"/>
    <mergeCell ref="C18:C25"/>
  </mergeCells>
  <phoneticPr fontId="16" type="noConversion"/>
  <hyperlinks>
    <hyperlink ref="N1" r:id="rId1" xr:uid="{DB8F6E7F-97B7-4705-85B6-28207D538045}"/>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33ED6-81A4-43A4-B23D-E95FAC0A9FF5}">
  <sheetPr>
    <tabColor theme="9" tint="0.59999389629810485"/>
  </sheetPr>
  <dimension ref="A1:L37"/>
  <sheetViews>
    <sheetView workbookViewId="0"/>
  </sheetViews>
  <sheetFormatPr defaultRowHeight="15" x14ac:dyDescent="0.25"/>
  <cols>
    <col min="5" max="5" width="29.7109375" customWidth="1"/>
    <col min="6" max="6" width="11.140625" customWidth="1"/>
    <col min="7" max="7" width="12.140625" customWidth="1"/>
    <col min="11" max="11" width="12" bestFit="1" customWidth="1"/>
  </cols>
  <sheetData>
    <row r="1" spans="1:11" x14ac:dyDescent="0.25">
      <c r="A1" s="389" t="s">
        <v>1022</v>
      </c>
      <c r="F1" s="353" t="s">
        <v>653</v>
      </c>
      <c r="G1" s="353"/>
      <c r="H1" s="353"/>
      <c r="I1" s="353"/>
      <c r="J1" s="353"/>
      <c r="K1" s="353"/>
    </row>
    <row r="2" spans="1:11" x14ac:dyDescent="0.25">
      <c r="A2" s="2" t="s">
        <v>363</v>
      </c>
      <c r="F2" s="310" t="s">
        <v>835</v>
      </c>
      <c r="G2" s="310"/>
      <c r="H2" s="310"/>
      <c r="I2" s="310"/>
      <c r="J2" s="310"/>
      <c r="K2" s="310"/>
    </row>
    <row r="4" spans="1:11" x14ac:dyDescent="0.25">
      <c r="B4" s="530" t="s">
        <v>1023</v>
      </c>
      <c r="C4" s="530"/>
      <c r="D4" s="530"/>
      <c r="E4" s="530"/>
      <c r="F4" s="530"/>
      <c r="G4" s="530"/>
      <c r="H4" s="530"/>
      <c r="I4" s="530"/>
      <c r="J4" s="530"/>
      <c r="K4" s="530"/>
    </row>
    <row r="5" spans="1:11" x14ac:dyDescent="0.25">
      <c r="B5" s="530"/>
      <c r="C5" s="530"/>
      <c r="D5" s="530"/>
      <c r="E5" s="530"/>
      <c r="F5" s="530"/>
      <c r="G5" s="530"/>
      <c r="H5" s="530"/>
      <c r="I5" s="530"/>
      <c r="J5" s="530"/>
      <c r="K5" s="530"/>
    </row>
    <row r="6" spans="1:11" x14ac:dyDescent="0.25">
      <c r="B6" s="530"/>
      <c r="C6" s="530"/>
      <c r="D6" s="530"/>
      <c r="E6" s="530"/>
      <c r="F6" s="530"/>
      <c r="G6" s="530"/>
      <c r="H6" s="530"/>
      <c r="I6" s="530"/>
      <c r="J6" s="530"/>
      <c r="K6" s="530"/>
    </row>
    <row r="7" spans="1:11" x14ac:dyDescent="0.25">
      <c r="B7" s="530"/>
      <c r="C7" s="530"/>
      <c r="D7" s="530"/>
      <c r="E7" s="530"/>
      <c r="F7" s="530"/>
      <c r="G7" s="530"/>
      <c r="H7" s="530"/>
      <c r="I7" s="530"/>
      <c r="J7" s="530"/>
      <c r="K7" s="530"/>
    </row>
    <row r="9" spans="1:11" ht="15.75" thickBot="1" x14ac:dyDescent="0.3"/>
    <row r="10" spans="1:11" x14ac:dyDescent="0.25">
      <c r="C10" s="489" t="s">
        <v>606</v>
      </c>
      <c r="D10" s="490"/>
      <c r="E10" s="490"/>
      <c r="F10" s="490"/>
      <c r="G10" s="490"/>
      <c r="H10" s="491"/>
    </row>
    <row r="11" spans="1:11" ht="48.75" customHeight="1" x14ac:dyDescent="0.25">
      <c r="C11" s="492" t="s">
        <v>319</v>
      </c>
      <c r="D11" s="478"/>
      <c r="E11" s="34" t="s">
        <v>607</v>
      </c>
      <c r="F11" s="462" t="s">
        <v>1024</v>
      </c>
      <c r="G11" s="462"/>
      <c r="H11" s="463"/>
    </row>
    <row r="12" spans="1:11" ht="27.4" customHeight="1" x14ac:dyDescent="0.25">
      <c r="C12" s="492"/>
      <c r="D12" s="478"/>
      <c r="E12" s="34" t="s">
        <v>19</v>
      </c>
      <c r="F12" s="462" t="s">
        <v>363</v>
      </c>
      <c r="G12" s="462"/>
      <c r="H12" s="463"/>
      <c r="K12" t="s">
        <v>435</v>
      </c>
    </row>
    <row r="13" spans="1:11" ht="72.400000000000006" customHeight="1" x14ac:dyDescent="0.25">
      <c r="C13" s="492"/>
      <c r="D13" s="478"/>
      <c r="E13" s="34" t="s">
        <v>364</v>
      </c>
      <c r="F13" s="34" t="s">
        <v>365</v>
      </c>
      <c r="G13" s="34" t="s">
        <v>366</v>
      </c>
      <c r="H13" s="61" t="s">
        <v>367</v>
      </c>
    </row>
    <row r="14" spans="1:11" x14ac:dyDescent="0.25">
      <c r="C14" s="420" t="s">
        <v>368</v>
      </c>
      <c r="D14" s="478" t="s">
        <v>369</v>
      </c>
      <c r="E14" s="129" t="s">
        <v>370</v>
      </c>
      <c r="F14" s="35"/>
      <c r="G14" s="35"/>
      <c r="H14" s="62"/>
    </row>
    <row r="15" spans="1:11" x14ac:dyDescent="0.25">
      <c r="C15" s="420"/>
      <c r="D15" s="478"/>
      <c r="E15" s="132" t="s">
        <v>380</v>
      </c>
      <c r="F15" s="34" t="s">
        <v>392</v>
      </c>
      <c r="G15" s="34" t="s">
        <v>393</v>
      </c>
      <c r="H15" s="61"/>
    </row>
    <row r="16" spans="1:11" ht="30" x14ac:dyDescent="0.25">
      <c r="C16" s="420"/>
      <c r="D16" s="478"/>
      <c r="E16" s="132" t="s">
        <v>394</v>
      </c>
      <c r="F16" s="34"/>
      <c r="G16" s="34"/>
      <c r="H16" s="61"/>
    </row>
    <row r="17" spans="3:12" ht="30" x14ac:dyDescent="0.25">
      <c r="C17" s="420"/>
      <c r="D17" s="478"/>
      <c r="E17" s="129" t="s">
        <v>405</v>
      </c>
      <c r="F17" s="142" t="s">
        <v>419</v>
      </c>
      <c r="G17" s="142" t="s">
        <v>420</v>
      </c>
      <c r="H17" s="149"/>
      <c r="K17" t="s">
        <v>1025</v>
      </c>
    </row>
    <row r="18" spans="3:12" x14ac:dyDescent="0.25">
      <c r="C18" s="420"/>
      <c r="D18" s="462" t="s">
        <v>421</v>
      </c>
      <c r="E18" s="132" t="s">
        <v>422</v>
      </c>
      <c r="F18" s="59"/>
      <c r="G18" s="46"/>
      <c r="H18" s="61"/>
      <c r="K18">
        <v>7</v>
      </c>
      <c r="L18" t="s">
        <v>1026</v>
      </c>
    </row>
    <row r="19" spans="3:12" ht="30" x14ac:dyDescent="0.25">
      <c r="C19" s="420"/>
      <c r="D19" s="462"/>
      <c r="E19" s="132" t="s">
        <v>428</v>
      </c>
      <c r="F19" s="59"/>
      <c r="G19" s="46"/>
      <c r="H19" s="61"/>
      <c r="K19">
        <v>791547</v>
      </c>
      <c r="L19" t="s">
        <v>1027</v>
      </c>
    </row>
    <row r="20" spans="3:12" ht="30" x14ac:dyDescent="0.25">
      <c r="C20" s="420"/>
      <c r="D20" s="462"/>
      <c r="E20" s="132" t="s">
        <v>429</v>
      </c>
      <c r="F20" s="91"/>
      <c r="G20" s="38"/>
      <c r="H20" s="63"/>
      <c r="K20" s="374">
        <f>K18/K19</f>
        <v>8.8434420192357496E-6</v>
      </c>
      <c r="L20" t="s">
        <v>1028</v>
      </c>
    </row>
    <row r="21" spans="3:12" ht="30" x14ac:dyDescent="0.25">
      <c r="C21" s="420"/>
      <c r="D21" s="462"/>
      <c r="E21" s="132" t="s">
        <v>430</v>
      </c>
      <c r="F21" s="91"/>
      <c r="G21" s="38"/>
      <c r="H21" s="63"/>
    </row>
    <row r="22" spans="3:12" x14ac:dyDescent="0.25">
      <c r="C22" s="420"/>
      <c r="D22" s="462"/>
      <c r="E22" s="132" t="s">
        <v>432</v>
      </c>
      <c r="F22" s="59"/>
      <c r="G22" s="34"/>
      <c r="H22" s="61"/>
    </row>
    <row r="23" spans="3:12" x14ac:dyDescent="0.25">
      <c r="C23" s="420"/>
      <c r="D23" s="462"/>
      <c r="E23" s="132" t="s">
        <v>434</v>
      </c>
      <c r="F23" s="59"/>
      <c r="G23" s="34"/>
      <c r="H23" s="61"/>
    </row>
    <row r="24" spans="3:12" ht="30" x14ac:dyDescent="0.25">
      <c r="C24" s="420"/>
      <c r="D24" s="462"/>
      <c r="E24" s="132" t="s">
        <v>436</v>
      </c>
      <c r="F24" s="91"/>
      <c r="G24" s="38"/>
      <c r="H24" s="63"/>
    </row>
    <row r="25" spans="3:12" ht="30" x14ac:dyDescent="0.25">
      <c r="C25" s="420"/>
      <c r="D25" s="462"/>
      <c r="E25" s="132" t="s">
        <v>437</v>
      </c>
      <c r="F25" s="91"/>
      <c r="G25" s="38"/>
      <c r="H25" s="63"/>
    </row>
    <row r="26" spans="3:12" x14ac:dyDescent="0.25">
      <c r="C26" s="420" t="s">
        <v>438</v>
      </c>
      <c r="D26" s="478" t="s">
        <v>369</v>
      </c>
      <c r="E26" s="129" t="s">
        <v>370</v>
      </c>
      <c r="F26" s="59"/>
      <c r="G26" s="34"/>
      <c r="H26" s="61"/>
      <c r="K26" t="s">
        <v>1025</v>
      </c>
    </row>
    <row r="27" spans="3:12" x14ac:dyDescent="0.25">
      <c r="C27" s="420"/>
      <c r="D27" s="478"/>
      <c r="E27" s="132" t="s">
        <v>380</v>
      </c>
      <c r="F27" s="59"/>
      <c r="G27" s="34"/>
      <c r="H27" s="61"/>
      <c r="K27">
        <v>1</v>
      </c>
      <c r="L27" t="s">
        <v>1029</v>
      </c>
    </row>
    <row r="28" spans="3:12" ht="30" x14ac:dyDescent="0.25">
      <c r="C28" s="420"/>
      <c r="D28" s="478"/>
      <c r="E28" s="132" t="s">
        <v>394</v>
      </c>
      <c r="F28" s="59"/>
      <c r="G28" s="34"/>
      <c r="H28" s="61"/>
      <c r="K28">
        <v>791547</v>
      </c>
      <c r="L28" t="s">
        <v>1027</v>
      </c>
    </row>
    <row r="29" spans="3:12" ht="30" x14ac:dyDescent="0.25">
      <c r="C29" s="420"/>
      <c r="D29" s="478"/>
      <c r="E29" s="129" t="s">
        <v>405</v>
      </c>
      <c r="F29" s="59"/>
      <c r="G29" s="34"/>
      <c r="H29" s="61"/>
      <c r="K29" s="374">
        <f>K27/K28</f>
        <v>1.2633488598908213E-6</v>
      </c>
      <c r="L29" t="s">
        <v>1028</v>
      </c>
    </row>
    <row r="30" spans="3:12" x14ac:dyDescent="0.25">
      <c r="C30" s="420"/>
      <c r="D30" s="462" t="s">
        <v>421</v>
      </c>
      <c r="E30" s="132" t="s">
        <v>453</v>
      </c>
      <c r="F30" s="91"/>
      <c r="G30" s="38"/>
      <c r="H30" s="63"/>
    </row>
    <row r="31" spans="3:12" ht="30" x14ac:dyDescent="0.25">
      <c r="C31" s="420"/>
      <c r="D31" s="462"/>
      <c r="E31" s="132" t="s">
        <v>428</v>
      </c>
      <c r="F31" s="91"/>
      <c r="G31" s="38"/>
      <c r="H31" s="63"/>
    </row>
    <row r="32" spans="3:12" ht="30" x14ac:dyDescent="0.25">
      <c r="C32" s="420"/>
      <c r="D32" s="462"/>
      <c r="E32" s="132" t="s">
        <v>429</v>
      </c>
      <c r="F32" s="91"/>
      <c r="G32" s="38"/>
      <c r="H32" s="63"/>
    </row>
    <row r="33" spans="3:8" ht="30" x14ac:dyDescent="0.25">
      <c r="C33" s="420"/>
      <c r="D33" s="462"/>
      <c r="E33" s="132" t="s">
        <v>430</v>
      </c>
      <c r="F33" s="91"/>
      <c r="G33" s="38"/>
      <c r="H33" s="63"/>
    </row>
    <row r="34" spans="3:8" x14ac:dyDescent="0.25">
      <c r="C34" s="420"/>
      <c r="D34" s="462"/>
      <c r="E34" s="132" t="s">
        <v>432</v>
      </c>
      <c r="F34" s="91"/>
      <c r="G34" s="38"/>
      <c r="H34" s="63"/>
    </row>
    <row r="35" spans="3:8" x14ac:dyDescent="0.25">
      <c r="C35" s="420"/>
      <c r="D35" s="462"/>
      <c r="E35" s="132" t="s">
        <v>434</v>
      </c>
      <c r="F35" s="91"/>
      <c r="G35" s="38"/>
      <c r="H35" s="63"/>
    </row>
    <row r="36" spans="3:8" ht="30" x14ac:dyDescent="0.25">
      <c r="C36" s="420"/>
      <c r="D36" s="462"/>
      <c r="E36" s="132" t="s">
        <v>436</v>
      </c>
      <c r="F36" s="91"/>
      <c r="G36" s="38"/>
      <c r="H36" s="63"/>
    </row>
    <row r="37" spans="3:8" ht="30.75" thickBot="1" x14ac:dyDescent="0.3">
      <c r="C37" s="427"/>
      <c r="D37" s="493"/>
      <c r="E37" s="194" t="s">
        <v>437</v>
      </c>
      <c r="F37" s="227"/>
      <c r="G37" s="171"/>
      <c r="H37" s="172"/>
    </row>
  </sheetData>
  <mergeCells count="11">
    <mergeCell ref="B4:K7"/>
    <mergeCell ref="C10:H10"/>
    <mergeCell ref="C11:D13"/>
    <mergeCell ref="F11:H11"/>
    <mergeCell ref="F12:H12"/>
    <mergeCell ref="C14:C25"/>
    <mergeCell ref="D14:D17"/>
    <mergeCell ref="D18:D25"/>
    <mergeCell ref="C26:C37"/>
    <mergeCell ref="D26:D29"/>
    <mergeCell ref="D30:D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4B42-13A1-4F99-AD68-5F023AEDD933}">
  <sheetPr>
    <tabColor theme="4" tint="-0.249977111117893"/>
  </sheetPr>
  <dimension ref="B2:J12"/>
  <sheetViews>
    <sheetView zoomScaleNormal="100" workbookViewId="0">
      <pane ySplit="2" topLeftCell="A3" activePane="bottomLeft" state="frozen"/>
      <selection activeCell="B4" sqref="B4"/>
      <selection pane="bottomLeft"/>
    </sheetView>
  </sheetViews>
  <sheetFormatPr defaultRowHeight="15" x14ac:dyDescent="0.25"/>
  <cols>
    <col min="2" max="2" width="30" customWidth="1"/>
    <col min="3" max="3" width="31.42578125" customWidth="1"/>
    <col min="4" max="5" width="13" customWidth="1"/>
    <col min="6" max="6" width="22" customWidth="1"/>
    <col min="7" max="8" width="12.85546875" customWidth="1"/>
    <col min="9" max="9" width="61" style="4" customWidth="1"/>
    <col min="10" max="10" width="47.140625" customWidth="1"/>
  </cols>
  <sheetData>
    <row r="2" spans="2:10" ht="75" x14ac:dyDescent="0.25">
      <c r="B2" s="235" t="s">
        <v>472</v>
      </c>
      <c r="C2" s="143" t="s">
        <v>473</v>
      </c>
      <c r="D2" s="143" t="s">
        <v>474</v>
      </c>
      <c r="E2" s="143" t="s">
        <v>475</v>
      </c>
      <c r="F2" s="143" t="s">
        <v>476</v>
      </c>
      <c r="G2" s="143" t="s">
        <v>474</v>
      </c>
      <c r="H2" s="143" t="s">
        <v>475</v>
      </c>
      <c r="I2" s="51" t="s">
        <v>477</v>
      </c>
    </row>
    <row r="3" spans="2:10" ht="39.75" customHeight="1" x14ac:dyDescent="0.25">
      <c r="B3" s="143" t="s">
        <v>338</v>
      </c>
      <c r="C3" s="237">
        <v>0.05</v>
      </c>
      <c r="D3" s="322" t="s">
        <v>478</v>
      </c>
      <c r="E3" s="118"/>
      <c r="F3" s="238">
        <v>5.5E-2</v>
      </c>
      <c r="G3" s="322" t="s">
        <v>478</v>
      </c>
      <c r="H3" s="118"/>
      <c r="I3" s="328" t="s">
        <v>479</v>
      </c>
    </row>
    <row r="4" spans="2:10" ht="102" customHeight="1" x14ac:dyDescent="0.25">
      <c r="B4" s="143" t="s">
        <v>480</v>
      </c>
      <c r="C4" s="240">
        <v>5.0000000000000002E-5</v>
      </c>
      <c r="D4" s="323" t="s">
        <v>481</v>
      </c>
      <c r="E4" s="232"/>
      <c r="F4" s="237" t="s">
        <v>482</v>
      </c>
      <c r="G4" s="237" t="s">
        <v>482</v>
      </c>
      <c r="H4" s="250">
        <v>0.68</v>
      </c>
      <c r="I4" s="328" t="s">
        <v>483</v>
      </c>
      <c r="J4" t="s">
        <v>435</v>
      </c>
    </row>
    <row r="5" spans="2:10" ht="79.150000000000006" customHeight="1" x14ac:dyDescent="0.25">
      <c r="B5" s="143" t="s">
        <v>484</v>
      </c>
      <c r="C5" s="59">
        <v>0.1141776169108365</v>
      </c>
      <c r="D5" s="324" t="s">
        <v>485</v>
      </c>
      <c r="E5" s="250">
        <v>0.434</v>
      </c>
      <c r="F5" s="237">
        <v>5.3999999999999999E-2</v>
      </c>
      <c r="G5" s="323" t="s">
        <v>478</v>
      </c>
      <c r="H5" s="250">
        <v>0.63</v>
      </c>
      <c r="I5" s="234" t="s">
        <v>486</v>
      </c>
    </row>
    <row r="6" spans="2:10" ht="116.25" customHeight="1" x14ac:dyDescent="0.25">
      <c r="B6" s="143" t="s">
        <v>487</v>
      </c>
      <c r="C6" s="118" t="s">
        <v>482</v>
      </c>
      <c r="D6" s="118" t="s">
        <v>482</v>
      </c>
      <c r="E6" s="118"/>
      <c r="F6" s="237">
        <v>0.45100000000000001</v>
      </c>
      <c r="G6" s="326" t="s">
        <v>485</v>
      </c>
      <c r="H6" s="251" t="s">
        <v>488</v>
      </c>
      <c r="I6" s="327" t="s">
        <v>489</v>
      </c>
    </row>
    <row r="7" spans="2:10" ht="62.25" customHeight="1" x14ac:dyDescent="0.25">
      <c r="B7" s="143" t="s">
        <v>490</v>
      </c>
      <c r="C7" s="237" t="s">
        <v>374</v>
      </c>
      <c r="D7" s="324" t="s">
        <v>485</v>
      </c>
      <c r="E7" s="242"/>
      <c r="F7" s="237" t="s">
        <v>482</v>
      </c>
      <c r="G7" s="237" t="s">
        <v>482</v>
      </c>
      <c r="H7" s="237"/>
      <c r="I7" s="327" t="s">
        <v>491</v>
      </c>
      <c r="J7" t="s">
        <v>435</v>
      </c>
    </row>
    <row r="8" spans="2:10" ht="43.9" customHeight="1" x14ac:dyDescent="0.25">
      <c r="B8" s="143" t="s">
        <v>115</v>
      </c>
      <c r="C8" s="237" t="s">
        <v>482</v>
      </c>
      <c r="D8" s="237" t="s">
        <v>482</v>
      </c>
      <c r="E8" s="232"/>
      <c r="F8" s="51" t="s">
        <v>482</v>
      </c>
      <c r="G8" s="51" t="s">
        <v>482</v>
      </c>
      <c r="H8" s="51"/>
      <c r="I8" s="234"/>
    </row>
    <row r="9" spans="2:10" ht="61.15" customHeight="1" x14ac:dyDescent="0.25">
      <c r="B9" s="143" t="s">
        <v>492</v>
      </c>
      <c r="C9" s="237">
        <v>7.92E-3</v>
      </c>
      <c r="D9" s="323" t="s">
        <v>478</v>
      </c>
      <c r="E9" s="232"/>
      <c r="F9" s="237">
        <v>1.2700000000000001E-3</v>
      </c>
      <c r="G9" s="323" t="s">
        <v>478</v>
      </c>
      <c r="H9" s="232"/>
      <c r="I9" s="328" t="s">
        <v>493</v>
      </c>
    </row>
    <row r="10" spans="2:10" ht="63.4" customHeight="1" x14ac:dyDescent="0.25">
      <c r="B10" s="143" t="s">
        <v>494</v>
      </c>
      <c r="C10" s="118">
        <v>0.06</v>
      </c>
      <c r="D10" s="323" t="s">
        <v>478</v>
      </c>
      <c r="E10" s="232"/>
      <c r="F10" s="237" t="s">
        <v>482</v>
      </c>
      <c r="G10" s="237" t="s">
        <v>482</v>
      </c>
      <c r="H10" s="237"/>
      <c r="I10" s="328" t="s">
        <v>495</v>
      </c>
    </row>
    <row r="11" spans="2:10" ht="79.5" customHeight="1" x14ac:dyDescent="0.25">
      <c r="B11" s="143" t="s">
        <v>496</v>
      </c>
      <c r="C11" s="241" t="s">
        <v>378</v>
      </c>
      <c r="D11" s="325" t="s">
        <v>485</v>
      </c>
      <c r="E11" s="243"/>
      <c r="F11" s="237" t="s">
        <v>482</v>
      </c>
      <c r="G11" s="237" t="s">
        <v>482</v>
      </c>
      <c r="H11" s="237"/>
      <c r="I11" s="327" t="s">
        <v>497</v>
      </c>
    </row>
    <row r="12" spans="2:10" s="23" customFormat="1" ht="58.9" customHeight="1" x14ac:dyDescent="0.25">
      <c r="B12" s="143" t="s">
        <v>498</v>
      </c>
      <c r="C12" s="118" t="s">
        <v>482</v>
      </c>
      <c r="D12" s="118" t="s">
        <v>482</v>
      </c>
      <c r="E12" s="118"/>
      <c r="F12" s="143" t="s">
        <v>499</v>
      </c>
      <c r="G12" s="251" t="s">
        <v>482</v>
      </c>
      <c r="H12" s="233"/>
      <c r="I12" s="328" t="s">
        <v>500</v>
      </c>
    </row>
  </sheetData>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118E4-F1CB-4AFF-B5B3-21477F3A37E9}">
  <sheetPr>
    <tabColor theme="4" tint="-0.249977111117893"/>
  </sheetPr>
  <dimension ref="B2:O12"/>
  <sheetViews>
    <sheetView zoomScaleNormal="100" workbookViewId="0">
      <pane ySplit="2" topLeftCell="A3" activePane="bottomLeft" state="frozen"/>
      <selection activeCell="B4" sqref="B4"/>
      <selection pane="bottomLeft"/>
    </sheetView>
  </sheetViews>
  <sheetFormatPr defaultRowHeight="15" x14ac:dyDescent="0.25"/>
  <cols>
    <col min="2" max="2" width="23.140625" style="8" customWidth="1"/>
    <col min="3" max="6" width="15.42578125" style="8" customWidth="1"/>
    <col min="7" max="8" width="15.42578125" style="21" customWidth="1"/>
    <col min="9" max="9" width="49.5703125" style="21" customWidth="1"/>
  </cols>
  <sheetData>
    <row r="2" spans="2:15" ht="90" x14ac:dyDescent="0.25">
      <c r="B2" s="299" t="s">
        <v>501</v>
      </c>
      <c r="C2" s="300" t="s">
        <v>502</v>
      </c>
      <c r="D2" s="143" t="s">
        <v>503</v>
      </c>
      <c r="E2" s="143" t="s">
        <v>475</v>
      </c>
      <c r="F2" s="143" t="s">
        <v>504</v>
      </c>
      <c r="G2" s="143" t="s">
        <v>505</v>
      </c>
      <c r="H2" s="143" t="s">
        <v>475</v>
      </c>
      <c r="I2" s="143" t="s">
        <v>477</v>
      </c>
      <c r="K2" s="273" t="s">
        <v>435</v>
      </c>
    </row>
    <row r="3" spans="2:15" ht="54.4" customHeight="1" x14ac:dyDescent="0.25">
      <c r="B3" s="143" t="s">
        <v>322</v>
      </c>
      <c r="C3" s="118">
        <v>3.3E-3</v>
      </c>
      <c r="D3" s="330" t="s">
        <v>485</v>
      </c>
      <c r="E3" s="51" t="s">
        <v>382</v>
      </c>
      <c r="F3" s="143" t="s">
        <v>482</v>
      </c>
      <c r="G3" s="143" t="s">
        <v>482</v>
      </c>
      <c r="H3" s="143" t="s">
        <v>482</v>
      </c>
      <c r="I3" s="328" t="s">
        <v>506</v>
      </c>
      <c r="K3" s="21"/>
    </row>
    <row r="4" spans="2:15" ht="60" x14ac:dyDescent="0.25">
      <c r="B4" s="143" t="s">
        <v>480</v>
      </c>
      <c r="C4" s="301">
        <v>4.7000000000000004E-5</v>
      </c>
      <c r="D4" s="328" t="s">
        <v>478</v>
      </c>
      <c r="E4" s="271" t="s">
        <v>507</v>
      </c>
      <c r="F4" s="237">
        <v>2.2000000000000001E-4</v>
      </c>
      <c r="G4" s="328" t="s">
        <v>478</v>
      </c>
      <c r="H4" s="248">
        <v>13.7</v>
      </c>
      <c r="I4" s="328" t="s">
        <v>508</v>
      </c>
      <c r="M4" s="89"/>
      <c r="N4" s="89"/>
    </row>
    <row r="5" spans="2:15" ht="30" x14ac:dyDescent="0.25">
      <c r="B5" s="143" t="s">
        <v>509</v>
      </c>
      <c r="C5" s="237" t="s">
        <v>482</v>
      </c>
      <c r="D5" s="237" t="s">
        <v>482</v>
      </c>
      <c r="E5" s="237" t="s">
        <v>482</v>
      </c>
      <c r="F5" s="237">
        <v>5.0000000000000002E-5</v>
      </c>
      <c r="G5" s="331" t="s">
        <v>481</v>
      </c>
      <c r="H5" s="234">
        <v>7</v>
      </c>
      <c r="I5" s="328" t="s">
        <v>510</v>
      </c>
      <c r="M5" s="89"/>
      <c r="N5" s="89"/>
    </row>
    <row r="6" spans="2:15" ht="45" x14ac:dyDescent="0.25">
      <c r="B6" s="143" t="s">
        <v>484</v>
      </c>
      <c r="C6" s="237" t="s">
        <v>482</v>
      </c>
      <c r="D6" s="237" t="s">
        <v>482</v>
      </c>
      <c r="E6" s="237" t="s">
        <v>482</v>
      </c>
      <c r="F6" s="237">
        <v>1E-4</v>
      </c>
      <c r="G6" s="329" t="s">
        <v>478</v>
      </c>
      <c r="H6" s="4">
        <v>25</v>
      </c>
      <c r="I6" s="328" t="s">
        <v>511</v>
      </c>
      <c r="J6" s="8"/>
      <c r="K6" s="89"/>
      <c r="M6" s="89"/>
    </row>
    <row r="7" spans="2:15" ht="33.75" customHeight="1" x14ac:dyDescent="0.25">
      <c r="B7" s="143" t="s">
        <v>512</v>
      </c>
      <c r="C7" s="237">
        <v>8.7999999999999998E-5</v>
      </c>
      <c r="D7" s="328" t="s">
        <v>478</v>
      </c>
      <c r="E7" s="234"/>
      <c r="F7" s="237" t="s">
        <v>482</v>
      </c>
      <c r="G7" s="237" t="s">
        <v>482</v>
      </c>
      <c r="H7" s="237"/>
      <c r="I7" s="328" t="s">
        <v>513</v>
      </c>
    </row>
    <row r="8" spans="2:15" ht="42.4" customHeight="1" x14ac:dyDescent="0.25">
      <c r="B8" s="143" t="s">
        <v>514</v>
      </c>
      <c r="C8" s="241">
        <v>5.9000000000000003E-4</v>
      </c>
      <c r="D8" s="328" t="s">
        <v>478</v>
      </c>
      <c r="E8" s="234"/>
      <c r="F8" s="237" t="s">
        <v>482</v>
      </c>
      <c r="G8" s="237" t="s">
        <v>482</v>
      </c>
      <c r="H8" s="237"/>
      <c r="I8" s="328" t="s">
        <v>515</v>
      </c>
      <c r="M8" s="228"/>
      <c r="N8" s="21"/>
      <c r="O8" s="21"/>
    </row>
    <row r="9" spans="2:15" ht="45" x14ac:dyDescent="0.25">
      <c r="B9" s="143" t="s">
        <v>487</v>
      </c>
      <c r="C9" s="237" t="s">
        <v>482</v>
      </c>
      <c r="D9" s="237" t="s">
        <v>482</v>
      </c>
      <c r="E9" s="237"/>
      <c r="F9" s="237">
        <v>7.1830371368169447E-4</v>
      </c>
      <c r="G9" s="328" t="s">
        <v>478</v>
      </c>
      <c r="H9" s="248" t="s">
        <v>448</v>
      </c>
      <c r="I9" s="143"/>
    </row>
    <row r="10" spans="2:15" ht="60" x14ac:dyDescent="0.25">
      <c r="B10" s="143" t="s">
        <v>115</v>
      </c>
      <c r="C10" s="237">
        <v>2.2000000000000001E-3</v>
      </c>
      <c r="D10" s="327" t="s">
        <v>485</v>
      </c>
      <c r="E10" s="248" t="s">
        <v>389</v>
      </c>
      <c r="F10" s="143" t="s">
        <v>482</v>
      </c>
      <c r="G10" s="143" t="s">
        <v>482</v>
      </c>
      <c r="H10" s="143"/>
      <c r="I10" s="327" t="s">
        <v>516</v>
      </c>
    </row>
    <row r="11" spans="2:15" ht="30" x14ac:dyDescent="0.25">
      <c r="B11" s="143" t="s">
        <v>181</v>
      </c>
      <c r="C11" s="237">
        <v>1.0000000000000001E-5</v>
      </c>
      <c r="D11" s="328" t="s">
        <v>478</v>
      </c>
      <c r="E11" s="234"/>
      <c r="F11" s="237">
        <v>2.0000000000000001E-4</v>
      </c>
      <c r="G11" s="328" t="s">
        <v>478</v>
      </c>
      <c r="H11" s="234"/>
      <c r="I11" s="234"/>
    </row>
    <row r="12" spans="2:15" ht="45" x14ac:dyDescent="0.25">
      <c r="B12" s="143" t="s">
        <v>363</v>
      </c>
      <c r="C12" s="143" t="s">
        <v>392</v>
      </c>
      <c r="D12" s="328" t="s">
        <v>478</v>
      </c>
      <c r="E12" s="234"/>
      <c r="F12" s="237" t="s">
        <v>482</v>
      </c>
      <c r="G12" s="237" t="s">
        <v>482</v>
      </c>
      <c r="H12" s="237"/>
      <c r="I12" s="328" t="s">
        <v>517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8CA10-46EC-46AD-894B-E1BE9E7EF744}">
  <sheetPr>
    <tabColor theme="4" tint="-0.249977111117893"/>
  </sheetPr>
  <dimension ref="B3:K10"/>
  <sheetViews>
    <sheetView zoomScaleNormal="100" workbookViewId="0"/>
  </sheetViews>
  <sheetFormatPr defaultRowHeight="15" x14ac:dyDescent="0.25"/>
  <cols>
    <col min="2" max="2" width="23.5703125" style="21" customWidth="1"/>
    <col min="3" max="6" width="16.28515625" style="21" customWidth="1"/>
    <col min="7" max="7" width="17.28515625" style="21" customWidth="1"/>
    <col min="8" max="8" width="16" style="21" customWidth="1"/>
    <col min="9" max="9" width="55.28515625" style="21" customWidth="1"/>
  </cols>
  <sheetData>
    <row r="3" spans="2:11" ht="84" customHeight="1" x14ac:dyDescent="0.25">
      <c r="B3" s="236" t="s">
        <v>518</v>
      </c>
      <c r="C3" s="143" t="s">
        <v>519</v>
      </c>
      <c r="D3" s="143" t="s">
        <v>520</v>
      </c>
      <c r="E3" s="143" t="s">
        <v>475</v>
      </c>
      <c r="F3" s="143" t="s">
        <v>521</v>
      </c>
      <c r="G3" s="143" t="s">
        <v>520</v>
      </c>
      <c r="H3" s="143" t="s">
        <v>475</v>
      </c>
      <c r="I3" s="143" t="s">
        <v>477</v>
      </c>
    </row>
    <row r="4" spans="2:11" ht="84" customHeight="1" x14ac:dyDescent="0.25">
      <c r="B4" s="143" t="s">
        <v>322</v>
      </c>
      <c r="C4" s="118">
        <v>5.4327437555391355E-4</v>
      </c>
      <c r="D4" s="327" t="s">
        <v>522</v>
      </c>
      <c r="E4" s="51" t="s">
        <v>523</v>
      </c>
      <c r="F4" s="143" t="s">
        <v>482</v>
      </c>
      <c r="G4" s="143" t="s">
        <v>482</v>
      </c>
      <c r="H4" s="143" t="s">
        <v>482</v>
      </c>
      <c r="I4" s="327" t="s">
        <v>524</v>
      </c>
      <c r="K4" s="21"/>
    </row>
    <row r="5" spans="2:11" ht="30" x14ac:dyDescent="0.25">
      <c r="B5" s="143" t="s">
        <v>509</v>
      </c>
      <c r="C5" s="237">
        <v>1.0000000000000001E-5</v>
      </c>
      <c r="D5" s="328" t="s">
        <v>478</v>
      </c>
      <c r="E5" s="248">
        <v>50</v>
      </c>
      <c r="F5" s="51" t="s">
        <v>482</v>
      </c>
      <c r="G5" s="51" t="s">
        <v>482</v>
      </c>
      <c r="H5" s="51"/>
      <c r="I5" s="143"/>
    </row>
    <row r="6" spans="2:11" ht="21" customHeight="1" x14ac:dyDescent="0.25">
      <c r="B6" s="143" t="s">
        <v>512</v>
      </c>
      <c r="C6" s="237">
        <v>7.2000000000000002E-5</v>
      </c>
      <c r="D6" s="328" t="s">
        <v>478</v>
      </c>
      <c r="E6" s="248"/>
      <c r="F6" s="237">
        <v>2.3E-5</v>
      </c>
      <c r="G6" s="234" t="s">
        <v>478</v>
      </c>
      <c r="H6" s="234"/>
      <c r="I6" s="143"/>
    </row>
    <row r="7" spans="2:11" ht="20.25" customHeight="1" x14ac:dyDescent="0.25">
      <c r="B7" s="143" t="s">
        <v>514</v>
      </c>
      <c r="C7" s="237">
        <v>1.5999999999999999E-5</v>
      </c>
      <c r="D7" s="328" t="s">
        <v>478</v>
      </c>
      <c r="E7" s="248"/>
      <c r="F7" s="51" t="s">
        <v>482</v>
      </c>
      <c r="G7" s="51" t="s">
        <v>482</v>
      </c>
      <c r="H7" s="234"/>
      <c r="I7" s="328" t="s">
        <v>525</v>
      </c>
    </row>
    <row r="8" spans="2:11" ht="45" x14ac:dyDescent="0.25">
      <c r="B8" s="143" t="s">
        <v>115</v>
      </c>
      <c r="C8" s="237">
        <v>7.3999999999999999E-4</v>
      </c>
      <c r="D8" s="327" t="s">
        <v>485</v>
      </c>
      <c r="E8" s="248" t="s">
        <v>400</v>
      </c>
      <c r="F8" s="51" t="s">
        <v>482</v>
      </c>
      <c r="G8" s="51" t="s">
        <v>482</v>
      </c>
      <c r="H8" s="51"/>
      <c r="I8" s="327" t="s">
        <v>526</v>
      </c>
    </row>
    <row r="9" spans="2:11" ht="30" x14ac:dyDescent="0.25">
      <c r="B9" s="143" t="s">
        <v>181</v>
      </c>
      <c r="C9" s="237">
        <v>1.0000000000000001E-5</v>
      </c>
      <c r="D9" s="328" t="s">
        <v>478</v>
      </c>
      <c r="E9" s="234"/>
      <c r="F9" s="51" t="s">
        <v>482</v>
      </c>
      <c r="G9" s="51" t="s">
        <v>482</v>
      </c>
      <c r="H9" s="51"/>
      <c r="I9" s="143"/>
    </row>
    <row r="10" spans="2:11" ht="27.4" customHeight="1" x14ac:dyDescent="0.25">
      <c r="B10" s="143" t="s">
        <v>492</v>
      </c>
      <c r="C10" s="237">
        <v>6.8700000000000003E-5</v>
      </c>
      <c r="D10" s="328" t="s">
        <v>478</v>
      </c>
      <c r="E10" s="234"/>
      <c r="F10" s="51" t="s">
        <v>482</v>
      </c>
      <c r="G10" s="51" t="s">
        <v>482</v>
      </c>
      <c r="H10" s="51"/>
      <c r="I10" s="143"/>
    </row>
  </sheetData>
  <phoneticPr fontId="16" type="noConversion"/>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85FAE-FB98-4EAD-8500-4325207419FD}">
  <sheetPr>
    <tabColor theme="4" tint="-0.249977111117893"/>
  </sheetPr>
  <dimension ref="B3:Y23"/>
  <sheetViews>
    <sheetView zoomScaleNormal="100" workbookViewId="0"/>
  </sheetViews>
  <sheetFormatPr defaultRowHeight="15" x14ac:dyDescent="0.25"/>
  <cols>
    <col min="2" max="2" width="20.140625" customWidth="1"/>
    <col min="3" max="6" width="16.140625" customWidth="1"/>
    <col min="7" max="8" width="17.85546875" style="4" customWidth="1"/>
    <col min="9" max="9" width="43.42578125" style="4" customWidth="1"/>
    <col min="10" max="10" width="43.28515625" customWidth="1"/>
  </cols>
  <sheetData>
    <row r="3" spans="2:12" ht="102" customHeight="1" x14ac:dyDescent="0.25">
      <c r="B3" s="236" t="s">
        <v>527</v>
      </c>
      <c r="C3" s="143" t="s">
        <v>528</v>
      </c>
      <c r="D3" s="143" t="s">
        <v>529</v>
      </c>
      <c r="E3" s="143" t="s">
        <v>475</v>
      </c>
      <c r="F3" s="143" t="s">
        <v>530</v>
      </c>
      <c r="G3" s="143" t="s">
        <v>529</v>
      </c>
      <c r="H3" s="143" t="s">
        <v>475</v>
      </c>
      <c r="I3" s="143" t="s">
        <v>477</v>
      </c>
    </row>
    <row r="4" spans="2:12" ht="65.650000000000006" customHeight="1" x14ac:dyDescent="0.25">
      <c r="B4" s="143" t="s">
        <v>322</v>
      </c>
      <c r="C4" s="237">
        <v>2.0895168290535135E-4</v>
      </c>
      <c r="D4" s="327" t="s">
        <v>522</v>
      </c>
      <c r="E4" s="51" t="s">
        <v>406</v>
      </c>
      <c r="F4" s="143" t="s">
        <v>482</v>
      </c>
      <c r="G4" s="143" t="s">
        <v>482</v>
      </c>
      <c r="H4" s="143" t="s">
        <v>482</v>
      </c>
      <c r="I4" s="332" t="s">
        <v>531</v>
      </c>
      <c r="K4" s="21"/>
    </row>
    <row r="5" spans="2:12" ht="30" x14ac:dyDescent="0.25">
      <c r="B5" s="143" t="s">
        <v>509</v>
      </c>
      <c r="C5" s="237">
        <v>3.0000000000000001E-6</v>
      </c>
      <c r="D5" s="328" t="s">
        <v>478</v>
      </c>
      <c r="E5" s="248">
        <v>5000</v>
      </c>
      <c r="F5" s="237">
        <v>1.9999999999999999E-6</v>
      </c>
      <c r="G5" s="328" t="s">
        <v>478</v>
      </c>
      <c r="H5" s="302">
        <v>3000</v>
      </c>
      <c r="I5" s="143"/>
    </row>
    <row r="6" spans="2:12" ht="90" x14ac:dyDescent="0.25">
      <c r="B6" s="143" t="s">
        <v>484</v>
      </c>
      <c r="C6" s="237">
        <v>1.4799999999999999E-4</v>
      </c>
      <c r="D6" s="327" t="s">
        <v>485</v>
      </c>
      <c r="E6" s="248">
        <v>19440</v>
      </c>
      <c r="F6" s="237">
        <v>1.0000000000000001E-5</v>
      </c>
      <c r="G6" s="328" t="s">
        <v>478</v>
      </c>
      <c r="H6" s="302">
        <v>19440</v>
      </c>
      <c r="I6" s="328" t="s">
        <v>532</v>
      </c>
      <c r="J6" s="228"/>
      <c r="K6" s="21"/>
      <c r="L6" s="21"/>
    </row>
    <row r="7" spans="2:12" ht="75" x14ac:dyDescent="0.25">
      <c r="B7" s="143" t="s">
        <v>345</v>
      </c>
      <c r="C7" s="237" t="s">
        <v>410</v>
      </c>
      <c r="D7" s="327" t="s">
        <v>485</v>
      </c>
      <c r="E7" s="248" t="s">
        <v>411</v>
      </c>
      <c r="F7" s="143" t="s">
        <v>482</v>
      </c>
      <c r="G7" s="143" t="s">
        <v>482</v>
      </c>
      <c r="H7" s="143"/>
      <c r="I7" s="333" t="s">
        <v>533</v>
      </c>
      <c r="J7" s="24"/>
    </row>
    <row r="8" spans="2:12" ht="60" x14ac:dyDescent="0.25">
      <c r="B8" s="143" t="s">
        <v>534</v>
      </c>
      <c r="C8" s="237" t="s">
        <v>414</v>
      </c>
      <c r="D8" s="329" t="s">
        <v>478</v>
      </c>
      <c r="E8" s="272"/>
      <c r="F8" s="143" t="s">
        <v>482</v>
      </c>
      <c r="G8" s="143" t="s">
        <v>482</v>
      </c>
      <c r="H8" s="143"/>
      <c r="I8" s="51"/>
    </row>
    <row r="9" spans="2:12" ht="60" x14ac:dyDescent="0.25">
      <c r="B9" s="143" t="s">
        <v>115</v>
      </c>
      <c r="C9" s="237">
        <v>1.3999999999999999E-4</v>
      </c>
      <c r="D9" s="327" t="s">
        <v>485</v>
      </c>
      <c r="E9" s="248" t="s">
        <v>416</v>
      </c>
      <c r="F9" s="143" t="s">
        <v>482</v>
      </c>
      <c r="G9" s="143" t="s">
        <v>482</v>
      </c>
      <c r="H9" s="143"/>
      <c r="I9" s="327" t="s">
        <v>535</v>
      </c>
    </row>
    <row r="10" spans="2:12" ht="30" x14ac:dyDescent="0.25">
      <c r="B10" s="143" t="s">
        <v>181</v>
      </c>
      <c r="C10" s="118">
        <v>5.7100000000000004E-6</v>
      </c>
      <c r="D10" s="329" t="s">
        <v>478</v>
      </c>
      <c r="E10" s="244"/>
      <c r="F10" s="143" t="s">
        <v>482</v>
      </c>
      <c r="G10" s="143" t="s">
        <v>482</v>
      </c>
      <c r="H10" s="143"/>
      <c r="I10" s="51"/>
      <c r="L10" t="s">
        <v>435</v>
      </c>
    </row>
    <row r="11" spans="2:12" ht="90" x14ac:dyDescent="0.25">
      <c r="B11" s="143" t="s">
        <v>363</v>
      </c>
      <c r="C11" s="241">
        <v>2.02E-5</v>
      </c>
      <c r="D11" s="327" t="s">
        <v>485</v>
      </c>
      <c r="E11" s="239"/>
      <c r="F11" s="237">
        <v>1.3E-6</v>
      </c>
      <c r="G11" s="328" t="s">
        <v>478</v>
      </c>
      <c r="H11" s="143"/>
      <c r="I11" s="239" t="s">
        <v>536</v>
      </c>
      <c r="J11" s="24"/>
    </row>
    <row r="23" spans="25:25" x14ac:dyDescent="0.25">
      <c r="Y23" t="s">
        <v>435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0C54F-AFDD-4CF8-87D4-247F43FB055C}">
  <sheetPr>
    <tabColor theme="9" tint="0.59999389629810485"/>
  </sheetPr>
  <dimension ref="A3:S69"/>
  <sheetViews>
    <sheetView zoomScale="60" zoomScaleNormal="60" workbookViewId="0"/>
  </sheetViews>
  <sheetFormatPr defaultRowHeight="15" x14ac:dyDescent="0.25"/>
  <cols>
    <col min="2" max="2" width="48.5703125" customWidth="1"/>
    <col min="3" max="3" width="11.28515625" customWidth="1"/>
    <col min="4" max="4" width="25.5703125" customWidth="1"/>
    <col min="5" max="5" width="21.42578125" customWidth="1"/>
    <col min="6" max="6" width="16.42578125" customWidth="1"/>
    <col min="7" max="7" width="18" customWidth="1"/>
    <col min="11" max="11" width="20.85546875" customWidth="1"/>
    <col min="12" max="12" width="21.28515625" customWidth="1"/>
    <col min="14" max="14" width="23.42578125" customWidth="1"/>
  </cols>
  <sheetData>
    <row r="3" spans="1:19" ht="15" customHeight="1" x14ac:dyDescent="0.25">
      <c r="A3" s="470" t="s">
        <v>537</v>
      </c>
      <c r="B3" s="2" t="s">
        <v>538</v>
      </c>
      <c r="E3" s="1"/>
      <c r="F3" s="1"/>
    </row>
    <row r="4" spans="1:19" x14ac:dyDescent="0.25">
      <c r="A4" s="470"/>
      <c r="B4" s="2" t="s">
        <v>539</v>
      </c>
      <c r="E4" s="1"/>
      <c r="F4" s="1"/>
    </row>
    <row r="5" spans="1:19" x14ac:dyDescent="0.25">
      <c r="A5" s="470"/>
      <c r="E5" s="1"/>
      <c r="F5" s="1"/>
    </row>
    <row r="6" spans="1:19" x14ac:dyDescent="0.25">
      <c r="A6" s="470"/>
      <c r="B6" s="12" t="s">
        <v>540</v>
      </c>
      <c r="C6" s="2" t="s">
        <v>541</v>
      </c>
      <c r="E6" s="1"/>
      <c r="F6" s="1"/>
    </row>
    <row r="7" spans="1:19" x14ac:dyDescent="0.25">
      <c r="A7" s="470"/>
      <c r="B7" t="s">
        <v>542</v>
      </c>
      <c r="C7" s="334">
        <v>5.0000000000000001E-3</v>
      </c>
      <c r="D7" s="471" t="s">
        <v>543</v>
      </c>
      <c r="E7" t="s">
        <v>544</v>
      </c>
      <c r="F7" s="1"/>
    </row>
    <row r="8" spans="1:19" x14ac:dyDescent="0.25">
      <c r="A8" s="470"/>
      <c r="B8" t="s">
        <v>545</v>
      </c>
      <c r="C8" s="334">
        <v>1.5E-3</v>
      </c>
      <c r="D8" s="471"/>
      <c r="E8" t="s">
        <v>546</v>
      </c>
      <c r="F8" s="1"/>
    </row>
    <row r="9" spans="1:19" x14ac:dyDescent="0.25">
      <c r="A9" s="470"/>
      <c r="B9" t="s">
        <v>547</v>
      </c>
      <c r="C9" s="334">
        <v>8.9999999999999993E-3</v>
      </c>
      <c r="D9" s="471"/>
      <c r="E9" t="s">
        <v>548</v>
      </c>
      <c r="F9" s="1"/>
    </row>
    <row r="10" spans="1:19" x14ac:dyDescent="0.25">
      <c r="A10" s="470"/>
      <c r="B10" t="s">
        <v>549</v>
      </c>
      <c r="C10" s="334">
        <v>8.9999999999999993E-3</v>
      </c>
      <c r="D10" s="471"/>
      <c r="E10" s="1"/>
      <c r="F10" s="1"/>
    </row>
    <row r="11" spans="1:19" ht="81" customHeight="1" x14ac:dyDescent="0.25">
      <c r="A11" s="470"/>
      <c r="B11" s="24" t="s">
        <v>550</v>
      </c>
      <c r="C11" s="340">
        <v>5.0000000000000002E-5</v>
      </c>
      <c r="D11" s="473" t="s">
        <v>551</v>
      </c>
      <c r="E11" s="414"/>
      <c r="F11" s="414"/>
      <c r="G11" s="414"/>
      <c r="H11" s="414"/>
      <c r="I11" s="414"/>
      <c r="J11" s="414"/>
      <c r="K11" s="414"/>
      <c r="L11" s="341">
        <f>C11</f>
        <v>5.0000000000000002E-5</v>
      </c>
    </row>
    <row r="12" spans="1:19" ht="45" customHeight="1" x14ac:dyDescent="0.25">
      <c r="A12" s="470"/>
      <c r="B12" s="24" t="s">
        <v>552</v>
      </c>
      <c r="C12" s="26">
        <v>2.5000000000000002E-6</v>
      </c>
      <c r="D12" s="472" t="s">
        <v>553</v>
      </c>
      <c r="E12" s="472"/>
      <c r="F12" s="472"/>
      <c r="G12" s="472"/>
      <c r="H12" s="472"/>
      <c r="I12" s="472"/>
      <c r="J12" s="472"/>
      <c r="K12" s="472"/>
      <c r="L12" s="472"/>
      <c r="M12" s="472"/>
      <c r="N12" s="472"/>
      <c r="O12" s="472"/>
      <c r="P12" s="472"/>
      <c r="Q12" s="472"/>
      <c r="R12" s="472"/>
      <c r="S12" s="472"/>
    </row>
    <row r="13" spans="1:19" ht="49.5" customHeight="1" x14ac:dyDescent="0.25">
      <c r="A13" s="470"/>
      <c r="B13" s="8" t="s">
        <v>554</v>
      </c>
      <c r="C13" s="27">
        <v>7.5000000000000002E-6</v>
      </c>
      <c r="D13" s="472" t="s">
        <v>555</v>
      </c>
      <c r="E13" s="472"/>
      <c r="F13" s="472"/>
      <c r="G13" s="472"/>
      <c r="H13" s="472"/>
      <c r="I13" s="472"/>
      <c r="J13" s="472"/>
      <c r="K13" s="472"/>
      <c r="L13" s="472"/>
      <c r="M13" s="472"/>
      <c r="N13" s="472"/>
      <c r="O13" s="472"/>
      <c r="P13" s="472"/>
      <c r="Q13" s="472"/>
      <c r="R13" s="472"/>
      <c r="S13" s="472"/>
    </row>
    <row r="14" spans="1:19" ht="28.5" customHeight="1" x14ac:dyDescent="0.25">
      <c r="A14" s="470"/>
      <c r="B14" s="8" t="s">
        <v>556</v>
      </c>
      <c r="C14" s="335">
        <f>C12+C13</f>
        <v>1.0000000000000001E-5</v>
      </c>
      <c r="D14" s="23" t="s">
        <v>557</v>
      </c>
      <c r="E14" s="1"/>
      <c r="F14" s="1"/>
      <c r="H14">
        <f>0.001/100</f>
        <v>1.0000000000000001E-5</v>
      </c>
    </row>
    <row r="15" spans="1:19" ht="54" customHeight="1" x14ac:dyDescent="0.25">
      <c r="A15" s="470"/>
      <c r="B15" s="24" t="s">
        <v>558</v>
      </c>
      <c r="C15" s="20">
        <v>3.0000000000000001E-5</v>
      </c>
      <c r="D15" s="469" t="s">
        <v>559</v>
      </c>
      <c r="E15" s="469"/>
      <c r="F15" s="469"/>
      <c r="G15" s="469"/>
      <c r="H15" s="469"/>
      <c r="I15" s="469"/>
      <c r="J15" s="469"/>
      <c r="K15" s="469"/>
      <c r="L15" s="469"/>
      <c r="M15" s="469"/>
      <c r="N15" s="469"/>
      <c r="O15" s="469"/>
      <c r="P15" s="469"/>
      <c r="Q15" s="469"/>
      <c r="R15" s="469"/>
      <c r="S15" s="469"/>
    </row>
    <row r="16" spans="1:19" ht="54" customHeight="1" x14ac:dyDescent="0.25">
      <c r="A16" s="470"/>
      <c r="B16" s="24" t="s">
        <v>560</v>
      </c>
      <c r="C16" s="27">
        <v>6.8000000000000001E-6</v>
      </c>
      <c r="D16" s="469" t="s">
        <v>561</v>
      </c>
      <c r="E16" s="469"/>
      <c r="F16" s="469"/>
      <c r="G16" s="469"/>
      <c r="H16" s="469"/>
      <c r="I16" s="469"/>
      <c r="J16" s="469"/>
      <c r="K16" s="469"/>
      <c r="L16" s="469"/>
      <c r="M16" s="469"/>
      <c r="N16" s="469"/>
      <c r="O16" s="469"/>
      <c r="P16" s="469"/>
      <c r="Q16" s="469"/>
      <c r="R16" s="469"/>
      <c r="S16" s="469"/>
    </row>
    <row r="17" spans="1:19" ht="54" customHeight="1" x14ac:dyDescent="0.25">
      <c r="A17" s="470"/>
      <c r="B17" s="24" t="s">
        <v>562</v>
      </c>
      <c r="C17" s="336">
        <v>3.6999999999999998E-5</v>
      </c>
      <c r="D17" s="23" t="s">
        <v>557</v>
      </c>
      <c r="E17" s="1"/>
      <c r="F17" s="1"/>
      <c r="H17">
        <f>0.0037/100</f>
        <v>3.7000000000000005E-5</v>
      </c>
    </row>
    <row r="18" spans="1:19" ht="54" customHeight="1" x14ac:dyDescent="0.25">
      <c r="A18" s="470"/>
      <c r="B18" s="338" t="s">
        <v>563</v>
      </c>
      <c r="C18" s="339">
        <f>H14+H17</f>
        <v>4.7000000000000004E-5</v>
      </c>
      <c r="D18" s="23" t="s">
        <v>564</v>
      </c>
      <c r="E18" s="1"/>
      <c r="F18" s="1"/>
    </row>
    <row r="19" spans="1:19" ht="31.5" customHeight="1" x14ac:dyDescent="0.25">
      <c r="A19" s="470"/>
      <c r="B19" s="209" t="s">
        <v>565</v>
      </c>
      <c r="C19" s="210" t="s">
        <v>566</v>
      </c>
      <c r="D19" s="23"/>
      <c r="E19" s="1"/>
      <c r="F19" s="1"/>
    </row>
    <row r="20" spans="1:19" x14ac:dyDescent="0.25">
      <c r="A20" s="470"/>
      <c r="B20" s="24" t="s">
        <v>567</v>
      </c>
      <c r="C20" s="342" t="s">
        <v>568</v>
      </c>
      <c r="D20" s="23" t="s">
        <v>569</v>
      </c>
      <c r="E20" s="1"/>
      <c r="F20" s="1"/>
    </row>
    <row r="21" spans="1:19" x14ac:dyDescent="0.25">
      <c r="A21" s="470"/>
      <c r="B21" s="24" t="s">
        <v>570</v>
      </c>
      <c r="C21" s="343" t="s">
        <v>571</v>
      </c>
      <c r="D21" s="23" t="s">
        <v>572</v>
      </c>
      <c r="E21" s="1"/>
      <c r="F21" s="1"/>
    </row>
    <row r="22" spans="1:19" ht="32.25" customHeight="1" x14ac:dyDescent="0.25">
      <c r="A22" s="470"/>
      <c r="B22" s="24" t="s">
        <v>573</v>
      </c>
      <c r="C22" s="344" t="s">
        <v>574</v>
      </c>
      <c r="D22" s="23" t="s">
        <v>575</v>
      </c>
      <c r="E22" s="1"/>
      <c r="F22" s="1"/>
    </row>
    <row r="23" spans="1:19" x14ac:dyDescent="0.25">
      <c r="A23" s="470"/>
      <c r="B23" s="209" t="s">
        <v>576</v>
      </c>
      <c r="C23" s="211" t="s">
        <v>577</v>
      </c>
      <c r="D23" s="23"/>
      <c r="E23" s="1"/>
      <c r="F23" s="212" t="s">
        <v>578</v>
      </c>
    </row>
    <row r="24" spans="1:19" x14ac:dyDescent="0.25">
      <c r="A24" s="470"/>
      <c r="B24" s="24" t="s">
        <v>579</v>
      </c>
      <c r="C24" s="21">
        <v>4</v>
      </c>
      <c r="D24" s="23" t="s">
        <v>580</v>
      </c>
      <c r="E24" s="1"/>
      <c r="F24" s="4">
        <v>1</v>
      </c>
    </row>
    <row r="25" spans="1:19" x14ac:dyDescent="0.25">
      <c r="A25" s="470"/>
      <c r="B25" s="24" t="s">
        <v>581</v>
      </c>
      <c r="C25" s="21">
        <v>12</v>
      </c>
      <c r="D25" s="474" t="s">
        <v>582</v>
      </c>
      <c r="E25" s="474"/>
      <c r="F25" s="4">
        <f>12*30</f>
        <v>360</v>
      </c>
    </row>
    <row r="26" spans="1:19" ht="30" x14ac:dyDescent="0.25">
      <c r="A26" s="470"/>
      <c r="B26" s="24" t="s">
        <v>583</v>
      </c>
      <c r="C26" s="21">
        <v>1</v>
      </c>
      <c r="D26" s="23"/>
      <c r="E26" s="1"/>
      <c r="F26" s="4">
        <f>C26*30</f>
        <v>30</v>
      </c>
      <c r="G26" s="343">
        <f>(F26+F27)/2</f>
        <v>67.5</v>
      </c>
      <c r="H26" s="23" t="s">
        <v>584</v>
      </c>
    </row>
    <row r="27" spans="1:19" ht="30" x14ac:dyDescent="0.25">
      <c r="A27" s="470"/>
      <c r="B27" s="24" t="s">
        <v>585</v>
      </c>
      <c r="C27" s="21">
        <v>3.5</v>
      </c>
      <c r="D27" s="474" t="s">
        <v>586</v>
      </c>
      <c r="E27" s="474"/>
      <c r="F27" s="4">
        <f>C27*30</f>
        <v>105</v>
      </c>
    </row>
    <row r="28" spans="1:19" ht="30" x14ac:dyDescent="0.25">
      <c r="A28" s="470"/>
      <c r="B28" s="24" t="s">
        <v>587</v>
      </c>
      <c r="C28" s="21">
        <v>3</v>
      </c>
      <c r="D28" s="21"/>
      <c r="E28" s="21"/>
      <c r="F28" s="343">
        <f>C28*30</f>
        <v>90</v>
      </c>
    </row>
    <row r="29" spans="1:19" x14ac:dyDescent="0.25">
      <c r="A29" s="470"/>
      <c r="B29" s="12" t="s">
        <v>588</v>
      </c>
      <c r="C29" s="2" t="s">
        <v>541</v>
      </c>
      <c r="D29" t="s">
        <v>589</v>
      </c>
      <c r="E29" s="1"/>
      <c r="F29" s="1"/>
    </row>
    <row r="30" spans="1:19" s="23" customFormat="1" ht="32.25" customHeight="1" x14ac:dyDescent="0.25">
      <c r="A30" s="470"/>
      <c r="B30" s="24" t="s">
        <v>590</v>
      </c>
      <c r="C30" s="340">
        <v>2.2000000000000001E-4</v>
      </c>
      <c r="D30" s="469" t="s">
        <v>591</v>
      </c>
      <c r="E30" s="469"/>
      <c r="F30" s="469"/>
      <c r="G30" s="469"/>
      <c r="H30" s="469"/>
      <c r="I30" s="469"/>
      <c r="J30" s="469"/>
      <c r="K30" s="469"/>
      <c r="L30" s="469"/>
      <c r="M30" s="469"/>
      <c r="N30" s="469"/>
      <c r="O30" s="469"/>
      <c r="P30" s="469"/>
      <c r="Q30" s="469"/>
      <c r="R30" s="469"/>
      <c r="S30" s="469"/>
    </row>
    <row r="31" spans="1:19" s="23" customFormat="1" ht="44.25" customHeight="1" x14ac:dyDescent="0.25">
      <c r="A31" s="470"/>
      <c r="B31" s="24" t="s">
        <v>592</v>
      </c>
      <c r="C31" s="340">
        <v>1.7000000000000001E-4</v>
      </c>
      <c r="D31" s="469" t="s">
        <v>593</v>
      </c>
      <c r="E31" s="469"/>
      <c r="F31" s="469"/>
      <c r="G31" s="469"/>
      <c r="H31" s="469"/>
      <c r="I31" s="469"/>
      <c r="J31" s="469"/>
      <c r="K31" s="469"/>
      <c r="L31" s="469"/>
      <c r="M31" s="469"/>
      <c r="N31" s="469"/>
      <c r="O31" s="469"/>
      <c r="P31" s="469"/>
      <c r="Q31" s="469"/>
      <c r="R31" s="469"/>
      <c r="S31" s="469"/>
    </row>
    <row r="32" spans="1:19" ht="30" x14ac:dyDescent="0.25">
      <c r="A32" s="470"/>
      <c r="B32" s="24" t="s">
        <v>594</v>
      </c>
      <c r="C32" s="336">
        <v>2.1999999999999999E-5</v>
      </c>
      <c r="D32" s="469" t="s">
        <v>595</v>
      </c>
      <c r="E32" s="469"/>
      <c r="F32" s="469"/>
      <c r="G32" s="469"/>
      <c r="H32" s="469"/>
      <c r="I32" s="469"/>
      <c r="J32" s="23" t="s">
        <v>596</v>
      </c>
    </row>
    <row r="33" spans="1:15" ht="30" x14ac:dyDescent="0.25">
      <c r="A33" s="470"/>
      <c r="B33" s="8" t="s">
        <v>597</v>
      </c>
      <c r="C33" s="337">
        <v>1.7E-5</v>
      </c>
      <c r="E33" s="1"/>
      <c r="F33" s="1"/>
    </row>
    <row r="34" spans="1:15" x14ac:dyDescent="0.25">
      <c r="A34" s="470"/>
      <c r="B34" s="209" t="s">
        <v>565</v>
      </c>
      <c r="C34" s="210" t="s">
        <v>566</v>
      </c>
      <c r="E34" s="1"/>
      <c r="F34" s="1"/>
    </row>
    <row r="35" spans="1:15" ht="60" x14ac:dyDescent="0.25">
      <c r="A35" s="470"/>
      <c r="B35" s="8" t="s">
        <v>598</v>
      </c>
      <c r="C35" s="345" t="s">
        <v>383</v>
      </c>
      <c r="E35" s="1"/>
      <c r="F35" s="1"/>
    </row>
    <row r="36" spans="1:15" x14ac:dyDescent="0.25">
      <c r="A36" s="470"/>
      <c r="B36" s="8" t="s">
        <v>599</v>
      </c>
      <c r="C36" s="213">
        <v>0.68</v>
      </c>
      <c r="D36" t="s">
        <v>600</v>
      </c>
      <c r="E36" s="1"/>
      <c r="F36" s="214">
        <f>500000000*0.05/100/1000/365</f>
        <v>0.68493150684931503</v>
      </c>
    </row>
    <row r="37" spans="1:15" x14ac:dyDescent="0.25">
      <c r="A37" s="470"/>
      <c r="B37" s="8" t="s">
        <v>601</v>
      </c>
      <c r="C37" s="213">
        <v>13.7</v>
      </c>
      <c r="D37" t="s">
        <v>602</v>
      </c>
      <c r="E37" s="1"/>
      <c r="F37" s="214">
        <f>500000000*1/100/1000/365</f>
        <v>13.698630136986301</v>
      </c>
    </row>
    <row r="38" spans="1:15" x14ac:dyDescent="0.25">
      <c r="A38" s="470"/>
      <c r="B38" s="209" t="s">
        <v>576</v>
      </c>
      <c r="C38" s="211" t="s">
        <v>577</v>
      </c>
      <c r="E38" s="1"/>
      <c r="F38" s="212" t="s">
        <v>578</v>
      </c>
    </row>
    <row r="39" spans="1:15" ht="30" x14ac:dyDescent="0.25">
      <c r="A39" s="470"/>
      <c r="B39" s="8" t="s">
        <v>603</v>
      </c>
      <c r="C39" s="345" t="s">
        <v>440</v>
      </c>
      <c r="E39" s="1"/>
      <c r="F39" s="50" t="str">
        <f>C39</f>
        <v>continuous</v>
      </c>
    </row>
    <row r="40" spans="1:15" ht="30" x14ac:dyDescent="0.25">
      <c r="A40" s="470"/>
      <c r="B40" s="8" t="s">
        <v>604</v>
      </c>
      <c r="C40" s="213">
        <v>4.5</v>
      </c>
      <c r="E40" s="1"/>
      <c r="F40" s="4">
        <f>C40*30</f>
        <v>135</v>
      </c>
      <c r="I40" s="475" t="s">
        <v>605</v>
      </c>
      <c r="J40" s="475"/>
      <c r="K40" s="475"/>
      <c r="L40" s="475"/>
      <c r="M40" s="346"/>
    </row>
    <row r="41" spans="1:15" ht="15.75" thickBot="1" x14ac:dyDescent="0.3">
      <c r="A41" s="470"/>
      <c r="E41" s="1"/>
      <c r="F41" s="1"/>
    </row>
    <row r="42" spans="1:15" ht="15.75" thickBot="1" x14ac:dyDescent="0.3">
      <c r="B42" s="480" t="s">
        <v>606</v>
      </c>
      <c r="C42" s="481"/>
      <c r="D42" s="481"/>
      <c r="E42" s="481"/>
      <c r="F42" s="481"/>
      <c r="G42" s="482"/>
    </row>
    <row r="43" spans="1:15" ht="39" customHeight="1" x14ac:dyDescent="0.25">
      <c r="B43" s="483" t="s">
        <v>319</v>
      </c>
      <c r="C43" s="478"/>
      <c r="D43" s="34" t="s">
        <v>607</v>
      </c>
      <c r="E43" s="438" t="s">
        <v>323</v>
      </c>
      <c r="F43" s="438"/>
      <c r="G43" s="439"/>
      <c r="N43" s="24"/>
      <c r="O43" s="23"/>
    </row>
    <row r="44" spans="1:15" x14ac:dyDescent="0.25">
      <c r="B44" s="483"/>
      <c r="C44" s="478"/>
      <c r="D44" s="34" t="s">
        <v>19</v>
      </c>
      <c r="E44" s="441" t="s">
        <v>340</v>
      </c>
      <c r="F44" s="441"/>
      <c r="G44" s="442"/>
    </row>
    <row r="45" spans="1:15" ht="60" x14ac:dyDescent="0.25">
      <c r="B45" s="483"/>
      <c r="C45" s="478"/>
      <c r="D45" s="34" t="s">
        <v>364</v>
      </c>
      <c r="E45" s="34" t="s">
        <v>365</v>
      </c>
      <c r="F45" s="34" t="s">
        <v>366</v>
      </c>
      <c r="G45" s="40" t="s">
        <v>367</v>
      </c>
    </row>
    <row r="46" spans="1:15" x14ac:dyDescent="0.25">
      <c r="B46" s="476" t="s">
        <v>368</v>
      </c>
      <c r="C46" s="478" t="s">
        <v>369</v>
      </c>
      <c r="D46" s="129" t="s">
        <v>370</v>
      </c>
      <c r="E46" s="215">
        <v>5.0000000000000002E-5</v>
      </c>
      <c r="F46" s="215" t="s">
        <v>372</v>
      </c>
      <c r="G46" s="215" t="s">
        <v>373</v>
      </c>
      <c r="H46" s="220" t="s">
        <v>608</v>
      </c>
    </row>
    <row r="47" spans="1:15" ht="30" x14ac:dyDescent="0.25">
      <c r="B47" s="476"/>
      <c r="C47" s="478"/>
      <c r="D47" s="132" t="s">
        <v>380</v>
      </c>
      <c r="E47" s="59">
        <f>E51</f>
        <v>4.7000000000000004E-5</v>
      </c>
      <c r="F47" s="59" t="str">
        <f>F51</f>
        <v>4 to 8</v>
      </c>
      <c r="G47" s="40">
        <v>67.5</v>
      </c>
      <c r="H47" s="3"/>
    </row>
    <row r="48" spans="1:15" ht="30" x14ac:dyDescent="0.25">
      <c r="B48" s="476"/>
      <c r="C48" s="478"/>
      <c r="D48" s="132" t="s">
        <v>394</v>
      </c>
      <c r="E48" s="216"/>
      <c r="F48" s="217"/>
      <c r="G48" s="218"/>
    </row>
    <row r="49" spans="2:12" ht="30" x14ac:dyDescent="0.25">
      <c r="B49" s="476"/>
      <c r="C49" s="478"/>
      <c r="D49" s="129" t="s">
        <v>405</v>
      </c>
      <c r="E49" s="39"/>
      <c r="F49" s="39"/>
      <c r="G49" s="43"/>
      <c r="L49" t="s">
        <v>435</v>
      </c>
    </row>
    <row r="50" spans="2:12" x14ac:dyDescent="0.25">
      <c r="B50" s="476"/>
      <c r="C50" s="462" t="s">
        <v>421</v>
      </c>
      <c r="D50" s="132" t="s">
        <v>422</v>
      </c>
      <c r="E50" s="59"/>
      <c r="F50" s="46"/>
      <c r="G50" s="40"/>
    </row>
    <row r="51" spans="2:12" ht="30" x14ac:dyDescent="0.25">
      <c r="B51" s="476"/>
      <c r="C51" s="462"/>
      <c r="D51" s="132" t="s">
        <v>428</v>
      </c>
      <c r="E51" s="59">
        <f>C18</f>
        <v>4.7000000000000004E-5</v>
      </c>
      <c r="F51" s="46" t="s">
        <v>384</v>
      </c>
      <c r="G51" s="40">
        <v>67.5</v>
      </c>
    </row>
    <row r="52" spans="2:12" ht="30" x14ac:dyDescent="0.25">
      <c r="B52" s="476"/>
      <c r="C52" s="462"/>
      <c r="D52" s="132" t="s">
        <v>429</v>
      </c>
      <c r="E52" s="91"/>
      <c r="F52" s="38"/>
      <c r="G52" s="42"/>
    </row>
    <row r="53" spans="2:12" ht="30" x14ac:dyDescent="0.25">
      <c r="B53" s="476"/>
      <c r="C53" s="462"/>
      <c r="D53" s="132" t="s">
        <v>430</v>
      </c>
      <c r="E53" s="91"/>
      <c r="F53" s="38"/>
      <c r="G53" s="42"/>
    </row>
    <row r="54" spans="2:12" x14ac:dyDescent="0.25">
      <c r="B54" s="476"/>
      <c r="C54" s="462"/>
      <c r="D54" s="132" t="s">
        <v>432</v>
      </c>
      <c r="E54" s="219">
        <f>L11</f>
        <v>5.0000000000000002E-5</v>
      </c>
      <c r="F54" s="219" t="s">
        <v>372</v>
      </c>
      <c r="G54" s="219" t="s">
        <v>373</v>
      </c>
      <c r="H54" s="220"/>
    </row>
    <row r="55" spans="2:12" ht="30" x14ac:dyDescent="0.25">
      <c r="B55" s="476"/>
      <c r="C55" s="462"/>
      <c r="D55" s="132" t="s">
        <v>434</v>
      </c>
      <c r="E55" s="219"/>
      <c r="F55" s="34"/>
      <c r="G55" s="40"/>
    </row>
    <row r="56" spans="2:12" ht="30" x14ac:dyDescent="0.25">
      <c r="B56" s="476"/>
      <c r="C56" s="462"/>
      <c r="D56" s="132" t="s">
        <v>436</v>
      </c>
      <c r="E56" s="216"/>
      <c r="F56" s="217"/>
      <c r="G56" s="218"/>
    </row>
    <row r="57" spans="2:12" ht="30" x14ac:dyDescent="0.25">
      <c r="B57" s="476"/>
      <c r="C57" s="462"/>
      <c r="D57" s="132" t="s">
        <v>437</v>
      </c>
      <c r="E57" s="91"/>
      <c r="F57" s="38"/>
      <c r="G57" s="42"/>
    </row>
    <row r="58" spans="2:12" x14ac:dyDescent="0.25">
      <c r="B58" s="476" t="s">
        <v>438</v>
      </c>
      <c r="C58" s="478" t="s">
        <v>369</v>
      </c>
      <c r="D58" s="129" t="s">
        <v>370</v>
      </c>
      <c r="E58" s="59">
        <v>1.7000000000000001E-4</v>
      </c>
      <c r="F58" s="34">
        <v>0.68</v>
      </c>
      <c r="G58" s="40" t="s">
        <v>373</v>
      </c>
      <c r="H58" s="3"/>
    </row>
    <row r="59" spans="2:12" ht="30" x14ac:dyDescent="0.25">
      <c r="B59" s="476"/>
      <c r="C59" s="478"/>
      <c r="D59" s="132" t="s">
        <v>380</v>
      </c>
      <c r="E59" s="59">
        <v>2.2000000000000001E-4</v>
      </c>
      <c r="F59" s="34">
        <v>13.7</v>
      </c>
      <c r="G59" s="40">
        <v>135</v>
      </c>
      <c r="H59" s="3"/>
    </row>
    <row r="60" spans="2:12" ht="30" x14ac:dyDescent="0.25">
      <c r="B60" s="476"/>
      <c r="C60" s="478"/>
      <c r="D60" s="132" t="s">
        <v>394</v>
      </c>
      <c r="E60" s="59"/>
      <c r="F60" s="34"/>
      <c r="G60" s="40"/>
    </row>
    <row r="61" spans="2:12" ht="30" x14ac:dyDescent="0.25">
      <c r="B61" s="476"/>
      <c r="C61" s="478"/>
      <c r="D61" s="129" t="s">
        <v>405</v>
      </c>
      <c r="E61" s="59"/>
      <c r="F61" s="34"/>
      <c r="G61" s="40"/>
    </row>
    <row r="62" spans="2:12" ht="30" x14ac:dyDescent="0.25">
      <c r="B62" s="476"/>
      <c r="C62" s="462" t="s">
        <v>421</v>
      </c>
      <c r="D62" s="132" t="s">
        <v>453</v>
      </c>
      <c r="E62" s="91"/>
      <c r="F62" s="38"/>
      <c r="G62" s="42"/>
    </row>
    <row r="63" spans="2:12" ht="30" x14ac:dyDescent="0.25">
      <c r="B63" s="476"/>
      <c r="C63" s="462"/>
      <c r="D63" s="132" t="s">
        <v>428</v>
      </c>
      <c r="E63" s="91"/>
      <c r="F63" s="38"/>
      <c r="G63" s="42"/>
    </row>
    <row r="64" spans="2:12" ht="30" x14ac:dyDescent="0.25">
      <c r="B64" s="476"/>
      <c r="C64" s="462"/>
      <c r="D64" s="132" t="s">
        <v>429</v>
      </c>
      <c r="E64" s="91"/>
      <c r="F64" s="38"/>
      <c r="G64" s="42"/>
    </row>
    <row r="65" spans="2:7" ht="30" x14ac:dyDescent="0.25">
      <c r="B65" s="476"/>
      <c r="C65" s="462"/>
      <c r="D65" s="132" t="s">
        <v>430</v>
      </c>
      <c r="E65" s="91"/>
      <c r="F65" s="38"/>
      <c r="G65" s="42"/>
    </row>
    <row r="66" spans="2:7" x14ac:dyDescent="0.25">
      <c r="B66" s="476"/>
      <c r="C66" s="462"/>
      <c r="D66" s="132" t="s">
        <v>432</v>
      </c>
      <c r="E66" s="91"/>
      <c r="F66" s="38"/>
      <c r="G66" s="42"/>
    </row>
    <row r="67" spans="2:7" ht="30" x14ac:dyDescent="0.25">
      <c r="B67" s="476"/>
      <c r="C67" s="462"/>
      <c r="D67" s="132" t="s">
        <v>434</v>
      </c>
      <c r="E67" s="91"/>
      <c r="F67" s="38"/>
      <c r="G67" s="42"/>
    </row>
    <row r="68" spans="2:7" ht="30" x14ac:dyDescent="0.25">
      <c r="B68" s="476"/>
      <c r="C68" s="462"/>
      <c r="D68" s="132" t="s">
        <v>436</v>
      </c>
      <c r="E68" s="91"/>
      <c r="F68" s="38"/>
      <c r="G68" s="42"/>
    </row>
    <row r="69" spans="2:7" ht="30.75" thickBot="1" x14ac:dyDescent="0.3">
      <c r="B69" s="477"/>
      <c r="C69" s="479"/>
      <c r="D69" s="194" t="s">
        <v>437</v>
      </c>
      <c r="E69" s="92"/>
      <c r="F69" s="44"/>
      <c r="G69" s="45"/>
    </row>
  </sheetData>
  <mergeCells count="23">
    <mergeCell ref="B58:B69"/>
    <mergeCell ref="C58:C61"/>
    <mergeCell ref="C62:C69"/>
    <mergeCell ref="B42:G42"/>
    <mergeCell ref="B43:C45"/>
    <mergeCell ref="E43:G43"/>
    <mergeCell ref="E44:G44"/>
    <mergeCell ref="B46:B57"/>
    <mergeCell ref="C46:C49"/>
    <mergeCell ref="C50:C57"/>
    <mergeCell ref="D31:S31"/>
    <mergeCell ref="A3:A41"/>
    <mergeCell ref="D7:D10"/>
    <mergeCell ref="D12:S12"/>
    <mergeCell ref="D13:S13"/>
    <mergeCell ref="D15:S15"/>
    <mergeCell ref="D16:S16"/>
    <mergeCell ref="D30:S30"/>
    <mergeCell ref="D11:K11"/>
    <mergeCell ref="D25:E25"/>
    <mergeCell ref="D27:E27"/>
    <mergeCell ref="I40:L40"/>
    <mergeCell ref="D32:I32"/>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4E42-690F-4594-A5E3-15B200AE2E37}">
  <sheetPr>
    <tabColor theme="9" tint="0.59999389629810485"/>
  </sheetPr>
  <dimension ref="A1:M51"/>
  <sheetViews>
    <sheetView zoomScale="70" zoomScaleNormal="70" workbookViewId="0">
      <selection activeCell="B2" sqref="B2"/>
    </sheetView>
  </sheetViews>
  <sheetFormatPr defaultRowHeight="15" x14ac:dyDescent="0.25"/>
  <cols>
    <col min="2" max="2" width="61" customWidth="1"/>
    <col min="3" max="3" width="31" customWidth="1"/>
    <col min="4" max="4" width="47" bestFit="1" customWidth="1"/>
    <col min="5" max="5" width="24.42578125" customWidth="1"/>
    <col min="6" max="6" width="11.85546875" customWidth="1"/>
    <col min="7" max="7" width="19.7109375" customWidth="1"/>
    <col min="8" max="8" width="11.5703125" customWidth="1"/>
    <col min="10" max="10" width="11" customWidth="1"/>
  </cols>
  <sheetData>
    <row r="1" spans="1:10" ht="35.25" customHeight="1" x14ac:dyDescent="0.25">
      <c r="A1" s="485" t="s">
        <v>609</v>
      </c>
      <c r="B1" s="484" t="s">
        <v>610</v>
      </c>
      <c r="C1" s="484"/>
      <c r="D1" s="348" t="s">
        <v>611</v>
      </c>
      <c r="E1" s="1"/>
      <c r="F1" s="1"/>
    </row>
    <row r="2" spans="1:10" x14ac:dyDescent="0.25">
      <c r="A2" s="485"/>
      <c r="B2" s="5"/>
      <c r="E2" s="1"/>
      <c r="F2" s="1"/>
    </row>
    <row r="3" spans="1:10" ht="45" x14ac:dyDescent="0.25">
      <c r="A3" s="485"/>
      <c r="B3" s="7" t="s">
        <v>612</v>
      </c>
      <c r="C3" s="16" t="s">
        <v>613</v>
      </c>
      <c r="D3" s="16" t="s">
        <v>541</v>
      </c>
      <c r="E3" s="16" t="s">
        <v>614</v>
      </c>
      <c r="F3" s="16" t="s">
        <v>615</v>
      </c>
    </row>
    <row r="4" spans="1:10" ht="15" customHeight="1" x14ac:dyDescent="0.25">
      <c r="A4" s="485"/>
      <c r="B4" t="s">
        <v>616</v>
      </c>
      <c r="C4" s="17">
        <v>5.0000000000000001E-3</v>
      </c>
      <c r="D4" s="18">
        <f t="shared" ref="D4:D9" si="0">C4/500</f>
        <v>1.0000000000000001E-5</v>
      </c>
      <c r="E4" s="347">
        <v>50</v>
      </c>
      <c r="F4" s="347" t="s">
        <v>617</v>
      </c>
      <c r="G4" s="474" t="s">
        <v>618</v>
      </c>
      <c r="H4" s="474"/>
      <c r="I4" s="474"/>
      <c r="J4" s="349">
        <f>D4</f>
        <v>1.0000000000000001E-5</v>
      </c>
    </row>
    <row r="5" spans="1:10" x14ac:dyDescent="0.25">
      <c r="A5" s="485"/>
      <c r="B5" t="s">
        <v>619</v>
      </c>
      <c r="C5" s="17">
        <v>1.5E-3</v>
      </c>
      <c r="D5" s="18">
        <f t="shared" si="0"/>
        <v>3.0000000000000001E-6</v>
      </c>
      <c r="E5" s="347">
        <v>5000</v>
      </c>
      <c r="F5" s="347" t="s">
        <v>617</v>
      </c>
      <c r="G5" s="474"/>
      <c r="H5" s="474"/>
      <c r="I5" s="474"/>
      <c r="J5" s="349">
        <f>D5</f>
        <v>3.0000000000000001E-6</v>
      </c>
    </row>
    <row r="6" spans="1:10" x14ac:dyDescent="0.25">
      <c r="A6" s="485"/>
      <c r="B6" t="s">
        <v>620</v>
      </c>
      <c r="C6" s="17">
        <v>1E-3</v>
      </c>
      <c r="D6" s="18">
        <f t="shared" si="0"/>
        <v>1.9999999999999999E-6</v>
      </c>
      <c r="E6" s="347">
        <v>3000</v>
      </c>
      <c r="F6" s="347" t="s">
        <v>621</v>
      </c>
      <c r="G6" s="474"/>
      <c r="H6" s="474"/>
      <c r="I6" s="474"/>
      <c r="J6" s="349">
        <f>D6</f>
        <v>1.9999999999999999E-6</v>
      </c>
    </row>
    <row r="7" spans="1:10" x14ac:dyDescent="0.25">
      <c r="A7" s="485"/>
      <c r="B7" t="s">
        <v>622</v>
      </c>
      <c r="C7" s="17">
        <v>5.0000000000000001E-3</v>
      </c>
      <c r="D7" s="18">
        <f>C7/100</f>
        <v>5.0000000000000002E-5</v>
      </c>
      <c r="E7" s="347">
        <v>7</v>
      </c>
      <c r="F7" s="347" t="s">
        <v>373</v>
      </c>
      <c r="G7" s="474"/>
      <c r="H7" s="474"/>
      <c r="I7" s="474"/>
      <c r="J7" s="349">
        <f t="shared" ref="J7" si="1">D7</f>
        <v>5.0000000000000002E-5</v>
      </c>
    </row>
    <row r="8" spans="1:10" x14ac:dyDescent="0.25">
      <c r="A8" s="485"/>
      <c r="B8" t="s">
        <v>623</v>
      </c>
      <c r="C8" s="20">
        <v>5.0000000000000002E-5</v>
      </c>
      <c r="D8" s="18">
        <f t="shared" si="0"/>
        <v>1.0000000000000001E-7</v>
      </c>
      <c r="E8" s="1">
        <v>6000</v>
      </c>
      <c r="F8" s="1" t="s">
        <v>624</v>
      </c>
      <c r="G8" s="474"/>
      <c r="H8" s="474"/>
      <c r="I8" s="474"/>
    </row>
    <row r="9" spans="1:10" x14ac:dyDescent="0.25">
      <c r="A9" s="485"/>
      <c r="B9" t="s">
        <v>625</v>
      </c>
      <c r="C9" s="17">
        <v>2.5000000000000001E-3</v>
      </c>
      <c r="D9" s="18">
        <f t="shared" si="0"/>
        <v>5.0000000000000004E-6</v>
      </c>
      <c r="E9" s="1">
        <v>100</v>
      </c>
      <c r="F9" s="1" t="s">
        <v>626</v>
      </c>
      <c r="G9" s="474"/>
      <c r="H9" s="474"/>
      <c r="I9" s="474"/>
    </row>
    <row r="10" spans="1:10" ht="26.25" customHeight="1" x14ac:dyDescent="0.25">
      <c r="A10" s="485"/>
      <c r="E10" s="1"/>
      <c r="F10" s="1"/>
      <c r="G10" s="487" t="s">
        <v>627</v>
      </c>
      <c r="H10" s="487"/>
      <c r="I10" s="487"/>
      <c r="J10" s="487"/>
    </row>
    <row r="11" spans="1:10" x14ac:dyDescent="0.25">
      <c r="A11" s="485"/>
      <c r="E11" s="1"/>
      <c r="F11" s="1"/>
    </row>
    <row r="12" spans="1:10" ht="45" x14ac:dyDescent="0.25">
      <c r="A12" s="485"/>
      <c r="B12" s="7" t="s">
        <v>628</v>
      </c>
      <c r="C12" s="16" t="s">
        <v>613</v>
      </c>
      <c r="D12" s="16" t="s">
        <v>541</v>
      </c>
      <c r="E12" s="16" t="s">
        <v>614</v>
      </c>
      <c r="F12" s="16" t="s">
        <v>615</v>
      </c>
    </row>
    <row r="13" spans="1:10" x14ac:dyDescent="0.25">
      <c r="A13" s="485"/>
      <c r="B13" t="s">
        <v>616</v>
      </c>
      <c r="C13" s="17">
        <v>5.0000000000000001E-3</v>
      </c>
      <c r="D13" s="18">
        <f>C13/500</f>
        <v>1.0000000000000001E-5</v>
      </c>
      <c r="E13" s="1"/>
      <c r="F13" s="1" t="s">
        <v>373</v>
      </c>
      <c r="G13" s="469" t="s">
        <v>629</v>
      </c>
      <c r="H13" s="349">
        <f>D13</f>
        <v>1.0000000000000001E-5</v>
      </c>
    </row>
    <row r="14" spans="1:10" x14ac:dyDescent="0.25">
      <c r="A14" s="485"/>
      <c r="B14" t="s">
        <v>619</v>
      </c>
      <c r="C14" s="17">
        <v>5.0000000000000001E-4</v>
      </c>
      <c r="D14" s="18">
        <f>C14/500</f>
        <v>9.9999999999999995E-7</v>
      </c>
      <c r="E14" s="1"/>
      <c r="F14" s="1"/>
      <c r="G14" s="469"/>
      <c r="H14" s="89">
        <f>D14</f>
        <v>9.9999999999999995E-7</v>
      </c>
    </row>
    <row r="15" spans="1:10" x14ac:dyDescent="0.25">
      <c r="A15" s="485"/>
      <c r="B15" t="s">
        <v>620</v>
      </c>
      <c r="C15" s="17"/>
      <c r="D15" s="18"/>
      <c r="E15" s="1"/>
      <c r="F15" s="1"/>
      <c r="G15" s="469"/>
    </row>
    <row r="16" spans="1:10" x14ac:dyDescent="0.25">
      <c r="A16" s="485"/>
      <c r="B16" t="s">
        <v>622</v>
      </c>
      <c r="C16" s="17">
        <v>2E-3</v>
      </c>
      <c r="D16" s="18">
        <f>C16/500</f>
        <v>3.9999999999999998E-6</v>
      </c>
      <c r="E16" s="1">
        <v>7</v>
      </c>
      <c r="F16" s="1" t="s">
        <v>373</v>
      </c>
      <c r="G16" s="469"/>
      <c r="H16" s="349">
        <f>D16</f>
        <v>3.9999999999999998E-6</v>
      </c>
    </row>
    <row r="17" spans="1:13" x14ac:dyDescent="0.25">
      <c r="A17" s="485"/>
      <c r="B17" t="s">
        <v>623</v>
      </c>
      <c r="C17" s="17"/>
      <c r="D17" s="18"/>
      <c r="E17" s="1"/>
      <c r="F17" s="1"/>
      <c r="G17" s="469"/>
    </row>
    <row r="18" spans="1:13" x14ac:dyDescent="0.25">
      <c r="A18" s="485"/>
      <c r="B18" t="s">
        <v>625</v>
      </c>
      <c r="C18" s="17">
        <v>2.5000000000000001E-3</v>
      </c>
      <c r="D18" s="18">
        <f>C18/500</f>
        <v>5.0000000000000004E-6</v>
      </c>
      <c r="E18" s="1"/>
      <c r="F18" s="1"/>
      <c r="G18" s="469"/>
    </row>
    <row r="19" spans="1:13" x14ac:dyDescent="0.25">
      <c r="A19" s="485"/>
      <c r="C19" s="17"/>
      <c r="D19" s="18"/>
      <c r="E19" s="1" t="s">
        <v>435</v>
      </c>
      <c r="F19" s="1"/>
      <c r="G19" s="19"/>
    </row>
    <row r="20" spans="1:13" ht="30" x14ac:dyDescent="0.25">
      <c r="A20" s="485"/>
      <c r="B20" s="47" t="s">
        <v>630</v>
      </c>
      <c r="C20" s="48"/>
      <c r="D20" s="48"/>
      <c r="E20" s="49"/>
      <c r="F20" s="49"/>
      <c r="G20" s="48"/>
      <c r="H20" s="48"/>
      <c r="I20" s="48"/>
      <c r="J20" s="48"/>
      <c r="K20" s="48"/>
    </row>
    <row r="21" spans="1:13" x14ac:dyDescent="0.25">
      <c r="A21" s="485"/>
      <c r="B21" s="48"/>
      <c r="C21" s="48"/>
      <c r="D21" s="48"/>
      <c r="E21" s="49"/>
      <c r="F21" s="49"/>
      <c r="G21" s="48"/>
      <c r="H21" s="48"/>
      <c r="I21" s="48"/>
      <c r="J21" s="48"/>
      <c r="K21" s="48"/>
    </row>
    <row r="22" spans="1:13" x14ac:dyDescent="0.25">
      <c r="A22" s="15"/>
      <c r="E22" s="1"/>
      <c r="F22" s="1"/>
    </row>
    <row r="24" spans="1:13" x14ac:dyDescent="0.25">
      <c r="B24" s="480" t="s">
        <v>606</v>
      </c>
      <c r="C24" s="481"/>
      <c r="D24" s="481"/>
      <c r="E24" s="481"/>
      <c r="F24" s="481"/>
      <c r="G24" s="482"/>
      <c r="I24" s="475" t="s">
        <v>605</v>
      </c>
      <c r="J24" s="475"/>
      <c r="K24" s="475"/>
      <c r="L24" s="475"/>
      <c r="M24" s="346"/>
    </row>
    <row r="25" spans="1:13" ht="41.25" customHeight="1" x14ac:dyDescent="0.25">
      <c r="B25" s="483" t="s">
        <v>319</v>
      </c>
      <c r="C25" s="478"/>
      <c r="D25" s="34" t="s">
        <v>607</v>
      </c>
      <c r="E25" s="462" t="s">
        <v>631</v>
      </c>
      <c r="F25" s="462"/>
      <c r="G25" s="486"/>
    </row>
    <row r="26" spans="1:13" x14ac:dyDescent="0.25">
      <c r="B26" s="483"/>
      <c r="C26" s="478"/>
      <c r="D26" s="34" t="s">
        <v>19</v>
      </c>
      <c r="E26" s="462" t="s">
        <v>632</v>
      </c>
      <c r="F26" s="462"/>
      <c r="G26" s="486"/>
    </row>
    <row r="27" spans="1:13" ht="45" x14ac:dyDescent="0.25">
      <c r="B27" s="483"/>
      <c r="C27" s="478"/>
      <c r="D27" s="34" t="s">
        <v>364</v>
      </c>
      <c r="E27" s="34" t="s">
        <v>365</v>
      </c>
      <c r="F27" s="34" t="s">
        <v>366</v>
      </c>
      <c r="G27" s="40" t="s">
        <v>367</v>
      </c>
    </row>
    <row r="28" spans="1:13" x14ac:dyDescent="0.25">
      <c r="B28" s="476" t="s">
        <v>368</v>
      </c>
      <c r="C28" s="478" t="s">
        <v>369</v>
      </c>
      <c r="D28" s="129" t="s">
        <v>370</v>
      </c>
      <c r="E28" s="58"/>
      <c r="F28" s="35"/>
      <c r="G28" s="41"/>
    </row>
    <row r="29" spans="1:13" x14ac:dyDescent="0.25">
      <c r="B29" s="476"/>
      <c r="C29" s="478"/>
      <c r="D29" s="132" t="s">
        <v>380</v>
      </c>
      <c r="E29" s="59"/>
      <c r="F29" s="34"/>
      <c r="G29" s="40"/>
    </row>
    <row r="30" spans="1:13" x14ac:dyDescent="0.25">
      <c r="B30" s="476"/>
      <c r="C30" s="478"/>
      <c r="D30" s="132" t="s">
        <v>394</v>
      </c>
      <c r="E30" s="59">
        <v>1.0000000000000001E-5</v>
      </c>
      <c r="F30" s="34">
        <v>50</v>
      </c>
      <c r="G30" s="40">
        <v>250</v>
      </c>
    </row>
    <row r="31" spans="1:13" x14ac:dyDescent="0.25">
      <c r="B31" s="476"/>
      <c r="C31" s="478"/>
      <c r="D31" s="129" t="s">
        <v>405</v>
      </c>
      <c r="E31" s="58">
        <v>3.0000000000000001E-6</v>
      </c>
      <c r="F31" s="35">
        <v>5000</v>
      </c>
      <c r="G31" s="41">
        <v>250</v>
      </c>
    </row>
    <row r="32" spans="1:13" x14ac:dyDescent="0.25">
      <c r="B32" s="476"/>
      <c r="C32" s="462" t="s">
        <v>421</v>
      </c>
      <c r="D32" s="132" t="s">
        <v>422</v>
      </c>
      <c r="E32" s="38"/>
      <c r="F32" s="38"/>
      <c r="G32" s="42"/>
    </row>
    <row r="33" spans="2:7" x14ac:dyDescent="0.25">
      <c r="B33" s="476"/>
      <c r="C33" s="462"/>
      <c r="D33" s="132" t="s">
        <v>428</v>
      </c>
      <c r="E33" s="34"/>
      <c r="F33" s="46"/>
      <c r="G33" s="40"/>
    </row>
    <row r="34" spans="2:7" x14ac:dyDescent="0.25">
      <c r="B34" s="476"/>
      <c r="C34" s="462"/>
      <c r="D34" s="132" t="s">
        <v>429</v>
      </c>
      <c r="E34" s="38"/>
      <c r="F34" s="38"/>
      <c r="G34" s="42"/>
    </row>
    <row r="35" spans="2:7" x14ac:dyDescent="0.25">
      <c r="B35" s="476"/>
      <c r="C35" s="462"/>
      <c r="D35" s="132" t="s">
        <v>430</v>
      </c>
      <c r="E35" s="38"/>
      <c r="F35" s="38"/>
      <c r="G35" s="42"/>
    </row>
    <row r="36" spans="2:7" x14ac:dyDescent="0.25">
      <c r="B36" s="476"/>
      <c r="C36" s="462"/>
      <c r="D36" s="132" t="s">
        <v>432</v>
      </c>
      <c r="E36" s="38"/>
      <c r="F36" s="38"/>
      <c r="G36" s="42"/>
    </row>
    <row r="37" spans="2:7" x14ac:dyDescent="0.25">
      <c r="B37" s="476"/>
      <c r="C37" s="462"/>
      <c r="D37" s="132" t="s">
        <v>434</v>
      </c>
      <c r="E37" s="34" t="s">
        <v>435</v>
      </c>
      <c r="F37" s="34"/>
      <c r="G37" s="40"/>
    </row>
    <row r="38" spans="2:7" x14ac:dyDescent="0.25">
      <c r="B38" s="476"/>
      <c r="C38" s="462"/>
      <c r="D38" s="132" t="s">
        <v>436</v>
      </c>
      <c r="E38" s="38"/>
      <c r="F38" s="38"/>
      <c r="G38" s="42"/>
    </row>
    <row r="39" spans="2:7" x14ac:dyDescent="0.25">
      <c r="B39" s="476"/>
      <c r="C39" s="462"/>
      <c r="D39" s="132" t="s">
        <v>437</v>
      </c>
      <c r="E39" s="38"/>
      <c r="F39" s="38"/>
      <c r="G39" s="42"/>
    </row>
    <row r="40" spans="2:7" x14ac:dyDescent="0.25">
      <c r="B40" s="476" t="s">
        <v>438</v>
      </c>
      <c r="C40" s="478" t="s">
        <v>369</v>
      </c>
      <c r="D40" s="129" t="s">
        <v>370</v>
      </c>
      <c r="E40" s="58"/>
      <c r="F40" s="35"/>
      <c r="G40" s="41"/>
    </row>
    <row r="41" spans="2:7" ht="30" x14ac:dyDescent="0.25">
      <c r="B41" s="476"/>
      <c r="C41" s="478"/>
      <c r="D41" s="132" t="s">
        <v>380</v>
      </c>
      <c r="E41" s="59" t="s">
        <v>447</v>
      </c>
      <c r="F41" s="34">
        <v>7</v>
      </c>
      <c r="G41" s="40" t="s">
        <v>373</v>
      </c>
    </row>
    <row r="42" spans="2:7" x14ac:dyDescent="0.25">
      <c r="B42" s="476"/>
      <c r="C42" s="478"/>
      <c r="D42" s="132" t="s">
        <v>394</v>
      </c>
      <c r="E42" s="34"/>
      <c r="F42" s="34"/>
      <c r="G42" s="40"/>
    </row>
    <row r="43" spans="2:7" x14ac:dyDescent="0.25">
      <c r="B43" s="476"/>
      <c r="C43" s="478"/>
      <c r="D43" s="129" t="s">
        <v>405</v>
      </c>
      <c r="E43" s="58">
        <v>1.9999999999999999E-6</v>
      </c>
      <c r="F43" s="35">
        <v>3000</v>
      </c>
      <c r="G43" s="41">
        <v>365</v>
      </c>
    </row>
    <row r="44" spans="2:7" x14ac:dyDescent="0.25">
      <c r="B44" s="476"/>
      <c r="C44" s="462" t="s">
        <v>421</v>
      </c>
      <c r="D44" s="132" t="s">
        <v>453</v>
      </c>
      <c r="E44" s="38"/>
      <c r="F44" s="38"/>
      <c r="G44" s="42"/>
    </row>
    <row r="45" spans="2:7" x14ac:dyDescent="0.25">
      <c r="B45" s="476"/>
      <c r="C45" s="462"/>
      <c r="D45" s="132" t="s">
        <v>428</v>
      </c>
      <c r="E45" s="38"/>
      <c r="F45" s="38"/>
      <c r="G45" s="42"/>
    </row>
    <row r="46" spans="2:7" x14ac:dyDescent="0.25">
      <c r="B46" s="476"/>
      <c r="C46" s="462"/>
      <c r="D46" s="132" t="s">
        <v>429</v>
      </c>
      <c r="E46" s="38"/>
      <c r="F46" s="38"/>
      <c r="G46" s="42"/>
    </row>
    <row r="47" spans="2:7" x14ac:dyDescent="0.25">
      <c r="B47" s="476"/>
      <c r="C47" s="462"/>
      <c r="D47" s="132" t="s">
        <v>430</v>
      </c>
      <c r="E47" s="38"/>
      <c r="F47" s="38"/>
      <c r="G47" s="42"/>
    </row>
    <row r="48" spans="2:7" x14ac:dyDescent="0.25">
      <c r="B48" s="476"/>
      <c r="C48" s="462"/>
      <c r="D48" s="132" t="s">
        <v>432</v>
      </c>
      <c r="E48" s="38"/>
      <c r="F48" s="38"/>
      <c r="G48" s="42"/>
    </row>
    <row r="49" spans="2:7" x14ac:dyDescent="0.25">
      <c r="B49" s="476"/>
      <c r="C49" s="462"/>
      <c r="D49" s="132" t="s">
        <v>434</v>
      </c>
      <c r="E49" s="38"/>
      <c r="F49" s="38"/>
      <c r="G49" s="42"/>
    </row>
    <row r="50" spans="2:7" x14ac:dyDescent="0.25">
      <c r="B50" s="476"/>
      <c r="C50" s="462"/>
      <c r="D50" s="132" t="s">
        <v>436</v>
      </c>
      <c r="E50" s="38"/>
      <c r="F50" s="38"/>
      <c r="G50" s="42"/>
    </row>
    <row r="51" spans="2:7" ht="15.75" thickBot="1" x14ac:dyDescent="0.3">
      <c r="B51" s="477"/>
      <c r="C51" s="479"/>
      <c r="D51" s="194" t="s">
        <v>437</v>
      </c>
      <c r="E51" s="44"/>
      <c r="F51" s="44"/>
      <c r="G51" s="45"/>
    </row>
  </sheetData>
  <mergeCells count="16">
    <mergeCell ref="B1:C1"/>
    <mergeCell ref="A1:A21"/>
    <mergeCell ref="G13:G18"/>
    <mergeCell ref="G4:I9"/>
    <mergeCell ref="B40:B51"/>
    <mergeCell ref="C40:C43"/>
    <mergeCell ref="C44:C51"/>
    <mergeCell ref="B24:G24"/>
    <mergeCell ref="B25:C27"/>
    <mergeCell ref="E25:G25"/>
    <mergeCell ref="E26:G26"/>
    <mergeCell ref="B28:B39"/>
    <mergeCell ref="C28:C31"/>
    <mergeCell ref="C32:C39"/>
    <mergeCell ref="I24:L24"/>
    <mergeCell ref="G10:J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  s t a n d a l o n e = " n o " ? > < D a t a M a s h u p   x m l n s = " h t t p : / / s c h e m a s . m i c r o s o f t . c o m / D a t a M a s h u p " > A A A A A N I 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s y D 0 W q w A A A D 3 A A A A E g A A A E N v b m Z p Z y 9 Q Y W N r Y W d l L n h t b I S P s Q r C M B i E d 8 F 3 K N m b p H E r f 1 P Q w c W C I I h r a E M b b P 9 I k 9 q + m 4 O P 5 C v Y o l U 3 x 7 v 7 4 O 4 e t z u k Q 1 M H V 9 0 6 Y z E h E e U k c F 5 h o W q L O i F o S S q X C 9 i r / K x K H Y w 0 u n h w R U I q 7 y 8 x Y 3 3 f 0 3 5 F b V s y w X n E T t n u k F e 6 U e Q D m / 9 w a H C q z T W R c H y t k Y J G X F D B x 1 H A Z h M y g 1 9 A j N m U / p i w 6 W r f t V p q D L d r Y L M E 9 v 4 g n w A A A P / / A w B Q S w M E F A A C A A g A A A A h A G Z t I c P i A Q A A Q Q k A A B M A A A B G b 3 J t d W x h c y 9 T Z W N 0 a W 9 u M S 5 t 7 J R P a 9 t A E M X v h n y H Q b n I o A p L d Z L S o k O Q + i c Q s M E O P V g m j K W x L b z a N b u r u s b 4 u 2 d s y w 4 l u r S 4 p S 0 R C M G 8 3 d W 8 9 x v J U G Y L J W F w e A Y f W i 0 z R 0 0 5 X D p D n A j q d K 7 B 7 e O M 4 F 3 b g Q g E 2 Y s W 8 D V Q l c 6 I K / 1 8 6 u + X G v d T I c i P l b Q k r X G d + H 3 6 Y E i b F F E r 6 R v C i V Z q k f Y k J b r 4 R v A G Y h Z y F A I + S t K z N f B m U w m L v B / u b Z 4 m Z B Z W L d N E z U n b N Z B F A W E n u K k 3 9 L X K g q D 7 e B V c B f C V + C B B u O B 2 / W U + d d o e j O 7 K p a C S G 8 K d w c g J / L f O u O 0 d T J w s R r W f z e g u j 0 7 O n f F 2 l K D F c b 3 8 0 o n n K G e c z n C 9 p F 0 c + 5 X + U K M 0 U 6 X L W I m q l D v R u M d D v M 3 G O d Q D x w P L G l j 6 b r c e H O v h D / V t + 6 J V y M Y X N t D p 1 n R u / l 8 6 3 W Y 6 3 X P Q 6 f 4 p O u C G r 4 T + Y k L X Z 6 O T q J U U C n O T 3 h c y p w n H z L E D 5 3 4 r C q M g R r n m P y 4 a Q I l 8 C z W r C N g 9 r J Q 2 F j I 0 B H E v P J L Y 4 / p N O B h / q S z n 8 Y U w Z y / P S G q l r j / D g F G t 3 A o x y F C g N p H V F Z 1 6 + C n G D R 3 s c P d R Y 0 m W 9 A v g D 7 K w L 4 q f O c s V z + 5 R k F X J q R 8 G p P e 4 C b d N 6 q + O y T k / 5 N d R + e d H 5 Q k A A P / / A w B Q S w E C L Q A U A A Y A C A A A A C E A K t 2 q Q N I A A A A 3 A Q A A E w A A A A A A A A A A A A A A A A A A A A A A W 0 N v b n R l b n R f V H l w Z X N d L n h t b F B L A Q I t A B Q A A g A I A A A A I Q C z I P R a r A A A A P c A A A A S A A A A A A A A A A A A A A A A A A s D A A B D b 2 5 m a W c v U G F j a 2 F n Z S 5 4 b W x Q S w E C L Q A U A A I A C A A A A C E A Z m 0 h w + I B A A B B C Q A A E w A A A A A A A A A A A A A A A A D n A w A A R m 9 y b X V s Y X M v U 2 V j d G l v b j E u b V B L B Q Y A A A A A A w A D A M I A A A D 6 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C s A A A A A A A C m K 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R h Y m x l M D A 2 J T I w K F B h Z 2 U l M j A 4 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M t M j l U M T E 6 N D E 6 N D Y u N D g z N j k 3 M l o i L z 4 8 R W 5 0 c n k g V H l w Z T 0 i R m l s b E N v b H V t b l R 5 c G V z I i B W Y W x 1 Z T 0 i c 0 J n W T 0 i L z 4 8 R W 5 0 c n k g V H l w Z T 0 i R m l s b E N v b H V t b k 5 h b W V z I i B W Y W x 1 Z T 0 i c 1 s m c X V v d D t D b 2 x 1 b W 4 x J n F 1 b 3 Q 7 L C Z x d W 9 0 O 0 N v b H V t b j I 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y L C Z x d W 9 0 O 2 t l e U N v b H V t b k 5 h b W V z J n F 1 b 3 Q 7 O l t d L C Z x d W 9 0 O 3 F 1 Z X J 5 U m V s Y X R p b 2 5 z a G l w c y Z x d W 9 0 O z p b X S w m c X V v d D t j b 2 x 1 b W 5 J Z G V u d G l 0 a W V z J n F 1 b 3 Q 7 O l s m c X V v d D t T Z W N 0 a W 9 u M S 9 U Y W J s Z T A w N i A o U G F n Z S A 4 K S 9 B d X R v U m V t b 3 Z l Z E N v b H V t b n M x L n t D b 2 x 1 b W 4 x L D B 9 J n F 1 b 3 Q 7 L C Z x d W 9 0 O 1 N l Y 3 R p b 2 4 x L 1 R h Y m x l M D A 2 I C h Q Y W d l I D g p L 0 F 1 d G 9 S Z W 1 v d m V k Q 2 9 s d W 1 u c z E u e 0 N v b H V t b j I s M X 0 m c X V v d D t d L C Z x d W 9 0 O 0 N v b H V t b k N v d W 5 0 J n F 1 b 3 Q 7 O j I s J n F 1 b 3 Q 7 S 2 V 5 Q 2 9 s d W 1 u T m F t Z X M m c X V v d D s 6 W 1 0 s J n F 1 b 3 Q 7 Q 2 9 s d W 1 u S W R l b n R p d G l l c y Z x d W 9 0 O z p b J n F 1 b 3 Q 7 U 2 V j d G l v b j E v V G F i b G U w M D Y g K F B h Z 2 U g O C k v Q X V 0 b 1 J l b W 9 2 Z W R D b 2 x 1 b W 5 z M S 5 7 Q 2 9 s d W 1 u M S w w f S Z x d W 9 0 O y w m c X V v d D t T Z W N 0 a W 9 u M S 9 U Y W J s Z T A w N i A o U G F n Z S A 4 K S 9 B d X R v U m V t b 3 Z l Z E N v b H V t b n M x 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U Y W J s Z T A w N C U y M C h Q Y W d l J T I w N y k 8 L 0 l 0 Z W 1 Q Y X R o P j w v S X R l b U x v Y 2 F 0 a W 9 u P j x T d G F i b G V F b n R y a W V z P j x F b n R y e S B U e X B l P S J B Z G R l Z F R v R G F 0 Y U 1 v Z G V s I i B W Y W x 1 Z T 0 i b D A i L z 4 8 R W 5 0 c n k g V H l w Z T 0 i Q n V m Z m V y T m V 4 d F J l Z n J l c 2 g i I F Z h b H V l P S J s M S I v P j x F b n R y e S B U e X B l P S J G a W x s Q 2 9 1 b n Q i I F Z h b H V l P S J s O S I v P j x F b n R y e S B U e X B l P S J G a W x s R W 5 h Y m x l Z C I g V m F s d W U 9 I m w w I i 8 + P E V u d H J 5 I F R 5 c G U 9 I k Z p b G x F c n J v c k N v Z G U i I F Z h b H V l P S J z V W 5 r b m 9 3 b i I v P j x F b n R y e S B U e X B l P S J G a W x s R X J y b 3 J D b 3 V u d C I g V m F s d W U 9 I m w w I i 8 + P E V u d H J 5 I F R 5 c G U 9 I k Z p b G x M Y X N 0 V X B k Y X R l Z C I g V m F s d W U 9 I m Q y M D I y L T A z L T I 5 V D E x O j U z O j A 4 L j M 0 N z Q 2 M T J 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V G F i b G U w M D Q g K F B h Z 2 U g N y k v Q X V 0 b 1 J l b W 9 2 Z W R D b 2 x 1 b W 5 z M S 5 7 Q 2 9 s d W 1 u M S w w f S Z x d W 9 0 O y w m c X V v d D t T Z W N 0 a W 9 u M S 9 U Y W J s Z T A w N C A o U G F n Z S A 3 K S 9 B d X R v U m V t b 3 Z l Z E N v b H V t b n M x L n t D b 2 x 1 b W 4 y L D F 9 J n F 1 b 3 Q 7 X S w m c X V v d D t D b 2 x 1 b W 5 D b 3 V u d C Z x d W 9 0 O z o y L C Z x d W 9 0 O 0 t l e U N v b H V t b k 5 h b W V z J n F 1 b 3 Q 7 O l t d L C Z x d W 9 0 O 0 N v b H V t b k l k Z W 5 0 a X R p Z X M m c X V v d D s 6 W y Z x d W 9 0 O 1 N l Y 3 R p b 2 4 x L 1 R h Y m x l M D A 0 I C h Q Y W d l I D c p L 0 F 1 d G 9 S Z W 1 v d m V k Q 2 9 s d W 1 u c z E u e 0 N v b H V t b j E s M H 0 m c X V v d D s s J n F 1 b 3 Q 7 U 2 V j d G l v b j E v V G F i b G U w M D Q g K F B h Z 2 U g N y k v Q X V 0 b 1 J l b W 9 2 Z W R D b 2 x 1 b W 5 z M S 5 7 Q 2 9 s d W 1 u M i w x 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V G F i b G U w M D Q l M j A o U G F n Z S U y M D c p J T I w K D I 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w M y 0 y O V Q x M T o 1 M z o w O C 4 z N D c 0 N j E y W i I v P j x F b n R y e S B U e X B l P S J G a W x s Q 2 9 s d W 1 u V H l w Z X M i I F Z h b H V l P S J z Q m d Z P S I v P j x F b n R y e S B U e X B l P S J G a W x s Q 2 9 s d W 1 u T m F t Z X M i I F Z h b H V l P S J z W y Z x d W 9 0 O 0 N v b H V t b j E m c X V v d D s s J n F 1 b 3 Q 7 Q 2 9 s d W 1 u M i 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I s J n F 1 b 3 Q 7 a 2 V 5 Q 2 9 s d W 1 u T m F t Z X M m c X V v d D s 6 W 1 0 s J n F 1 b 3 Q 7 c X V l c n l S Z W x h d G l v b n N o a X B z J n F 1 b 3 Q 7 O l t d L C Z x d W 9 0 O 2 N v b H V t b k l k Z W 5 0 a X R p Z X M m c X V v d D s 6 W y Z x d W 9 0 O 1 N l Y 3 R p b 2 4 x L 1 R h Y m x l M D A 0 I C h Q Y W d l I D c p L 0 F 1 d G 9 S Z W 1 v d m V k Q 2 9 s d W 1 u c z E u e 0 N v b H V t b j E s M H 0 m c X V v d D s s J n F 1 b 3 Q 7 U 2 V j d G l v b j E v V G F i b G U w M D Q g K F B h Z 2 U g N y k v Q X V 0 b 1 J l b W 9 2 Z W R D b 2 x 1 b W 5 z M S 5 7 Q 2 9 s d W 1 u M i w x f S Z x d W 9 0 O 1 0 s J n F 1 b 3 Q 7 Q 2 9 s d W 1 u Q 2 9 1 b n Q m c X V v d D s 6 M i w m c X V v d D t L Z X l D b 2 x 1 b W 5 O Y W 1 l c y Z x d W 9 0 O z p b X S w m c X V v d D t D b 2 x 1 b W 5 J Z G V u d G l 0 a W V z J n F 1 b 3 Q 7 O l s m c X V v d D t T Z W N 0 a W 9 u M S 9 U Y W J s Z T A w N C A o U G F n Z S A 3 K S 9 B d X R v U m V t b 3 Z l Z E N v b H V t b n M x L n t D b 2 x 1 b W 4 x L D B 9 J n F 1 b 3 Q 7 L C Z x d W 9 0 O 1 N l Y 3 R p b 2 4 x L 1 R h Y m x l M D A 0 I C h Q Y W d l I D c p L 0 F 1 d G 9 S Z W 1 v d m V k Q 2 9 s d W 1 u c z E u e 0 N v b H V t b j I s M X 0 m c X V v d D t d L C Z x d W 9 0 O 1 J l b G F 0 a W 9 u c 2 h p c E l u Z m 8 m c X V v d D s 6 W 1 1 9 I i 8 + P E V u d H J 5 I F R 5 c G U 9 I l J l c 3 V s d F R 5 c G U i I F Z h b H V l P S J z V G F i b G U i L z 4 8 R W 5 0 c n k g V H l w Z T 0 i R m l s b E 9 i a m V j d F R 5 c G U i I F Z h b H V l P S J z Q 2 9 u b m V j d G l v b k 9 u b H k i L z 4 8 R W 5 0 c n k g V H l w Z T 0 i T G 9 h Z G V k V G 9 B b m F s e X N p c 1 N l c n Z p Y 2 V z I i B W Y W x 1 Z T 0 i b D A i L z 4 8 L 1 N 0 Y W J s Z U V u d H J p Z X M + P C 9 J d G V t P j x J d G V t P j x J d G V t T G 9 j Y X R p b 2 4 + P E l 0 Z W 1 U e X B l P k Z v c m 1 1 b G E 8 L 0 l 0 Z W 1 U e X B l P j x J d G V t U G F 0 a D 5 T Z W N 0 a W 9 u M S 9 U Y W J s Z T A w N C U y M C h Q Y W d l J T I w N i k 8 L 0 l 0 Z W 1 Q Y X R o P j w v S X R l b U x v Y 2 F 0 a W 9 u P j x T d G F i b G V F b n R y a W V z P j x F b n R y e S B U e X B l P S J B Z G R l Z F R v R G F 0 Y U 1 v Z G V s I i B W Y W x 1 Z T 0 i b D A i L z 4 8 R W 5 0 c n k g V H l w Z T 0 i Q n V m Z m V y T m V 4 d F J l Z n J l c 2 g i I F Z h b H V l P S J s M S I v P j x F b n R y e S B U e X B l P S J G a W x s Q 2 9 1 b n Q i I F Z h b H V l P S J s M T E i L z 4 8 R W 5 0 c n k g V H l w Z T 0 i R m l s b E V u Y W J s Z W Q i I F Z h b H V l P S J s M C I v P j x F b n R y e S B U e X B l P S J G a W x s R X J y b 3 J D b 2 R l I i B W Y W x 1 Z T 0 i c 1 V u a 2 5 v d 2 4 i L z 4 8 R W 5 0 c n k g V H l w Z T 0 i R m l s b E V y c m 9 y Q 2 9 1 b n Q i I F Z h b H V l P S J s M C I v P j x F b n R y e S B U e X B l P S J G a W x s T G F z d F V w Z G F 0 Z W Q i I F Z h b H V l P S J k M j A y M i 0 w M y 0 y O V Q x M j o 0 N j o y O S 4 z M T U 5 N D E y W i I v P j x F b n R y e S B U e X B l P S J G a W x s Q 2 9 s d W 1 u V H l w Z X M i I F Z h b H V l P S J z Q m d Z R k J R P T 0 i L z 4 8 R W 5 0 c n k g V H l w Z T 0 i R m l s b E N v b H V t b k 5 h b W V z I i B W Y W x 1 Z T 0 i c 1 s m c X V v d D t Q Y X J h b W V 0 Z X I m c X V v d D s s J n F 1 b 3 Q 7 V W 5 p d C Z x d W 9 0 O y w m c X V v d D t H Y X M g d 2 V s b C Z x d W 9 0 O y w m c X V v d D t D T 1 9 7 M n 0 g d 2 V s b 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Q s J n F 1 b 3 Q 7 a 2 V 5 Q 2 9 s d W 1 u T m F t Z X M m c X V v d D s 6 W 1 0 s J n F 1 b 3 Q 7 c X V l c n l S Z W x h d G l v b n N o a X B z J n F 1 b 3 Q 7 O l t d L C Z x d W 9 0 O 2 N v b H V t b k l k Z W 5 0 a X R p Z X M m c X V v d D s 6 W y Z x d W 9 0 O 1 N l Y 3 R p b 2 4 x L 1 R h Y m x l M D A 0 I C h Q Y W d l I D Y p L 0 F 1 d G 9 S Z W 1 v d m V k Q 2 9 s d W 1 u c z E u e 1 B h c m F t Z X R l c i w w f S Z x d W 9 0 O y w m c X V v d D t T Z W N 0 a W 9 u M S 9 U Y W J s Z T A w N C A o U G F n Z S A 2 K S 9 B d X R v U m V t b 3 Z l Z E N v b H V t b n M x L n t V b m l 0 L D F 9 J n F 1 b 3 Q 7 L C Z x d W 9 0 O 1 N l Y 3 R p b 2 4 x L 1 R h Y m x l M D A 0 I C h Q Y W d l I D Y p L 0 F 1 d G 9 S Z W 1 v d m V k Q 2 9 s d W 1 u c z E u e 0 d h c y B 3 Z W x s L D J 9 J n F 1 b 3 Q 7 L C Z x d W 9 0 O 1 N l Y 3 R p b 2 4 x L 1 R h Y m x l M D A 0 I C h Q Y W d l I D Y p L 0 F 1 d G 9 S Z W 1 v d m V k Q 2 9 s d W 1 u c z E u e 0 N P X 3 t 7 M n 0 g d 2 V s b C w z f S Z x d W 9 0 O 1 0 s J n F 1 b 3 Q 7 Q 2 9 s d W 1 u Q 2 9 1 b n Q m c X V v d D s 6 N C w m c X V v d D t L Z X l D b 2 x 1 b W 5 O Y W 1 l c y Z x d W 9 0 O z p b X S w m c X V v d D t D b 2 x 1 b W 5 J Z G V u d G l 0 a W V z J n F 1 b 3 Q 7 O l s m c X V v d D t T Z W N 0 a W 9 u M S 9 U Y W J s Z T A w N C A o U G F n Z S A 2 K S 9 B d X R v U m V t b 3 Z l Z E N v b H V t b n M x L n t Q Y X J h b W V 0 Z X I s M H 0 m c X V v d D s s J n F 1 b 3 Q 7 U 2 V j d G l v b j E v V G F i b G U w M D Q g K F B h Z 2 U g N i k v Q X V 0 b 1 J l b W 9 2 Z W R D b 2 x 1 b W 5 z M S 5 7 V W 5 p d C w x f S Z x d W 9 0 O y w m c X V v d D t T Z W N 0 a W 9 u M S 9 U Y W J s Z T A w N C A o U G F n Z S A 2 K S 9 B d X R v U m V t b 3 Z l Z E N v b H V t b n M x L n t H Y X M g d 2 V s b C w y f S Z x d W 9 0 O y w m c X V v d D t T Z W N 0 a W 9 u M S 9 U Y W J s Z T A w N C A o U G F n Z S A 2 K S 9 B d X R v U m V t b 3 Z l Z E N v b H V t b n M x L n t D T 1 9 7 e z J 9 I H d l b G w s M 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1 R h Y m x l M D A 0 J T I w K F B h Z 2 U l M j A 2 K S U y M C g y K T w v S X R l b V B h d G g + P C 9 J d G V t T G 9 j Y X R p b 2 4 + P F N 0 Y W J s Z U V u d H J p Z X M + P E V u d H J 5 I F R 5 c G U 9 I k F k Z G V k V G 9 E Y X R h T W 9 k Z W w i I F Z h b H V l P S J s M C I v P j x F b n R y e S B U e X B l P S J C d W Z m Z X J O Z X h 0 U m V m c m V z a C I g V m F s d W U 9 I m w x I i 8 + P E V u d H J 5 I F R 5 c G U 9 I k Z p b G x D b 3 V u d C I g V m F s d W U 9 I m w x M S I v P j x F b n R y e S B U e X B l P S J G a W x s R W 5 h Y m x l Z C I g V m F s d W U 9 I m w x I i 8 + P E V u d H J 5 I F R 5 c G U 9 I k Z p b G x F c n J v c k N v Z G U i I F Z h b H V l P S J z V W 5 r b m 9 3 b i I v P j x F b n R y e S B U e X B l P S J G a W x s R X J y b 3 J D b 3 V u d C I g V m F s d W U 9 I m w w I i 8 + P E V u d H J 5 I F R 5 c G U 9 I k Z p b G x M Y X N 0 V X B k Y X R l Z C I g V m F s d W U 9 I m Q y M D I y L T A z L T I 5 V D E y O j Q 2 O j I 5 L j M x N T k 0 M T J a I i 8 + P E V u d H J 5 I F R 5 c G U 9 I k Z p b G x D b 2 x 1 b W 5 U e X B l c y I g V m F s d W U 9 I n N C Z 1 l G Q l E 9 P S I v P j x F b n R y e S B U e X B l P S J G a W x s Q 2 9 s d W 1 u T m F t Z X M i I F Z h b H V l P S J z W y Z x d W 9 0 O 1 B h c m F t Z X R l c i Z x d W 9 0 O y w m c X V v d D t V b m l 0 J n F 1 b 3 Q 7 L C Z x d W 9 0 O 0 d h c y B 3 Z W x s J n F 1 b 3 Q 7 L C Z x d W 9 0 O 0 N P X 3 s y f S B 3 Z W x s 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V G F i b G U w M D Q g K F B h Z 2 U g N i k v Q X V 0 b 1 J l b W 9 2 Z W R D b 2 x 1 b W 5 z M S 5 7 U G F y Y W 1 l d G V y L D B 9 J n F 1 b 3 Q 7 L C Z x d W 9 0 O 1 N l Y 3 R p b 2 4 x L 1 R h Y m x l M D A 0 I C h Q Y W d l I D Y p L 0 F 1 d G 9 S Z W 1 v d m V k Q 2 9 s d W 1 u c z E u e 1 V u a X Q s M X 0 m c X V v d D s s J n F 1 b 3 Q 7 U 2 V j d G l v b j E v V G F i b G U w M D Q g K F B h Z 2 U g N i k v Q X V 0 b 1 J l b W 9 2 Z W R D b 2 x 1 b W 5 z M S 5 7 R 2 F z I H d l b G w s M n 0 m c X V v d D s s J n F 1 b 3 Q 7 U 2 V j d G l v b j E v V G F i b G U w M D Q g K F B h Z 2 U g N i k v Q X V 0 b 1 J l b W 9 2 Z W R D b 2 x 1 b W 5 z M S 5 7 Q 0 9 f e 3 s y f S B 3 Z W x s L D N 9 J n F 1 b 3 Q 7 X S w m c X V v d D t D b 2 x 1 b W 5 D b 3 V u d C Z x d W 9 0 O z o 0 L C Z x d W 9 0 O 0 t l e U N v b H V t b k 5 h b W V z J n F 1 b 3 Q 7 O l t d L C Z x d W 9 0 O 0 N v b H V t b k l k Z W 5 0 a X R p Z X M m c X V v d D s 6 W y Z x d W 9 0 O 1 N l Y 3 R p b 2 4 x L 1 R h Y m x l M D A 0 I C h Q Y W d l I D Y p L 0 F 1 d G 9 S Z W 1 v d m V k Q 2 9 s d W 1 u c z E u e 1 B h c m F t Z X R l c i w w f S Z x d W 9 0 O y w m c X V v d D t T Z W N 0 a W 9 u M S 9 U Y W J s Z T A w N C A o U G F n Z S A 2 K S 9 B d X R v U m V t b 3 Z l Z E N v b H V t b n M x L n t V b m l 0 L D F 9 J n F 1 b 3 Q 7 L C Z x d W 9 0 O 1 N l Y 3 R p b 2 4 x L 1 R h Y m x l M D A 0 I C h Q Y W d l I D Y p L 0 F 1 d G 9 S Z W 1 v d m V k Q 2 9 s d W 1 u c z E u e 0 d h c y B 3 Z W x s L D J 9 J n F 1 b 3 Q 7 L C Z x d W 9 0 O 1 N l Y 3 R p b 2 4 x L 1 R h Y m x l M D A 0 I C h Q Y W d l I D Y p L 0 F 1 d G 9 S Z W 1 v d m V k Q 2 9 s d W 1 u c z E u e 0 N P X 3 t 7 M n 0 g d 2 V s b C w z f S Z x d W 9 0 O 1 0 s J n F 1 b 3 Q 7 U m V s Y X R p b 2 5 z a G l w S W 5 m b y Z x d W 9 0 O z p b X X 0 i L z 4 8 R W 5 0 c n k g V H l w Z T 0 i U m V z d W x 0 V H l w Z S I g V m F s d W U 9 I n N U Y W J s Z S I v P j x F b n R y e S B U e X B l P S J G a W x s T 2 J q Z W N 0 V H l w Z S I g V m F s d W U 9 I n N U Y W J s Z S I v P j x F b n R y e S B U e X B l P S J G a W x s V G F y Z 2 V 0 I i B W Y W x 1 Z T 0 i c 1 R h Y m x l M D A 0 X 1 9 Q Y W d l X z Y 2 I i 8 + P E V u d H J 5 I F R 5 c G U 9 I k x v Y W R l Z F R v Q W 5 h b H l z a X N T Z X J 2 a W N l c y I g V m F s d W U 9 I m w w I i 8 + P C 9 T d G F i b G V F b n R y a W V z P j w v S X R l b T 4 8 S X R l b T 4 8 S X R l b U x v Y 2 F 0 a W 9 u P j x J d G V t V H l w Z T 5 G b 3 J t d W x h P C 9 J d G V t V H l w Z T 4 8 S X R l b V B h d G g + U 2 V j d G l v b j E v V G F i b G U w M D Y l M j A o U G F n Z S U y M D g p L 1 N v d X J j Z T w v S X R l b V B h d G g + P C 9 J d G V t T G 9 j Y X R p b 2 4 + P F N 0 Y W J s Z U V u d H J p Z X M v P j w v S X R l b T 4 8 S X R l b T 4 8 S X R l b U x v Y 2 F 0 a W 9 u P j x J d G V t V H l w Z T 5 G b 3 J t d W x h P C 9 J d G V t V H l w Z T 4 8 S X R l b V B h d G g + U 2 V j d G l v b j E v V G F i b G U w M D Y l M j A o U G F n Z S U y M D g p L 1 R h Y m x l M D A 2 P C 9 J d G V t U G F 0 a D 4 8 L 0 l 0 Z W 1 M b 2 N h d G l v b j 4 8 U 3 R h Y m x l R W 5 0 c m l l c y 8 + P C 9 J d G V t P j x J d G V t P j x J d G V t T G 9 j Y X R p b 2 4 + P E l 0 Z W 1 U e X B l P k Z v c m 1 1 b G E 8 L 0 l 0 Z W 1 U e X B l P j x J d G V t U G F 0 a D 5 T Z W N 0 a W 9 u M S 9 U Y W J s Z T A w N i U y M C h Q Y W d l J T I w O C k v Q 2 h h b m d l Z C U y M F R 5 c G U 8 L 0 l 0 Z W 1 Q Y X R o P j w v S X R l b U x v Y 2 F 0 a W 9 u P j x T d G F i b G V F b n R y a W V z L z 4 8 L 0 l 0 Z W 0 + P E l 0 Z W 0 + P E l 0 Z W 1 M b 2 N h d G l v b j 4 8 S X R l b V R 5 c G U + R m 9 y b X V s Y T w v S X R l b V R 5 c G U + P E l 0 Z W 1 Q Y X R o P l N l Y 3 R p b 2 4 x L 1 R h Y m x l M D A 0 J T I w K F B h Z 2 U l M j A 3 K S 9 T b 3 V y Y 2 U 8 L 0 l 0 Z W 1 Q Y X R o P j w v S X R l b U x v Y 2 F 0 a W 9 u P j x T d G F i b G V F b n R y a W V z L z 4 8 L 0 l 0 Z W 0 + P E l 0 Z W 0 + P E l 0 Z W 1 M b 2 N h d G l v b j 4 8 S X R l b V R 5 c G U + R m 9 y b X V s Y T w v S X R l b V R 5 c G U + P E l 0 Z W 1 Q Y X R o P l N l Y 3 R p b 2 4 x L 1 R h Y m x l M D A 0 J T I w K F B h Z 2 U l M j A 3 K S 9 U Y W J s Z T A w N D w v S X R l b V B h d G g + P C 9 J d G V t T G 9 j Y X R p b 2 4 + P F N 0 Y W J s Z U V u d H J p Z X M v P j w v S X R l b T 4 8 S X R l b T 4 8 S X R l b U x v Y 2 F 0 a W 9 u P j x J d G V t V H l w Z T 5 G b 3 J t d W x h P C 9 J d G V t V H l w Z T 4 8 S X R l b V B h d G g + U 2 V j d G l v b j E v V G F i b G U w M D Q l M j A o U G F n Z S U y M D c p L 0 N o Y W 5 n Z W Q l M j B U e X B l P C 9 J d G V t U G F 0 a D 4 8 L 0 l 0 Z W 1 M b 2 N h d G l v b j 4 8 U 3 R h Y m x l R W 5 0 c m l l c y 8 + P C 9 J d G V t P j x J d G V t P j x J d G V t T G 9 j Y X R p b 2 4 + P E l 0 Z W 1 U e X B l P k Z v c m 1 1 b G E 8 L 0 l 0 Z W 1 U e X B l P j x J d G V t U G F 0 a D 5 T Z W N 0 a W 9 u M S 9 U Y W J s Z T A w N C U y M C h Q Y W d l J T I w N y k l M j A o M i k v U 2 9 1 c m N l P C 9 J d G V t U G F 0 a D 4 8 L 0 l 0 Z W 1 M b 2 N h d G l v b j 4 8 U 3 R h Y m x l R W 5 0 c m l l c y 8 + P C 9 J d G V t P j x J d G V t P j x J d G V t T G 9 j Y X R p b 2 4 + P E l 0 Z W 1 U e X B l P k Z v c m 1 1 b G E 8 L 0 l 0 Z W 1 U e X B l P j x J d G V t U G F 0 a D 5 T Z W N 0 a W 9 u M S 9 U Y W J s Z T A w N C U y M C h Q Y W d l J T I w N y k l M j A o M i k v V G F i b G U w M D Q 8 L 0 l 0 Z W 1 Q Y X R o P j w v S X R l b U x v Y 2 F 0 a W 9 u P j x T d G F i b G V F b n R y a W V z L z 4 8 L 0 l 0 Z W 0 + P E l 0 Z W 0 + P E l 0 Z W 1 M b 2 N h d G l v b j 4 8 S X R l b V R 5 c G U + R m 9 y b X V s Y T w v S X R l b V R 5 c G U + P E l 0 Z W 1 Q Y X R o P l N l Y 3 R p b 2 4 x L 1 R h Y m x l M D A 0 J T I w K F B h Z 2 U l M j A 3 K S U y M C g y K S 9 D a G F u Z 2 V k J T I w V H l w Z T w v S X R l b V B h d G g + P C 9 J d G V t T G 9 j Y X R p b 2 4 + P F N 0 Y W J s Z U V u d H J p Z X M v P j w v S X R l b T 4 8 S X R l b T 4 8 S X R l b U x v Y 2 F 0 a W 9 u P j x J d G V t V H l w Z T 5 G b 3 J t d W x h P C 9 J d G V t V H l w Z T 4 8 S X R l b V B h d G g + U 2 V j d G l v b j E v V G F i b G U w M D Q l M j A o U G F n Z S U y M D Y p L 1 N v d X J j Z T w v S X R l b V B h d G g + P C 9 J d G V t T G 9 j Y X R p b 2 4 + P F N 0 Y W J s Z U V u d H J p Z X M v P j w v S X R l b T 4 8 S X R l b T 4 8 S X R l b U x v Y 2 F 0 a W 9 u P j x J d G V t V H l w Z T 5 G b 3 J t d W x h P C 9 J d G V t V H l w Z T 4 8 S X R l b V B h d G g + U 2 V j d G l v b j E v V G F i b G U w M D Q l M j A o U G F n Z S U y M D Y p L 1 R h Y m x l M D A 0 P C 9 J d G V t U G F 0 a D 4 8 L 0 l 0 Z W 1 M b 2 N h d G l v b j 4 8 U 3 R h Y m x l R W 5 0 c m l l c y 8 + P C 9 J d G V t P j x J d G V t P j x J d G V t T G 9 j Y X R p b 2 4 + P E l 0 Z W 1 U e X B l P k Z v c m 1 1 b G E 8 L 0 l 0 Z W 1 U e X B l P j x J d G V t U G F 0 a D 5 T Z W N 0 a W 9 u M S 9 U Y W J s Z T A w N C U y M C h Q Y W d l J T I w N i k v U H J v b W 9 0 Z W Q l M j B I Z W F k Z X J z P C 9 J d G V t U G F 0 a D 4 8 L 0 l 0 Z W 1 M b 2 N h d G l v b j 4 8 U 3 R h Y m x l R W 5 0 c m l l c y 8 + P C 9 J d G V t P j x J d G V t P j x J d G V t T G 9 j Y X R p b 2 4 + P E l 0 Z W 1 U e X B l P k Z v c m 1 1 b G E 8 L 0 l 0 Z W 1 U e X B l P j x J d G V t U G F 0 a D 5 T Z W N 0 a W 9 u M S 9 U Y W J s Z T A w N C U y M C h Q Y W d l J T I w N i k v Q 2 h h b m d l Z C U y M F R 5 c G U 8 L 0 l 0 Z W 1 Q Y X R o P j w v S X R l b U x v Y 2 F 0 a W 9 u P j x T d G F i b G V F b n R y a W V z L z 4 8 L 0 l 0 Z W 0 + P E l 0 Z W 0 + P E l 0 Z W 1 M b 2 N h d G l v b j 4 8 S X R l b V R 5 c G U + R m 9 y b X V s Y T w v S X R l b V R 5 c G U + P E l 0 Z W 1 Q Y X R o P l N l Y 3 R p b 2 4 x L 1 R h Y m x l M D A 0 J T I w K F B h Z 2 U l M j A 2 K S U y M C g y K S 9 T b 3 V y Y 2 U 8 L 0 l 0 Z W 1 Q Y X R o P j w v S X R l b U x v Y 2 F 0 a W 9 u P j x T d G F i b G V F b n R y a W V z L z 4 8 L 0 l 0 Z W 0 + P E l 0 Z W 0 + P E l 0 Z W 1 M b 2 N h d G l v b j 4 8 S X R l b V R 5 c G U + R m 9 y b X V s Y T w v S X R l b V R 5 c G U + P E l 0 Z W 1 Q Y X R o P l N l Y 3 R p b 2 4 x L 1 R h Y m x l M D A 0 J T I w K F B h Z 2 U l M j A 2 K S U y M C g y K S 9 U Y W J s Z T A w N D w v S X R l b V B h d G g + P C 9 J d G V t T G 9 j Y X R p b 2 4 + P F N 0 Y W J s Z U V u d H J p Z X M v P j w v S X R l b T 4 8 S X R l b T 4 8 S X R l b U x v Y 2 F 0 a W 9 u P j x J d G V t V H l w Z T 5 G b 3 J t d W x h P C 9 J d G V t V H l w Z T 4 8 S X R l b V B h d G g + U 2 V j d G l v b j E v V G F i b G U w M D Q l M j A o U G F n Z S U y M D Y p J T I w K D I p L 1 B y b 2 1 v d G V k J T I w S G V h Z G V y c z w v S X R l b V B h d G g + P C 9 J d G V t T G 9 j Y X R p b 2 4 + P F N 0 Y W J s Z U V u d H J p Z X M v P j w v S X R l b T 4 8 S X R l b T 4 8 S X R l b U x v Y 2 F 0 a W 9 u P j x J d G V t V H l w Z T 5 G b 3 J t d W x h P C 9 J d G V t V H l w Z T 4 8 S X R l b V B h d G g + U 2 V j d G l v b j E v V G F i b G U w M D Q l M j A o U G F n Z S U y M D Y p J T I w K D I p L 0 N o Y W 5 n Z W Q l M j B U e X B l 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C Y B A A A B A A A A 0 I y d 3 w E V 0 R G M e g D A T 8 K X 6 w E A A A C x M p 3 r R c M O T L c d Z a B e Y Y f c A A A A A A I A A A A A A B B m A A A A A Q A A I A A A A F a 9 v 6 b z m C e d S z Q j j X X u / P Y W 8 z X c 4 p G Y k S C r M E D A m 6 G X A A A A A A 6 A A A A A A g A A I A A A A P b m S + V B W h z a D u O u L X w X G / D c E D r l W c T b 2 r 8 F S T e X 9 N G v U A A A A B 0 9 C T M N T + R q u D j p v n B P v D L W 0 B 7 D y v m H c h f g C q 7 0 e W 2 c e r x X J 7 0 O F d L T L r N N X m G f y a x z z 5 O + T y W H F s H N / 9 L L 4 g b 8 b V a 6 3 a 1 G E U H l w M S g o c n s Q A A A A K k R Y 8 V B J l s 9 d 4 L k 0 Y z z y + R Q 6 s t 3 2 e e 1 5 V Q O E K f P B u w a L 1 W R Y 6 K G c e 3 s M u s V r Q k V P W V 2 J z l M I Q m 3 8 Y B c m h J b j 5 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1092C088A306734BB79E165B4110C071" ma:contentTypeVersion="16" ma:contentTypeDescription="Create a new document." ma:contentTypeScope="" ma:versionID="6dcb0cd50ed16e810f34c750fcf1b917">
  <xsd:schema xmlns:xsd="http://www.w3.org/2001/XMLSchema" xmlns:xs="http://www.w3.org/2001/XMLSchema" xmlns:p="http://schemas.microsoft.com/office/2006/metadata/properties" xmlns:ns2="0f40f2b5-5e33-410d-8d85-32854e1e6fa2" xmlns:ns3="15cde9e8-73d3-47be-bf70-de8640b984c9" targetNamespace="http://schemas.microsoft.com/office/2006/metadata/properties" ma:root="true" ma:fieldsID="b9dab5d8ca6fb4f3c218743be2dbcf52" ns2:_="" ns3:_="">
    <xsd:import namespace="0f40f2b5-5e33-410d-8d85-32854e1e6fa2"/>
    <xsd:import namespace="15cde9e8-73d3-47be-bf70-de8640b984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40f2b5-5e33-410d-8d85-32854e1e6f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5d298e1-810f-4711-8be9-ef4702f2a3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5cde9e8-73d3-47be-bf70-de8640b984c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68e0142-39b6-4e09-afff-9003d85bc4a1}" ma:internalName="TaxCatchAll" ma:showField="CatchAllData" ma:web="15cde9e8-73d3-47be-bf70-de8640b984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0f40f2b5-5e33-410d-8d85-32854e1e6fa2">
      <Terms xmlns="http://schemas.microsoft.com/office/infopath/2007/PartnerControls"/>
    </lcf76f155ced4ddcb4097134ff3c332f>
    <TaxCatchAll xmlns="15cde9e8-73d3-47be-bf70-de8640b984c9" xsi:nil="true"/>
  </documentManagement>
</p:properties>
</file>

<file path=customXml/itemProps1.xml><?xml version="1.0" encoding="utf-8"?>
<ds:datastoreItem xmlns:ds="http://schemas.openxmlformats.org/officeDocument/2006/customXml" ds:itemID="{6D841E8C-EB8E-45BE-9140-DF0DB00C527B}">
  <ds:schemaRefs>
    <ds:schemaRef ds:uri="http://schemas.microsoft.com/DataMashup"/>
  </ds:schemaRefs>
</ds:datastoreItem>
</file>

<file path=customXml/itemProps2.xml><?xml version="1.0" encoding="utf-8"?>
<ds:datastoreItem xmlns:ds="http://schemas.openxmlformats.org/officeDocument/2006/customXml" ds:itemID="{1043B7CB-8A3E-4664-A293-F53319D7E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40f2b5-5e33-410d-8d85-32854e1e6fa2"/>
    <ds:schemaRef ds:uri="15cde9e8-73d3-47be-bf70-de8640b98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26DB29-0EBF-42E5-84E3-A02300E2844D}">
  <ds:schemaRefs>
    <ds:schemaRef ds:uri="http://schemas.microsoft.com/sharepoint/v3/contenttype/forms"/>
  </ds:schemaRefs>
</ds:datastoreItem>
</file>

<file path=customXml/itemProps4.xml><?xml version="1.0" encoding="utf-8"?>
<ds:datastoreItem xmlns:ds="http://schemas.openxmlformats.org/officeDocument/2006/customXml" ds:itemID="{62134CDC-7BBA-4109-95C8-A76F526D7B58}">
  <ds:schemaRefs>
    <ds:schemaRef ds:uri="0f40f2b5-5e33-410d-8d85-32854e1e6fa2"/>
    <ds:schemaRef ds:uri="15cde9e8-73d3-47be-bf70-de8640b984c9"/>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33</vt:i4>
      </vt:variant>
    </vt:vector>
  </HeadingPairs>
  <TitlesOfParts>
    <vt:vector size="33" baseType="lpstr">
      <vt:lpstr>Document Control</vt:lpstr>
      <vt:lpstr>References</vt:lpstr>
      <vt:lpstr>Comparison Sheet</vt:lpstr>
      <vt:lpstr>Data Analysis (SEEP)</vt:lpstr>
      <vt:lpstr>Data Analysis (1-50)</vt:lpstr>
      <vt:lpstr>Data Analysis (50-1000)</vt:lpstr>
      <vt:lpstr>Data Analysis (&gt;1000)</vt:lpstr>
      <vt:lpstr>Jewell &amp; Senior 2012</vt:lpstr>
      <vt:lpstr>ZEP Report Nov 2019</vt:lpstr>
      <vt:lpstr>IOGP</vt:lpstr>
      <vt:lpstr>Alcalde, Flude et al </vt:lpstr>
      <vt:lpstr>HSE 1992_2015</vt:lpstr>
      <vt:lpstr>Schultz 2019</vt:lpstr>
      <vt:lpstr>Scandpower Johansen Fm</vt:lpstr>
      <vt:lpstr>Le Guen </vt:lpstr>
      <vt:lpstr>Lewicki 2006</vt:lpstr>
      <vt:lpstr>HSE Safety Lab</vt:lpstr>
      <vt:lpstr>Lindeburg</vt:lpstr>
      <vt:lpstr>Conley et al 2016</vt:lpstr>
      <vt:lpstr>Davies 2014</vt:lpstr>
      <vt:lpstr>PSA 2020 Rpt</vt:lpstr>
      <vt:lpstr>Doherty</vt:lpstr>
      <vt:lpstr>Vielstade</vt:lpstr>
      <vt:lpstr>Bai et al</vt:lpstr>
      <vt:lpstr>Bachu_Watson</vt:lpstr>
      <vt:lpstr>Jordon &amp; Carey</vt:lpstr>
      <vt:lpstr>Sandl et. al.</vt:lpstr>
      <vt:lpstr>Marlow1989</vt:lpstr>
      <vt:lpstr>King&amp;King</vt:lpstr>
      <vt:lpstr>Duncan</vt:lpstr>
      <vt:lpstr>Blackford</vt:lpstr>
      <vt:lpstr>Harp Num Model</vt:lpstr>
      <vt:lpstr>IEA R&amp;D Natural CO2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Deep Geological Storage of CO2 on the UK Continental Shelf: Containment Certainty: Supplementary Note E: Deep Geological Storage of CO2 Containment Certainty Wells References and Source Data</dc:title>
  <dc:subject/>
  <dc:creator>Laura Hardiman;David Hartgill;Neil Robertson</dc:creator>
  <cp:keywords/>
  <dc:description/>
  <cp:lastModifiedBy>Richard Jones</cp:lastModifiedBy>
  <cp:revision/>
  <dcterms:created xsi:type="dcterms:W3CDTF">2015-06-05T18:17:20Z</dcterms:created>
  <dcterms:modified xsi:type="dcterms:W3CDTF">2023-01-24T14:06:42Z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0x0101001092C088A306734BB79E165B4110C071</vt:lpwstr>
  </property>
  <property fmtid="{D5CDD505-2E9C-101B-9397-08002B2CF9AE}" pid="3" name="MediaServiceImageTags">
    <vt:lpwstr/>
  </property>
  <property fmtid="{D5CDD505-2E9C-101B-9397-08002B2CF9AE}" pid="4" name="_dlc_DocIdItemGuid">
    <vt:lpwstr>5a582bd1-6179-4154-af13-c315cc0bdb70</vt:lpwstr>
  </property>
  <property fmtid="{D5CDD505-2E9C-101B-9397-08002B2CF9AE}" pid="5" name="Business Unit">
    <vt:lpwstr>109;#CFD Design and Low Carbon Technologies|04d0916c-3755-4002-8422-12394716a620</vt:lpwstr>
  </property>
  <property fmtid="{D5CDD505-2E9C-101B-9397-08002B2CF9AE}" pid="6" name="MSIP_Label_ba62f585-b40f-4ab9-bafe-39150f03d124_Enabled">
    <vt:lpwstr>true</vt:lpwstr>
  </property>
  <property fmtid="{D5CDD505-2E9C-101B-9397-08002B2CF9AE}" pid="7" name="MSIP_Label_ba62f585-b40f-4ab9-bafe-39150f03d124_SetDate">
    <vt:lpwstr>2022-08-12T11:11:19Z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2f0f85c7-c1cc-452f-9c8b-52060ab12711</vt:lpwstr>
  </property>
  <property fmtid="{D5CDD505-2E9C-101B-9397-08002B2CF9AE}" pid="12" name="MSIP_Label_ba62f585-b40f-4ab9-bafe-39150f03d124_ContentBits">
    <vt:lpwstr>0</vt:lpwstr>
  </property>
</Properties>
</file>