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.sharepoint.com/sites/BEISH2ETeam/Shared Documents/WS8 - Hydrogen Networks and Markets/1. N&amp;M planning and PPM/Consultancy procurement (T&amp;S requirements)/Documents for publication/"/>
    </mc:Choice>
  </mc:AlternateContent>
  <xr:revisionPtr revIDLastSave="44" documentId="13_ncr:1_{D447824F-D6FD-4EB8-AF91-FE4C3D38569C}" xr6:coauthVersionLast="47" xr6:coauthVersionMax="47" xr10:uidLastSave="{A623E64D-75E6-46A5-9881-1E650B8BD727}"/>
  <bookViews>
    <workbookView xWindow="-120" yWindow="-120" windowWidth="29040" windowHeight="15840" tabRatio="728" firstSheet="4" activeTab="9" xr2:uid="{C6911915-8CE5-40B8-84B6-2B939FABB8B7}"/>
  </bookViews>
  <sheets>
    <sheet name="Home" sheetId="6" r:id="rId1"/>
    <sheet name="Inputs" sheetId="1" r:id="rId2"/>
    <sheet name="Demand by Sector" sheetId="2" r:id="rId3"/>
    <sheet name="Archetypes - Split" sheetId="3" r:id="rId4"/>
    <sheet name="Number of Archetypes" sheetId="4" r:id="rId5"/>
    <sheet name="Requirements Per Archetype" sheetId="5" r:id="rId6"/>
    <sheet name="Storage Infrastructure Rqmnts" sheetId="7" r:id="rId7"/>
    <sheet name="Storage Infrastructure Costs" sheetId="9" r:id="rId8"/>
    <sheet name="Transport Infrastructure Rqmnts" sheetId="8" r:id="rId9"/>
    <sheet name="Transport Infrastructure Costs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K22" i="4"/>
  <c r="W7" i="5"/>
  <c r="L22" i="10" s="1"/>
  <c r="W6" i="5"/>
  <c r="I21" i="10" s="1"/>
  <c r="W5" i="5"/>
  <c r="I20" i="10" s="1"/>
  <c r="D27" i="10"/>
  <c r="C27" i="10"/>
  <c r="D26" i="10"/>
  <c r="C26" i="10"/>
  <c r="D25" i="10"/>
  <c r="C25" i="10"/>
  <c r="D24" i="10"/>
  <c r="D23" i="10"/>
  <c r="C23" i="10"/>
  <c r="D22" i="10"/>
  <c r="C22" i="10"/>
  <c r="D21" i="10"/>
  <c r="C21" i="10"/>
  <c r="D20" i="10"/>
  <c r="C20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C7" i="8"/>
  <c r="D7" i="8"/>
  <c r="E7" i="8"/>
  <c r="F7" i="8"/>
  <c r="C8" i="8"/>
  <c r="D8" i="8"/>
  <c r="E8" i="8"/>
  <c r="F8" i="8"/>
  <c r="F6" i="8"/>
  <c r="E6" i="8"/>
  <c r="D6" i="8"/>
  <c r="C6" i="8"/>
  <c r="D26" i="7"/>
  <c r="C26" i="7"/>
  <c r="D25" i="7"/>
  <c r="C25" i="7"/>
  <c r="D24" i="7"/>
  <c r="C24" i="7"/>
  <c r="D23" i="7"/>
  <c r="D22" i="7"/>
  <c r="C22" i="7"/>
  <c r="D21" i="7"/>
  <c r="C21" i="7"/>
  <c r="D20" i="7"/>
  <c r="C20" i="7"/>
  <c r="D19" i="7"/>
  <c r="C19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J6" i="10" l="1"/>
  <c r="K8" i="10"/>
  <c r="J20" i="10"/>
  <c r="K22" i="10"/>
  <c r="K6" i="10"/>
  <c r="J8" i="10"/>
  <c r="K20" i="10"/>
  <c r="J22" i="10"/>
  <c r="L6" i="10"/>
  <c r="I8" i="10"/>
  <c r="L20" i="10"/>
  <c r="I22" i="10"/>
  <c r="L7" i="10"/>
  <c r="L21" i="10"/>
  <c r="K7" i="10"/>
  <c r="K21" i="10"/>
  <c r="J7" i="10"/>
  <c r="J21" i="10"/>
  <c r="I7" i="10"/>
  <c r="I6" i="10"/>
  <c r="L8" i="10"/>
  <c r="E20" i="5"/>
  <c r="E19" i="5"/>
  <c r="E18" i="5"/>
  <c r="E17" i="5"/>
  <c r="E15" i="5"/>
  <c r="D6" i="5"/>
  <c r="D7" i="5"/>
  <c r="D8" i="5"/>
  <c r="S8" i="5" s="1"/>
  <c r="G9" i="10" s="1"/>
  <c r="D9" i="5"/>
  <c r="D10" i="5"/>
  <c r="D11" i="5"/>
  <c r="D12" i="5"/>
  <c r="D5" i="5"/>
  <c r="V19" i="4"/>
  <c r="X19" i="4" s="1"/>
  <c r="V20" i="4"/>
  <c r="X20" i="4" s="1"/>
  <c r="V21" i="4"/>
  <c r="X21" i="4" s="1"/>
  <c r="V22" i="4"/>
  <c r="X22" i="4" s="1"/>
  <c r="V23" i="4"/>
  <c r="X23" i="4" s="1"/>
  <c r="V24" i="4"/>
  <c r="X24" i="4" s="1"/>
  <c r="V25" i="4"/>
  <c r="X25" i="4" s="1"/>
  <c r="V18" i="4"/>
  <c r="W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18" i="4"/>
  <c r="U18" i="4" s="1"/>
  <c r="P19" i="4"/>
  <c r="R19" i="4" s="1"/>
  <c r="P20" i="4"/>
  <c r="R20" i="4" s="1"/>
  <c r="P21" i="4"/>
  <c r="R21" i="4" s="1"/>
  <c r="P22" i="4"/>
  <c r="R22" i="4" s="1"/>
  <c r="P23" i="4"/>
  <c r="R23" i="4" s="1"/>
  <c r="P24" i="4"/>
  <c r="R24" i="4" s="1"/>
  <c r="P25" i="4"/>
  <c r="R25" i="4" s="1"/>
  <c r="P18" i="4"/>
  <c r="R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18" i="4"/>
  <c r="O18" i="4" s="1"/>
  <c r="J19" i="4"/>
  <c r="L19" i="4" s="1"/>
  <c r="J20" i="4"/>
  <c r="L20" i="4" s="1"/>
  <c r="J21" i="4"/>
  <c r="L21" i="4" s="1"/>
  <c r="J22" i="4"/>
  <c r="L22" i="4" s="1"/>
  <c r="J23" i="4"/>
  <c r="L23" i="4" s="1"/>
  <c r="J24" i="4"/>
  <c r="L24" i="4" s="1"/>
  <c r="J25" i="4"/>
  <c r="L25" i="4" s="1"/>
  <c r="J18" i="4"/>
  <c r="L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18" i="4"/>
  <c r="I18" i="4" s="1"/>
  <c r="V5" i="4"/>
  <c r="X5" i="4" s="1"/>
  <c r="V6" i="4"/>
  <c r="X6" i="4" s="1"/>
  <c r="V7" i="4"/>
  <c r="W7" i="4" s="1"/>
  <c r="V8" i="4"/>
  <c r="X8" i="4" s="1"/>
  <c r="V9" i="4"/>
  <c r="X9" i="4" s="1"/>
  <c r="V10" i="4"/>
  <c r="X10" i="4" s="1"/>
  <c r="V11" i="4"/>
  <c r="X11" i="4" s="1"/>
  <c r="V4" i="4"/>
  <c r="X4" i="4" s="1"/>
  <c r="S5" i="4"/>
  <c r="U5" i="4" s="1"/>
  <c r="S6" i="4"/>
  <c r="U6" i="4" s="1"/>
  <c r="S7" i="4"/>
  <c r="T7" i="4" s="1"/>
  <c r="S8" i="4"/>
  <c r="U8" i="4" s="1"/>
  <c r="S9" i="4"/>
  <c r="U9" i="4" s="1"/>
  <c r="S10" i="4"/>
  <c r="U10" i="4" s="1"/>
  <c r="S11" i="4"/>
  <c r="U11" i="4" s="1"/>
  <c r="S4" i="4"/>
  <c r="U4" i="4" s="1"/>
  <c r="P5" i="4"/>
  <c r="R5" i="4" s="1"/>
  <c r="P6" i="4"/>
  <c r="R6" i="4" s="1"/>
  <c r="P7" i="4"/>
  <c r="Q7" i="4" s="1"/>
  <c r="P8" i="4"/>
  <c r="R8" i="4" s="1"/>
  <c r="P9" i="4"/>
  <c r="R9" i="4" s="1"/>
  <c r="P10" i="4"/>
  <c r="R10" i="4" s="1"/>
  <c r="P11" i="4"/>
  <c r="R11" i="4" s="1"/>
  <c r="P4" i="4"/>
  <c r="R4" i="4" s="1"/>
  <c r="M5" i="4"/>
  <c r="O5" i="4" s="1"/>
  <c r="M6" i="4"/>
  <c r="O6" i="4" s="1"/>
  <c r="M7" i="4"/>
  <c r="N7" i="4" s="1"/>
  <c r="M8" i="4"/>
  <c r="O8" i="4" s="1"/>
  <c r="M9" i="4"/>
  <c r="O9" i="4" s="1"/>
  <c r="M10" i="4"/>
  <c r="O10" i="4" s="1"/>
  <c r="M11" i="4"/>
  <c r="N11" i="4" s="1"/>
  <c r="M4" i="4"/>
  <c r="O4" i="4" s="1"/>
  <c r="J5" i="4"/>
  <c r="L5" i="4" s="1"/>
  <c r="J6" i="4"/>
  <c r="L6" i="4" s="1"/>
  <c r="J7" i="4"/>
  <c r="L7" i="4" s="1"/>
  <c r="J8" i="4"/>
  <c r="L8" i="4" s="1"/>
  <c r="J9" i="4"/>
  <c r="L9" i="4" s="1"/>
  <c r="J10" i="4"/>
  <c r="K10" i="4" s="1"/>
  <c r="J11" i="4"/>
  <c r="K11" i="4" s="1"/>
  <c r="J4" i="4"/>
  <c r="L4" i="4" s="1"/>
  <c r="G5" i="4"/>
  <c r="I5" i="4" s="1"/>
  <c r="G6" i="4"/>
  <c r="I6" i="4" s="1"/>
  <c r="G7" i="4"/>
  <c r="I7" i="4" s="1"/>
  <c r="G8" i="4"/>
  <c r="I8" i="4" s="1"/>
  <c r="G9" i="4"/>
  <c r="I9" i="4" s="1"/>
  <c r="G10" i="4"/>
  <c r="H10" i="4" s="1"/>
  <c r="G11" i="4"/>
  <c r="I11" i="4" s="1"/>
  <c r="G4" i="4"/>
  <c r="I4" i="4" s="1"/>
  <c r="H23" i="10" l="1"/>
  <c r="Q8" i="5"/>
  <c r="S5" i="5"/>
  <c r="Q5" i="5"/>
  <c r="G23" i="10"/>
  <c r="R7" i="5"/>
  <c r="Q7" i="5"/>
  <c r="S7" i="5"/>
  <c r="S12" i="5"/>
  <c r="Q12" i="5"/>
  <c r="S11" i="5"/>
  <c r="Q11" i="5"/>
  <c r="S9" i="5"/>
  <c r="Q9" i="5"/>
  <c r="Q6" i="5"/>
  <c r="S6" i="5"/>
  <c r="S10" i="5"/>
  <c r="Q10" i="5"/>
  <c r="H9" i="10"/>
  <c r="R8" i="5"/>
  <c r="T8" i="5"/>
  <c r="W8" i="5" s="1"/>
  <c r="F6" i="5"/>
  <c r="R6" i="5"/>
  <c r="F5" i="5"/>
  <c r="M5" i="5" s="1"/>
  <c r="R5" i="5"/>
  <c r="R12" i="5"/>
  <c r="T12" i="5"/>
  <c r="W12" i="5" s="1"/>
  <c r="T11" i="5"/>
  <c r="W11" i="5" s="1"/>
  <c r="R11" i="5"/>
  <c r="G9" i="5"/>
  <c r="T9" i="5"/>
  <c r="W9" i="5" s="1"/>
  <c r="R9" i="5"/>
  <c r="T10" i="5"/>
  <c r="W10" i="5" s="1"/>
  <c r="R10" i="5"/>
  <c r="H7" i="4"/>
  <c r="H11" i="4"/>
  <c r="H8" i="4"/>
  <c r="H4" i="4"/>
  <c r="W22" i="4"/>
  <c r="F12" i="5"/>
  <c r="F7" i="5"/>
  <c r="F10" i="5"/>
  <c r="G10" i="5"/>
  <c r="F8" i="5"/>
  <c r="G12" i="5"/>
  <c r="F11" i="5"/>
  <c r="G11" i="5"/>
  <c r="F9" i="5"/>
  <c r="L11" i="4"/>
  <c r="O11" i="4"/>
  <c r="Q11" i="4"/>
  <c r="R7" i="4"/>
  <c r="T11" i="4"/>
  <c r="W11" i="4"/>
  <c r="X7" i="4"/>
  <c r="H18" i="4"/>
  <c r="N18" i="4"/>
  <c r="Q22" i="4"/>
  <c r="T22" i="4"/>
  <c r="X18" i="4"/>
  <c r="I10" i="4"/>
  <c r="L10" i="4"/>
  <c r="N6" i="4"/>
  <c r="Q6" i="4"/>
  <c r="T6" i="4"/>
  <c r="W6" i="4"/>
  <c r="H25" i="4"/>
  <c r="H21" i="4"/>
  <c r="K25" i="4"/>
  <c r="K21" i="4"/>
  <c r="N25" i="4"/>
  <c r="N21" i="4"/>
  <c r="Q25" i="4"/>
  <c r="Q21" i="4"/>
  <c r="T25" i="4"/>
  <c r="T21" i="4"/>
  <c r="W25" i="4"/>
  <c r="W21" i="4"/>
  <c r="K7" i="4"/>
  <c r="O7" i="4"/>
  <c r="U7" i="4"/>
  <c r="H22" i="4"/>
  <c r="K18" i="4"/>
  <c r="N22" i="4"/>
  <c r="Q18" i="4"/>
  <c r="H6" i="4"/>
  <c r="K6" i="4"/>
  <c r="N10" i="4"/>
  <c r="Q10" i="4"/>
  <c r="T10" i="4"/>
  <c r="W10" i="4"/>
  <c r="H9" i="4"/>
  <c r="H5" i="4"/>
  <c r="K9" i="4"/>
  <c r="K5" i="4"/>
  <c r="N9" i="4"/>
  <c r="N5" i="4"/>
  <c r="Q9" i="4"/>
  <c r="Q5" i="4"/>
  <c r="T9" i="4"/>
  <c r="T5" i="4"/>
  <c r="W9" i="4"/>
  <c r="W5" i="4"/>
  <c r="H24" i="4"/>
  <c r="H20" i="4"/>
  <c r="K24" i="4"/>
  <c r="K20" i="4"/>
  <c r="N24" i="4"/>
  <c r="N20" i="4"/>
  <c r="Q24" i="4"/>
  <c r="Q20" i="4"/>
  <c r="T24" i="4"/>
  <c r="T20" i="4"/>
  <c r="W24" i="4"/>
  <c r="W20" i="4"/>
  <c r="T18" i="4"/>
  <c r="K4" i="4"/>
  <c r="K8" i="4"/>
  <c r="N4" i="4"/>
  <c r="N8" i="4"/>
  <c r="Q4" i="4"/>
  <c r="Q8" i="4"/>
  <c r="T4" i="4"/>
  <c r="T8" i="4"/>
  <c r="W4" i="4"/>
  <c r="W8" i="4"/>
  <c r="H23" i="4"/>
  <c r="H19" i="4"/>
  <c r="K23" i="4"/>
  <c r="K19" i="4"/>
  <c r="N23" i="4"/>
  <c r="N19" i="4"/>
  <c r="Q23" i="4"/>
  <c r="Q19" i="4"/>
  <c r="T23" i="4"/>
  <c r="T19" i="4"/>
  <c r="W23" i="4"/>
  <c r="W19" i="4"/>
  <c r="J6" i="5" l="1"/>
  <c r="E6" i="7" s="1"/>
  <c r="K6" i="5"/>
  <c r="K5" i="5"/>
  <c r="I25" i="10"/>
  <c r="I11" i="10"/>
  <c r="J25" i="10"/>
  <c r="J11" i="10"/>
  <c r="K25" i="10"/>
  <c r="K11" i="10"/>
  <c r="L25" i="10"/>
  <c r="L11" i="10"/>
  <c r="G27" i="10"/>
  <c r="H27" i="10"/>
  <c r="G13" i="10"/>
  <c r="H13" i="10"/>
  <c r="G10" i="8"/>
  <c r="H10" i="8"/>
  <c r="J10" i="8"/>
  <c r="G21" i="10"/>
  <c r="G7" i="10"/>
  <c r="H7" i="10"/>
  <c r="H21" i="10"/>
  <c r="L24" i="10"/>
  <c r="L10" i="10"/>
  <c r="I24" i="10"/>
  <c r="I10" i="10"/>
  <c r="J24" i="10"/>
  <c r="J10" i="10"/>
  <c r="K24" i="10"/>
  <c r="K10" i="10"/>
  <c r="F8" i="10"/>
  <c r="E8" i="10"/>
  <c r="F22" i="10"/>
  <c r="E22" i="10"/>
  <c r="I23" i="10"/>
  <c r="I9" i="10"/>
  <c r="J23" i="10"/>
  <c r="J9" i="10"/>
  <c r="K23" i="10"/>
  <c r="K9" i="10"/>
  <c r="L23" i="10"/>
  <c r="L9" i="10"/>
  <c r="G9" i="8"/>
  <c r="H9" i="8"/>
  <c r="I9" i="8"/>
  <c r="J9" i="8"/>
  <c r="E12" i="10"/>
  <c r="F26" i="10"/>
  <c r="E26" i="10"/>
  <c r="F12" i="10"/>
  <c r="F20" i="10"/>
  <c r="E6" i="10"/>
  <c r="E20" i="10"/>
  <c r="F6" i="10"/>
  <c r="J6" i="8"/>
  <c r="G6" i="8"/>
  <c r="I6" i="8"/>
  <c r="H6" i="8"/>
  <c r="G7" i="8"/>
  <c r="H7" i="8"/>
  <c r="I7" i="8"/>
  <c r="J7" i="8"/>
  <c r="E21" i="10"/>
  <c r="E7" i="10"/>
  <c r="F7" i="10"/>
  <c r="F21" i="10"/>
  <c r="E24" i="10"/>
  <c r="F10" i="10"/>
  <c r="F24" i="10"/>
  <c r="E10" i="10"/>
  <c r="L6" i="5"/>
  <c r="G20" i="7" s="1"/>
  <c r="J12" i="8"/>
  <c r="G12" i="8"/>
  <c r="H12" i="8"/>
  <c r="I12" i="8"/>
  <c r="M6" i="5"/>
  <c r="H20" i="7" s="1"/>
  <c r="I27" i="10"/>
  <c r="I13" i="10"/>
  <c r="J27" i="10"/>
  <c r="J13" i="10"/>
  <c r="K27" i="10"/>
  <c r="K13" i="10"/>
  <c r="L27" i="10"/>
  <c r="L13" i="10"/>
  <c r="G26" i="10"/>
  <c r="H26" i="10"/>
  <c r="H12" i="10"/>
  <c r="G12" i="10"/>
  <c r="G20" i="10"/>
  <c r="G6" i="10"/>
  <c r="H6" i="10"/>
  <c r="H20" i="10"/>
  <c r="G11" i="10"/>
  <c r="H25" i="10"/>
  <c r="H11" i="10"/>
  <c r="G25" i="10"/>
  <c r="H22" i="10"/>
  <c r="G22" i="10"/>
  <c r="G8" i="10"/>
  <c r="H8" i="10"/>
  <c r="J8" i="8"/>
  <c r="G8" i="8"/>
  <c r="H8" i="8"/>
  <c r="I8" i="8"/>
  <c r="G10" i="10"/>
  <c r="G24" i="10"/>
  <c r="H24" i="10"/>
  <c r="H10" i="10"/>
  <c r="L26" i="10"/>
  <c r="L12" i="10"/>
  <c r="I26" i="10"/>
  <c r="I12" i="10"/>
  <c r="J26" i="10"/>
  <c r="J12" i="10"/>
  <c r="K26" i="10"/>
  <c r="K12" i="10"/>
  <c r="J5" i="5"/>
  <c r="E5" i="7" s="1"/>
  <c r="H11" i="8"/>
  <c r="I11" i="8"/>
  <c r="J11" i="8"/>
  <c r="G11" i="8"/>
  <c r="H13" i="8"/>
  <c r="I13" i="8"/>
  <c r="J13" i="8"/>
  <c r="G13" i="8"/>
  <c r="F11" i="10"/>
  <c r="E11" i="10"/>
  <c r="F25" i="10"/>
  <c r="E25" i="10"/>
  <c r="E27" i="10"/>
  <c r="F13" i="10"/>
  <c r="F27" i="10"/>
  <c r="E13" i="10"/>
  <c r="E23" i="10"/>
  <c r="E9" i="10"/>
  <c r="F9" i="10"/>
  <c r="F23" i="10"/>
  <c r="L5" i="5"/>
  <c r="C10" i="8"/>
  <c r="D10" i="8"/>
  <c r="F10" i="8"/>
  <c r="C13" i="8"/>
  <c r="D13" i="8"/>
  <c r="E13" i="8"/>
  <c r="F13" i="8"/>
  <c r="F19" i="7"/>
  <c r="F5" i="7"/>
  <c r="C12" i="8"/>
  <c r="D12" i="8"/>
  <c r="E12" i="8"/>
  <c r="F12" i="8"/>
  <c r="F20" i="7"/>
  <c r="F6" i="7"/>
  <c r="H19" i="7"/>
  <c r="H5" i="7"/>
  <c r="C11" i="8"/>
  <c r="D11" i="8"/>
  <c r="E11" i="8"/>
  <c r="F11" i="8"/>
  <c r="C9" i="8"/>
  <c r="D9" i="8"/>
  <c r="E9" i="8"/>
  <c r="F9" i="8"/>
  <c r="H6" i="7"/>
  <c r="E23" i="4"/>
  <c r="E4" i="4"/>
  <c r="E20" i="4"/>
  <c r="E8" i="4"/>
  <c r="E25" i="4"/>
  <c r="E24" i="4"/>
  <c r="E18" i="4"/>
  <c r="K8" i="5"/>
  <c r="J8" i="5"/>
  <c r="M8" i="5"/>
  <c r="L8" i="5"/>
  <c r="K12" i="5"/>
  <c r="M12" i="5"/>
  <c r="L12" i="5"/>
  <c r="J12" i="5"/>
  <c r="J11" i="5"/>
  <c r="M11" i="5"/>
  <c r="L11" i="5"/>
  <c r="K11" i="5"/>
  <c r="M9" i="5"/>
  <c r="L9" i="5"/>
  <c r="J9" i="5"/>
  <c r="K9" i="5"/>
  <c r="K10" i="5"/>
  <c r="M10" i="5"/>
  <c r="L10" i="5"/>
  <c r="J10" i="5"/>
  <c r="J7" i="5"/>
  <c r="M7" i="5"/>
  <c r="L7" i="5"/>
  <c r="K7" i="5"/>
  <c r="E19" i="4"/>
  <c r="E22" i="4"/>
  <c r="E10" i="8" s="1"/>
  <c r="E21" i="4"/>
  <c r="E20" i="7" l="1"/>
  <c r="E19" i="7"/>
  <c r="G6" i="7"/>
  <c r="C24" i="10"/>
  <c r="I10" i="8"/>
  <c r="I15" i="8" s="1"/>
  <c r="C23" i="7"/>
  <c r="G23" i="7" s="1"/>
  <c r="E15" i="8"/>
  <c r="G5" i="7"/>
  <c r="C15" i="8"/>
  <c r="G19" i="7"/>
  <c r="G8" i="7"/>
  <c r="G22" i="7"/>
  <c r="H7" i="7"/>
  <c r="H21" i="7"/>
  <c r="E25" i="7"/>
  <c r="E11" i="7"/>
  <c r="H8" i="7"/>
  <c r="H22" i="7"/>
  <c r="D15" i="8"/>
  <c r="F10" i="7"/>
  <c r="F24" i="7"/>
  <c r="E9" i="7"/>
  <c r="E26" i="7"/>
  <c r="E12" i="7"/>
  <c r="H11" i="7"/>
  <c r="H25" i="7"/>
  <c r="E22" i="7"/>
  <c r="E8" i="7"/>
  <c r="F22" i="7"/>
  <c r="F8" i="7"/>
  <c r="G15" i="8"/>
  <c r="E21" i="7"/>
  <c r="E7" i="7"/>
  <c r="G12" i="7"/>
  <c r="G26" i="7"/>
  <c r="H15" i="8"/>
  <c r="G7" i="7"/>
  <c r="G21" i="7"/>
  <c r="G9" i="7"/>
  <c r="G24" i="7"/>
  <c r="G10" i="7"/>
  <c r="F25" i="7"/>
  <c r="F11" i="7"/>
  <c r="H26" i="7"/>
  <c r="H12" i="7"/>
  <c r="F23" i="7"/>
  <c r="F9" i="7"/>
  <c r="E10" i="7"/>
  <c r="E24" i="7"/>
  <c r="H9" i="7"/>
  <c r="H23" i="7"/>
  <c r="F21" i="7"/>
  <c r="F7" i="7"/>
  <c r="H24" i="7"/>
  <c r="H10" i="7"/>
  <c r="G11" i="7"/>
  <c r="G25" i="7"/>
  <c r="F26" i="7"/>
  <c r="F12" i="7"/>
  <c r="F15" i="8"/>
  <c r="J15" i="8"/>
  <c r="E27" i="4"/>
  <c r="E28" i="4"/>
  <c r="E23" i="7" l="1"/>
  <c r="E28" i="7" s="1"/>
  <c r="E29" i="7" s="1"/>
  <c r="C7" i="9" s="1"/>
  <c r="K15" i="10"/>
  <c r="G14" i="7"/>
  <c r="G15" i="7" s="1"/>
  <c r="E6" i="9" s="1"/>
  <c r="I15" i="10"/>
  <c r="E14" i="7"/>
  <c r="E15" i="7" s="1"/>
  <c r="C6" i="9" s="1"/>
  <c r="H28" i="7"/>
  <c r="H29" i="7" s="1"/>
  <c r="F7" i="9" s="1"/>
  <c r="K29" i="10"/>
  <c r="G28" i="7"/>
  <c r="G29" i="7" s="1"/>
  <c r="E7" i="9" s="1"/>
  <c r="J15" i="10"/>
  <c r="F14" i="7"/>
  <c r="F15" i="7" s="1"/>
  <c r="D6" i="9" s="1"/>
  <c r="J29" i="10"/>
  <c r="F28" i="7"/>
  <c r="F29" i="7" s="1"/>
  <c r="D7" i="9" s="1"/>
  <c r="H14" i="7"/>
  <c r="H15" i="7" s="1"/>
  <c r="F6" i="9" s="1"/>
  <c r="I29" i="10"/>
  <c r="L15" i="10"/>
  <c r="L29" i="10"/>
  <c r="C28" i="1"/>
  <c r="C25" i="1"/>
  <c r="E7" i="4" l="1"/>
  <c r="E11" i="4"/>
  <c r="E10" i="4"/>
  <c r="F22" i="4" l="1"/>
  <c r="F25" i="4"/>
  <c r="F18" i="4"/>
  <c r="F24" i="4"/>
  <c r="E5" i="4"/>
  <c r="E6" i="4"/>
  <c r="E9" i="4"/>
  <c r="F23" i="4"/>
  <c r="F11" i="4"/>
  <c r="F7" i="4"/>
  <c r="F8" i="4"/>
  <c r="F10" i="4"/>
  <c r="F5" i="4"/>
  <c r="F9" i="4"/>
  <c r="F4" i="4"/>
  <c r="F6" i="4"/>
  <c r="E15" i="10" l="1"/>
  <c r="G29" i="10"/>
  <c r="E29" i="10"/>
  <c r="H15" i="10"/>
  <c r="G15" i="10"/>
  <c r="F29" i="10"/>
  <c r="F15" i="10"/>
  <c r="H29" i="10"/>
  <c r="E13" i="4"/>
  <c r="F14" i="4"/>
  <c r="F13" i="4"/>
  <c r="F28" i="4"/>
  <c r="E14" i="4"/>
  <c r="F20" i="4"/>
  <c r="F21" i="4"/>
  <c r="F19" i="4"/>
  <c r="F27" i="4" l="1"/>
</calcChain>
</file>

<file path=xl/sharedStrings.xml><?xml version="1.0" encoding="utf-8"?>
<sst xmlns="http://schemas.openxmlformats.org/spreadsheetml/2006/main" count="361" uniqueCount="152">
  <si>
    <t>Index</t>
  </si>
  <si>
    <t>Click on a sheet name to go to the sheet with the corresponding information:</t>
  </si>
  <si>
    <t>Sheet Name</t>
  </si>
  <si>
    <t>Sheet Description</t>
  </si>
  <si>
    <t>Inputs</t>
  </si>
  <si>
    <t>List of input data and reference sources.</t>
  </si>
  <si>
    <t>Demand by Sector</t>
  </si>
  <si>
    <t>Annual demand, in GWh, for sectors in 2030 and 2035</t>
  </si>
  <si>
    <t>Archetypes - Split</t>
  </si>
  <si>
    <r>
      <t xml:space="preserve">How the sectors are apportioned to </t>
    </r>
    <r>
      <rPr>
        <i/>
        <sz val="11"/>
        <color theme="1"/>
        <rFont val="Calibri"/>
        <family val="2"/>
        <scheme val="minor"/>
      </rPr>
      <t>archetypes</t>
    </r>
  </si>
  <si>
    <t>Number of Archetypes</t>
  </si>
  <si>
    <r>
      <t xml:space="preserve">Aggregation of </t>
    </r>
    <r>
      <rPr>
        <i/>
        <sz val="11"/>
        <color theme="1"/>
        <rFont val="Calibri"/>
        <family val="2"/>
        <scheme val="minor"/>
      </rPr>
      <t>archetypes</t>
    </r>
    <r>
      <rPr>
        <sz val="11"/>
        <color theme="1"/>
        <rFont val="Calibri"/>
        <family val="2"/>
        <scheme val="minor"/>
      </rPr>
      <t xml:space="preserve"> to meet the demand</t>
    </r>
  </si>
  <si>
    <t>Requirements Per Archetype</t>
  </si>
  <si>
    <t>Calculations of Transportation and Storage infrastructure requirements for each archetype</t>
  </si>
  <si>
    <t>Storage Infrastructure Rqmnts</t>
  </si>
  <si>
    <t>Resultant Storage infrastructure requirements at 2030 and 2035</t>
  </si>
  <si>
    <t>Storage Infrastructure Costs</t>
  </si>
  <si>
    <t>Resultant Storage infrastructure costs at 2030 and 2035</t>
  </si>
  <si>
    <t>Transport Infrastructure Rqmnts</t>
  </si>
  <si>
    <t>Resultant Transport infrastructure requirements at 2030 and 2035</t>
  </si>
  <si>
    <t>Transport Infrastructure Costs</t>
  </si>
  <si>
    <t>Resultant Transport infrastructure costs at 2030 and 2035</t>
  </si>
  <si>
    <t>`</t>
  </si>
  <si>
    <t>Storage inputs</t>
  </si>
  <si>
    <t>Reason for storage</t>
  </si>
  <si>
    <t>Min/Max</t>
  </si>
  <si>
    <t>% of production</t>
  </si>
  <si>
    <t>Comments</t>
  </si>
  <si>
    <t>Electrolytic – inter-day</t>
  </si>
  <si>
    <t>Min</t>
  </si>
  <si>
    <t>based on 4 days of average production (assumed)  - Report Section 5.1.1</t>
  </si>
  <si>
    <t>Electrolytic – seasonal</t>
  </si>
  <si>
    <t>Max</t>
  </si>
  <si>
    <t>Typical seasonal storage required for wind power  - Report Section 5.1.1</t>
  </si>
  <si>
    <t xml:space="preserve">CCUS-enabled: </t>
  </si>
  <si>
    <t>LF of 0.95. Plant downtime spread evenly across 12 months (0.4% per month) - Report Section 5.1.2</t>
  </si>
  <si>
    <t>LF of 0.95. Plant downtime in 1 month (18 days in 1 month)  - Report Section 5.1.2</t>
  </si>
  <si>
    <t>Flexible power</t>
  </si>
  <si>
    <t>Analysis of the use of gas in current CCGT plants suggests that hydrogen demand could double (from the yearly average) for up to 10 – 20 days. This would be the equivalent to around 3 – 5 % of the annual hydrogen demand for power  - Report Section 5.1.3</t>
  </si>
  <si>
    <t>As above, based on 20 days storage requirement  - Report Section 5.1.3</t>
  </si>
  <si>
    <t>Name / Description</t>
  </si>
  <si>
    <t>Value</t>
  </si>
  <si>
    <t>Source</t>
  </si>
  <si>
    <t>Workings / Comments</t>
  </si>
  <si>
    <t>Levelized cost of surface storage (£/kg)</t>
  </si>
  <si>
    <t>https://www2.deloitte.com/content/dam/Deloitte/uk/Documents/energy-resources/deloitte-uk-energy-resources-investing-in-hydrogen.pdf</t>
  </si>
  <si>
    <t xml:space="preserve">Mean value taken across three scenarios on p23(/40), including conversion and storage </t>
  </si>
  <si>
    <t>Levelized costs of salt cavern storage (£/kg)</t>
  </si>
  <si>
    <t>(1)https://www.euractiv.com/wp-content/uploads/sites/2/2021/07/Aurora-MCS-Enabling-the-European-hydrogen-economy-20210322.pdf</t>
  </si>
  <si>
    <t>Mean value taken from p18(/29) of Source 1 and p14(/64) of Source 2, converted from €/kg to £/kg</t>
  </si>
  <si>
    <t>(2) https://www.dnv.com/Publications/hydrogen-in-the-electricity-value-chain-225850</t>
  </si>
  <si>
    <t>High heating value, hydrogen (kWh/kg)</t>
  </si>
  <si>
    <t>Hydrogen production costs 2021 (publishing.service.gov.uk)</t>
  </si>
  <si>
    <t>Higher heating value</t>
  </si>
  <si>
    <t>Transport inputs</t>
  </si>
  <si>
    <t>Energy per kg hydrogen (GWh/kg)</t>
  </si>
  <si>
    <t>Higher Heating Value, Energy per kg hydrogen (TWh/kg)</t>
  </si>
  <si>
    <t>Levelized cost of trailering (£/kg)</t>
  </si>
  <si>
    <t>Path-to-Hydrogen-Competitiveness_Full-Study-1.pdf (hydrogencouncil.com)</t>
  </si>
  <si>
    <t>Averaged across 2020 and 2030 predictions
preparation, production and refuelling station taken out (p29)</t>
  </si>
  <si>
    <t>Levelized cost of pipeline delivery of H2 (£/kg)</t>
  </si>
  <si>
    <t>https://www.dnv.com/Publications/hydrogen-in-the-electricity-value-chain-225850</t>
  </si>
  <si>
    <t>40 year lifetime
the mid point of costs across on-shore, off-shore, and varying diameters
includes compression costs
converted from EUR
p53/64 (split on p52/64)</t>
  </si>
  <si>
    <t>Truck capacity (TWh)</t>
  </si>
  <si>
    <t>https://www.dnv.com/Publications/hydrogen-in-the-electricity-value-chain-225851</t>
  </si>
  <si>
    <t>800kg @ 350bar (from p15 of source)
converted to TWh</t>
  </si>
  <si>
    <t>Truck capacity (GWh)</t>
  </si>
  <si>
    <t>km/TWh hydrogen production centre</t>
  </si>
  <si>
    <t>(1)
https://hynet.co.uk/wp-content/uploads/2018/05/14368_CADENT_PROJECT_REPORT_AMENDED_v22105.pdf</t>
  </si>
  <si>
    <t xml:space="preserve">From source 1 (p13), for 890MW, with a load factor of 0.95 (assumed), and 109km pipeline, gives approx 15km/TWh. From source 2 (p7), 30TWh/yr, with 350km new pipeline, gives approx 12km/TWh.
Maximum value used to provide conservative estimates. </t>
  </si>
  <si>
    <t>(2) https://hynet.co.uk/wp-content/uploads/2020/10/HyNet_NW-Vision-Document-2020_FINAL.pdf</t>
  </si>
  <si>
    <t>pipeline capex, 
new onshore (£/km)</t>
  </si>
  <si>
    <t>(1) EHB-A-European-hydrogen-infrastructure-vision-covering-28-countries.pdf (gasforclimate2050.eu)</t>
  </si>
  <si>
    <r>
      <t xml:space="preserve">Converted from </t>
    </r>
    <r>
      <rPr>
        <sz val="11"/>
        <color theme="1"/>
        <rFont val="Calibri"/>
        <family val="2"/>
      </rPr>
      <t xml:space="preserve">€/km to £/km, </t>
    </r>
    <r>
      <rPr>
        <sz val="11"/>
        <color theme="1"/>
        <rFont val="Calibri"/>
        <family val="2"/>
        <scheme val="minor"/>
      </rPr>
      <t xml:space="preserve">average across two sources.
Source 1 (EHB), new onshore capex gives 1.86 £M/km.
Source 2 (EnergyNetworks), onshore transmission capex gives 1.20 £M/km. </t>
    </r>
  </si>
  <si>
    <t>(2) energynetworks.org</t>
  </si>
  <si>
    <t>pipeline capex repurposed (£/km)</t>
  </si>
  <si>
    <t>Converted from €/km to £/km.</t>
  </si>
  <si>
    <t>length of pipeline  per TWh annual usage, for a distributed user</t>
  </si>
  <si>
    <t>Report, Section 5.2.1, Table 13, Archetype 6</t>
  </si>
  <si>
    <t>From main report Figure 7</t>
  </si>
  <si>
    <t>Demand (GWh)</t>
  </si>
  <si>
    <t>Sector</t>
  </si>
  <si>
    <t>Lower</t>
  </si>
  <si>
    <t>Upper</t>
  </si>
  <si>
    <t>Industry</t>
  </si>
  <si>
    <t>Flexible Electrical Power Supply</t>
  </si>
  <si>
    <t>Domestic Transport</t>
  </si>
  <si>
    <t>Buildings</t>
  </si>
  <si>
    <t>Shipping</t>
  </si>
  <si>
    <t>Aviation</t>
  </si>
  <si>
    <t>From main report Table 5</t>
  </si>
  <si>
    <t>Archetype</t>
  </si>
  <si>
    <t>Shortened description</t>
  </si>
  <si>
    <t>decentralised</t>
  </si>
  <si>
    <t>national system, decentralised</t>
  </si>
  <si>
    <t>small cluster, small users</t>
  </si>
  <si>
    <t>small cluster, med/large users</t>
  </si>
  <si>
    <t>Large cluster, large pt users</t>
  </si>
  <si>
    <t>Large cluster, large dist. Users</t>
  </si>
  <si>
    <t>Large cluster, small users</t>
  </si>
  <si>
    <t>Large cluster, alt. fuel prod</t>
  </si>
  <si>
    <t>Size of archetype - annual production (GWh)</t>
  </si>
  <si>
    <t>Short description (of archetype)</t>
  </si>
  <si>
    <t>Total number of archetype required</t>
  </si>
  <si>
    <t>split</t>
  </si>
  <si>
    <t>small cluster, med users</t>
  </si>
  <si>
    <t>Total number of small clusters</t>
  </si>
  <si>
    <t>Total number of large clusters</t>
  </si>
  <si>
    <t>Storage calculations - PER ARCHETYPE</t>
  </si>
  <si>
    <t>Transport calculations - PER ARCHETYPE</t>
  </si>
  <si>
    <t>Short description of archetype</t>
  </si>
  <si>
    <t>Archetype Size (GWh)</t>
  </si>
  <si>
    <t>Production type</t>
  </si>
  <si>
    <t>Electrolysis production contribution (GWh)</t>
  </si>
  <si>
    <t>CCUS/ BECCS production contribution</t>
  </si>
  <si>
    <t>Type of storage (1=above ground, 0=salt caverns)</t>
  </si>
  <si>
    <t>Surface Storage</t>
  </si>
  <si>
    <t>Salt cavern storage</t>
  </si>
  <si>
    <t>Trailer
(1= yes, 
0 = no)</t>
  </si>
  <si>
    <t>Pipeline (1= yes, 
0 = no)</t>
  </si>
  <si>
    <t>Cost / yr built from levellised costs - trailering 
(£M)</t>
  </si>
  <si>
    <t>Number of trailer journeys per archetype</t>
  </si>
  <si>
    <t>Cost / yr built from levellised costs - pipeline
(£M)</t>
  </si>
  <si>
    <t>Length of pipeline per archetype
(km)</t>
  </si>
  <si>
    <t>New pipeline
(1= yes, 
0 = no)</t>
  </si>
  <si>
    <t>Repurposed pipeline
(1= yes, 
0 = no)</t>
  </si>
  <si>
    <t>Capex for pipeline
(£M)</t>
  </si>
  <si>
    <t xml:space="preserve">Max </t>
  </si>
  <si>
    <t>Electrolysis</t>
  </si>
  <si>
    <t>Electrolysis/ BECCS</t>
  </si>
  <si>
    <t>Electrolysis/CCUS</t>
  </si>
  <si>
    <t>% of Production</t>
  </si>
  <si>
    <t>Storage Infrastructure Requirements</t>
  </si>
  <si>
    <t>Quantity (of archetypes)</t>
  </si>
  <si>
    <t>Surface storage (TWh)</t>
  </si>
  <si>
    <t>Salt Cavern (TWh)</t>
  </si>
  <si>
    <t>Total (TWh)</t>
  </si>
  <si>
    <t>Total (kg)</t>
  </si>
  <si>
    <t>Costs (£M)</t>
  </si>
  <si>
    <t>Surface storage</t>
  </si>
  <si>
    <t>Salt Cavern Storage</t>
  </si>
  <si>
    <t>Year</t>
  </si>
  <si>
    <t>Transport Infrastructure requirements</t>
  </si>
  <si>
    <t>Pipeline length (km)</t>
  </si>
  <si>
    <t>Thousand trailer journeys</t>
  </si>
  <si>
    <t>Totals</t>
  </si>
  <si>
    <t>Annual cost - trailering
From levellised costs</t>
  </si>
  <si>
    <t>Annual cost - pipeline
From levellised costs</t>
  </si>
  <si>
    <t>Capex - New pipeline</t>
  </si>
  <si>
    <t>Capex - Repurposed pipeline</t>
  </si>
  <si>
    <t>Flexible power demand contribution*</t>
  </si>
  <si>
    <t>*Size of hydrogen demand for flexible power in Archetype 5 is predicted to be 5,000 GWh. This has been calculated as follows:
- Overall hydrogen demand for power is 0-10 TWh in 2030 and 10-30 TWh in 2035
- In previous tab (Number of Archetypes), the spreadsheet calculates the number of archetype 5 required as 1 - 2.5 TWh in 2030 and 2.8 - 6.2 TWh in 2035
- Archetype 5 has a size of 10 TWh (10,000 GWh) and so the total size archetype 5 (in TWh) is 10 - 25 TWh in 2030 and in 28 - 62 TWh in 2035
- In 2030, the upper demand for flexible power (10 TWh) is 40% of the upper size of archetype 5 (25 TWh).
- In 2035, the upper demand for flexible power (30 TWh) is approximately 50% of the upper size of archetype 5 (62 TWh)
- 50% of the hydrogen demand for archetype 5 is therefore predicted to come from flexible power.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</si>
</sst>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98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/>
    <xf numFmtId="0" fontId="0" fillId="0" borderId="8" xfId="0" applyBorder="1"/>
    <xf numFmtId="0" fontId="2" fillId="0" borderId="0" xfId="1"/>
    <xf numFmtId="0" fontId="2" fillId="0" borderId="1" xfId="1" applyBorder="1" applyAlignment="1"/>
    <xf numFmtId="0" fontId="2" fillId="0" borderId="1" xfId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2" fillId="0" borderId="1" xfId="1" applyBorder="1"/>
    <xf numFmtId="0" fontId="0" fillId="0" borderId="0" xfId="0" applyAlignment="1">
      <alignment horizontal="right"/>
    </xf>
    <xf numFmtId="1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/>
    <xf numFmtId="0" fontId="0" fillId="0" borderId="0" xfId="0" applyAlignment="1">
      <alignment horizontal="center" vertical="center"/>
    </xf>
    <xf numFmtId="0" fontId="0" fillId="0" borderId="23" xfId="0" applyBorder="1"/>
    <xf numFmtId="1" fontId="0" fillId="0" borderId="23" xfId="0" applyNumberFormat="1" applyBorder="1"/>
    <xf numFmtId="164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/>
    <xf numFmtId="0" fontId="0" fillId="0" borderId="1" xfId="0" applyBorder="1" applyAlignment="1">
      <alignment horizontal="center" vertical="top"/>
    </xf>
    <xf numFmtId="3" fontId="0" fillId="0" borderId="6" xfId="0" applyNumberFormat="1" applyBorder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/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8" xfId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2" fillId="0" borderId="1" xfId="1" applyBorder="1" applyAlignment="1">
      <alignment horizontal="left" vertical="top"/>
    </xf>
    <xf numFmtId="0" fontId="2" fillId="0" borderId="23" xfId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center" vertical="top" wrapText="1"/>
    </xf>
    <xf numFmtId="0" fontId="0" fillId="0" borderId="33" xfId="0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0" fillId="0" borderId="8" xfId="0" applyNumberFormat="1" applyBorder="1" applyAlignment="1">
      <alignment horizontal="center"/>
    </xf>
    <xf numFmtId="1" fontId="0" fillId="0" borderId="5" xfId="0" applyNumberFormat="1" applyBorder="1"/>
    <xf numFmtId="3" fontId="0" fillId="0" borderId="45" xfId="0" applyNumberFormat="1" applyBorder="1"/>
    <xf numFmtId="3" fontId="0" fillId="0" borderId="44" xfId="0" applyNumberFormat="1" applyBorder="1"/>
    <xf numFmtId="1" fontId="0" fillId="0" borderId="7" xfId="0" applyNumberFormat="1" applyBorder="1"/>
    <xf numFmtId="165" fontId="0" fillId="0" borderId="1" xfId="0" applyNumberFormat="1" applyBorder="1" applyAlignment="1">
      <alignment wrapText="1"/>
    </xf>
    <xf numFmtId="165" fontId="0" fillId="0" borderId="23" xfId="0" applyNumberFormat="1" applyBorder="1" applyAlignment="1">
      <alignment wrapText="1"/>
    </xf>
    <xf numFmtId="3" fontId="0" fillId="0" borderId="50" xfId="0" applyNumberFormat="1" applyBorder="1" applyAlignment="1">
      <alignment horizontal="center" vertical="top" wrapText="1"/>
    </xf>
    <xf numFmtId="0" fontId="0" fillId="0" borderId="25" xfId="0" applyBorder="1" applyAlignment="1">
      <alignment wrapText="1"/>
    </xf>
    <xf numFmtId="3" fontId="0" fillId="0" borderId="24" xfId="0" applyNumberFormat="1" applyBorder="1" applyAlignment="1">
      <alignment horizontal="center" vertical="center"/>
    </xf>
    <xf numFmtId="0" fontId="2" fillId="0" borderId="24" xfId="1" applyBorder="1"/>
    <xf numFmtId="0" fontId="0" fillId="0" borderId="39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0" xfId="0" applyFill="1"/>
    <xf numFmtId="0" fontId="1" fillId="2" borderId="0" xfId="0" applyFont="1" applyFill="1"/>
    <xf numFmtId="0" fontId="2" fillId="2" borderId="0" xfId="1" applyFill="1"/>
    <xf numFmtId="3" fontId="0" fillId="0" borderId="8" xfId="0" applyNumberFormat="1" applyBorder="1" applyAlignment="1">
      <alignment horizontal="center" wrapText="1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1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horizontal="center" vertical="center"/>
    </xf>
    <xf numFmtId="1" fontId="7" fillId="3" borderId="3" xfId="0" applyNumberFormat="1" applyFont="1" applyFill="1" applyBorder="1"/>
    <xf numFmtId="1" fontId="7" fillId="3" borderId="4" xfId="0" applyNumberFormat="1" applyFont="1" applyFill="1" applyBorder="1"/>
    <xf numFmtId="0" fontId="7" fillId="3" borderId="7" xfId="0" applyFont="1" applyFill="1" applyBorder="1"/>
    <xf numFmtId="0" fontId="7" fillId="3" borderId="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2" borderId="33" xfId="0" applyFill="1" applyBorder="1"/>
    <xf numFmtId="0" fontId="0" fillId="2" borderId="33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/>
    </xf>
    <xf numFmtId="0" fontId="0" fillId="2" borderId="18" xfId="0" applyFill="1" applyBorder="1"/>
    <xf numFmtId="0" fontId="0" fillId="2" borderId="19" xfId="0" applyFill="1" applyBorder="1"/>
    <xf numFmtId="3" fontId="0" fillId="2" borderId="24" xfId="0" applyNumberFormat="1" applyFill="1" applyBorder="1" applyAlignment="1">
      <alignment vertical="top" wrapText="1"/>
    </xf>
    <xf numFmtId="0" fontId="0" fillId="2" borderId="35" xfId="0" applyFill="1" applyBorder="1"/>
    <xf numFmtId="0" fontId="0" fillId="2" borderId="24" xfId="0" applyFill="1" applyBorder="1"/>
    <xf numFmtId="0" fontId="0" fillId="2" borderId="24" xfId="0" applyFill="1" applyBorder="1" applyAlignment="1">
      <alignment vertical="top" wrapText="1"/>
    </xf>
    <xf numFmtId="0" fontId="0" fillId="2" borderId="24" xfId="0" applyFill="1" applyBorder="1" applyAlignment="1">
      <alignment vertical="top"/>
    </xf>
    <xf numFmtId="0" fontId="0" fillId="2" borderId="24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12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9" fontId="0" fillId="0" borderId="1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1" fontId="0" fillId="2" borderId="3" xfId="0" applyNumberFormat="1" applyFill="1" applyBorder="1"/>
    <xf numFmtId="1" fontId="0" fillId="2" borderId="3" xfId="0" applyNumberFormat="1" applyFill="1" applyBorder="1" applyAlignment="1">
      <alignment wrapText="1"/>
    </xf>
    <xf numFmtId="1" fontId="0" fillId="2" borderId="4" xfId="0" applyNumberFormat="1" applyFill="1" applyBorder="1"/>
    <xf numFmtId="1" fontId="0" fillId="0" borderId="9" xfId="0" applyNumberFormat="1" applyBorder="1"/>
    <xf numFmtId="0" fontId="7" fillId="3" borderId="41" xfId="0" applyFont="1" applyFill="1" applyBorder="1" applyAlignment="1">
      <alignment horizontal="right"/>
    </xf>
    <xf numFmtId="0" fontId="7" fillId="3" borderId="40" xfId="0" applyFont="1" applyFill="1" applyBorder="1"/>
    <xf numFmtId="0" fontId="7" fillId="3" borderId="52" xfId="0" applyFont="1" applyFill="1" applyBorder="1"/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40" xfId="0" applyFill="1" applyBorder="1"/>
    <xf numFmtId="1" fontId="0" fillId="2" borderId="29" xfId="0" applyNumberFormat="1" applyFill="1" applyBorder="1"/>
    <xf numFmtId="1" fontId="0" fillId="0" borderId="43" xfId="0" applyNumberFormat="1" applyBorder="1"/>
    <xf numFmtId="1" fontId="0" fillId="0" borderId="6" xfId="0" applyNumberFormat="1" applyBorder="1"/>
    <xf numFmtId="1" fontId="0" fillId="2" borderId="2" xfId="0" applyNumberFormat="1" applyFill="1" applyBorder="1"/>
    <xf numFmtId="165" fontId="0" fillId="0" borderId="6" xfId="0" applyNumberFormat="1" applyBorder="1"/>
    <xf numFmtId="165" fontId="0" fillId="0" borderId="9" xfId="0" applyNumberFormat="1" applyBorder="1"/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2" fillId="0" borderId="23" xfId="1" applyBorder="1" applyAlignment="1">
      <alignment horizontal="left" vertical="center"/>
    </xf>
    <xf numFmtId="0" fontId="2" fillId="0" borderId="19" xfId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right"/>
    </xf>
    <xf numFmtId="0" fontId="7" fillId="3" borderId="30" xfId="0" applyFont="1" applyFill="1" applyBorder="1" applyAlignment="1">
      <alignment horizontal="right"/>
    </xf>
    <xf numFmtId="0" fontId="7" fillId="3" borderId="29" xfId="0" applyFont="1" applyFill="1" applyBorder="1" applyAlignment="1">
      <alignment horizontal="right"/>
    </xf>
    <xf numFmtId="0" fontId="7" fillId="3" borderId="41" xfId="0" applyFont="1" applyFill="1" applyBorder="1" applyAlignment="1">
      <alignment horizontal="right" vertical="top"/>
    </xf>
    <xf numFmtId="0" fontId="7" fillId="3" borderId="42" xfId="0" applyFont="1" applyFill="1" applyBorder="1" applyAlignment="1">
      <alignment horizontal="right" vertical="top"/>
    </xf>
    <xf numFmtId="0" fontId="7" fillId="3" borderId="43" xfId="0" applyFont="1" applyFill="1" applyBorder="1" applyAlignment="1">
      <alignment horizontal="right" vertical="top"/>
    </xf>
    <xf numFmtId="0" fontId="7" fillId="3" borderId="1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right"/>
    </xf>
    <xf numFmtId="0" fontId="7" fillId="3" borderId="33" xfId="0" applyFont="1" applyFill="1" applyBorder="1" applyAlignment="1">
      <alignment horizontal="right"/>
    </xf>
    <xf numFmtId="0" fontId="7" fillId="3" borderId="49" xfId="0" applyFont="1" applyFill="1" applyBorder="1" applyAlignment="1">
      <alignment horizontal="right"/>
    </xf>
    <xf numFmtId="0" fontId="7" fillId="3" borderId="21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0" fontId="7" fillId="3" borderId="48" xfId="0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DA00"/>
      <color rgb="FFBFBFBF"/>
      <color rgb="FF004987"/>
      <color rgb="FF007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285750</xdr:colOff>
      <xdr:row>7</xdr:row>
      <xdr:rowOff>76200</xdr:rowOff>
    </xdr:to>
    <xdr:pic>
      <xdr:nvPicPr>
        <xdr:cNvPr id="3" name="Picture 2" descr="Frazer-Nash Consultancy logo.">
          <a:extLst>
            <a:ext uri="{FF2B5EF4-FFF2-40B4-BE49-F238E27FC236}">
              <a16:creationId xmlns:a16="http://schemas.microsoft.com/office/drawing/2014/main" id="{386AE05F-4FEB-B6B1-5074-75F13251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438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ynetworks.org/industry-hub/resource-library/gas-goes-green-hydrogen-cost-to-customer-report.pdf" TargetMode="External"/><Relationship Id="rId13" Type="http://schemas.openxmlformats.org/officeDocument/2006/relationships/hyperlink" Target="https://www.euractiv.com/wp-content/uploads/sites/2/2021/07/Aurora-MCS-Enabling-the-European-hydrogen-economy-20210322.pdf" TargetMode="External"/><Relationship Id="rId3" Type="http://schemas.openxmlformats.org/officeDocument/2006/relationships/hyperlink" Target="https://www.dnv.com/Publications/hydrogen-in-the-electricity-value-chain-225850" TargetMode="External"/><Relationship Id="rId7" Type="http://schemas.openxmlformats.org/officeDocument/2006/relationships/hyperlink" Target="https://gasforclimate2050.eu/wp-content/uploads/2022/04/EHB-A-European-hydrogen-infrastructure-vision-covering-28-countries.pdf" TargetMode="External"/><Relationship Id="rId12" Type="http://schemas.openxmlformats.org/officeDocument/2006/relationships/hyperlink" Target="https://www2.deloitte.com/content/dam/Deloitte/uk/Documents/energy-resources/deloitte-uk-energy-resources-investing-in-hydrogen.pdf" TargetMode="External"/><Relationship Id="rId2" Type="http://schemas.openxmlformats.org/officeDocument/2006/relationships/hyperlink" Target="https://hydrogencouncil.com/wp-content/uploads/2020/01/Path-to-Hydrogen-Competitiveness_Full-Study-1.pdf" TargetMode="External"/><Relationship Id="rId1" Type="http://schemas.openxmlformats.org/officeDocument/2006/relationships/hyperlink" Target="https://assets.publishing.service.gov.uk/government/uploads/system/uploads/attachment_data/file/1011506/Hydrogen_Production_Costs_2021.pdf" TargetMode="External"/><Relationship Id="rId6" Type="http://schemas.openxmlformats.org/officeDocument/2006/relationships/hyperlink" Target="https://hynet.co.uk/wp-content/uploads/2020/10/HyNet_NW-Vision-Document-2020_FINAL.pdf" TargetMode="External"/><Relationship Id="rId11" Type="http://schemas.openxmlformats.org/officeDocument/2006/relationships/hyperlink" Target="https://assets.publishing.service.gov.uk/government/uploads/system/uploads/attachment_data/file/1011506/Hydrogen_Production_Costs_2021.pdf" TargetMode="External"/><Relationship Id="rId5" Type="http://schemas.openxmlformats.org/officeDocument/2006/relationships/hyperlink" Target="https://hynet.co.uk/wp-content/uploads/2018/05/14368_CADENT_PROJECT_REPORT_AMENDED_v22105.pdf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assets.publishing.service.gov.uk/government/uploads/system/uploads/attachment_data/file/1011506/Hydrogen_Production_Costs_2021.pdf" TargetMode="External"/><Relationship Id="rId4" Type="http://schemas.openxmlformats.org/officeDocument/2006/relationships/hyperlink" Target="https://www.dnv.com/Publications/hydrogen-in-the-electricity-value-chain-225850" TargetMode="External"/><Relationship Id="rId9" Type="http://schemas.openxmlformats.org/officeDocument/2006/relationships/hyperlink" Target="https://gasforclimate2050.eu/wp-content/uploads/2022/04/EHB-A-European-hydrogen-infrastructure-vision-covering-28-countries.pdf" TargetMode="External"/><Relationship Id="rId14" Type="http://schemas.openxmlformats.org/officeDocument/2006/relationships/hyperlink" Target="https://www.dnv.com/Publications/hydrogen-in-the-electricity-value-chain-22585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1CBB-181C-439C-8A85-E35F57BB6862}">
  <sheetPr>
    <tabColor rgb="FF004987"/>
  </sheetPr>
  <dimension ref="A10:K22"/>
  <sheetViews>
    <sheetView workbookViewId="0"/>
  </sheetViews>
  <sheetFormatPr defaultColWidth="9.1796875" defaultRowHeight="14.5" x14ac:dyDescent="0.35"/>
  <cols>
    <col min="1" max="1" width="9.1796875" style="86"/>
    <col min="2" max="2" width="23.1796875" style="86" customWidth="1"/>
    <col min="3" max="16384" width="9.1796875" style="86"/>
  </cols>
  <sheetData>
    <row r="10" spans="1:4" x14ac:dyDescent="0.35">
      <c r="A10" s="86" t="s">
        <v>0</v>
      </c>
    </row>
    <row r="11" spans="1:4" x14ac:dyDescent="0.35">
      <c r="B11" s="86" t="s">
        <v>1</v>
      </c>
    </row>
    <row r="13" spans="1:4" x14ac:dyDescent="0.35">
      <c r="B13" s="87" t="s">
        <v>2</v>
      </c>
      <c r="D13" s="87" t="s">
        <v>3</v>
      </c>
    </row>
    <row r="14" spans="1:4" x14ac:dyDescent="0.35">
      <c r="B14" s="88" t="s">
        <v>4</v>
      </c>
      <c r="D14" s="86" t="s">
        <v>5</v>
      </c>
    </row>
    <row r="15" spans="1:4" x14ac:dyDescent="0.35">
      <c r="B15" s="88" t="s">
        <v>6</v>
      </c>
      <c r="D15" s="86" t="s">
        <v>7</v>
      </c>
    </row>
    <row r="16" spans="1:4" x14ac:dyDescent="0.35">
      <c r="B16" s="88" t="s">
        <v>8</v>
      </c>
      <c r="D16" s="86" t="s">
        <v>9</v>
      </c>
    </row>
    <row r="17" spans="2:11" x14ac:dyDescent="0.35">
      <c r="B17" s="88" t="s">
        <v>10</v>
      </c>
      <c r="D17" s="86" t="s">
        <v>11</v>
      </c>
    </row>
    <row r="18" spans="2:11" x14ac:dyDescent="0.35">
      <c r="B18" s="88" t="s">
        <v>12</v>
      </c>
      <c r="D18" s="86" t="s">
        <v>13</v>
      </c>
    </row>
    <row r="19" spans="2:11" x14ac:dyDescent="0.35">
      <c r="B19" s="88" t="s">
        <v>14</v>
      </c>
      <c r="D19" s="86" t="s">
        <v>15</v>
      </c>
    </row>
    <row r="20" spans="2:11" x14ac:dyDescent="0.35">
      <c r="B20" s="88" t="s">
        <v>16</v>
      </c>
      <c r="D20" s="86" t="s">
        <v>17</v>
      </c>
    </row>
    <row r="21" spans="2:11" x14ac:dyDescent="0.35">
      <c r="B21" s="88" t="s">
        <v>18</v>
      </c>
      <c r="D21" s="86" t="s">
        <v>19</v>
      </c>
    </row>
    <row r="22" spans="2:11" x14ac:dyDescent="0.35">
      <c r="B22" s="88" t="s">
        <v>20</v>
      </c>
      <c r="D22" s="86" t="s">
        <v>21</v>
      </c>
      <c r="K22" s="86" t="s">
        <v>22</v>
      </c>
    </row>
  </sheetData>
  <hyperlinks>
    <hyperlink ref="B14" location="Inputs!A1" display="Inputs" xr:uid="{7070653E-100F-4BFA-A25C-3E25C67678B6}"/>
    <hyperlink ref="B15" location="'Demand by Sector'!A1" display="Demand by Sector" xr:uid="{F8CE2723-9EC7-4584-8C8C-64EA29BDE826}"/>
    <hyperlink ref="B16" location="'Archetypes - Split'!A1" display="Archetypes - Split" xr:uid="{A2A9B373-6E1C-4046-829C-D6A033736ED9}"/>
    <hyperlink ref="B17" location="'Number of Archetypes'!A1" display="Number of Archetypes" xr:uid="{0DD73B77-53BA-40F1-8FDD-0756CD716B0E}"/>
    <hyperlink ref="B18" location="'Requirements Per Archetype'!A1" display="Requirements Per Archetype" xr:uid="{E34337AE-94E0-45B2-863F-68AD6ADEEC49}"/>
    <hyperlink ref="B19" location="'Storage Infrastructure Rqmnts'!A1" display="Storage Infrastructure Rqmnts" xr:uid="{41B58AB4-C1CC-4EBA-8EDD-88F28416077C}"/>
    <hyperlink ref="B20" location="'Storage Infrastructure Costs'!A1" display="Storage Infrastructure Costs" xr:uid="{62BA7361-5B55-4579-B5D1-DA92258ED4BC}"/>
    <hyperlink ref="B21" location="'Transport Infrastructure Rqmnts'!A1" display="Transport Infrastructure Rqmnts" xr:uid="{C55E94CA-068B-4446-B1BE-CDF904A97735}"/>
    <hyperlink ref="B22" location="'Transport Infrastructure Costs'!A1" display="Transport Infrastructure Costs" xr:uid="{03763A42-72A6-45F9-84AB-F60660891287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7462-DECF-4543-BC4C-60777D0927FC}">
  <sheetPr>
    <tabColor rgb="FFFFDA00"/>
  </sheetPr>
  <dimension ref="B2:L29"/>
  <sheetViews>
    <sheetView tabSelected="1" workbookViewId="0">
      <selection activeCell="O29" sqref="O29"/>
    </sheetView>
  </sheetViews>
  <sheetFormatPr defaultRowHeight="14.5" x14ac:dyDescent="0.35"/>
  <cols>
    <col min="5" max="12" width="14.54296875" customWidth="1"/>
  </cols>
  <sheetData>
    <row r="2" spans="2:12" ht="15" thickBot="1" x14ac:dyDescent="0.4">
      <c r="B2" s="63" t="s">
        <v>20</v>
      </c>
    </row>
    <row r="3" spans="2:12" x14ac:dyDescent="0.35">
      <c r="B3" s="215">
        <v>2030</v>
      </c>
      <c r="C3" s="217" t="s">
        <v>133</v>
      </c>
      <c r="D3" s="218"/>
      <c r="E3" s="188" t="s">
        <v>138</v>
      </c>
      <c r="F3" s="188"/>
      <c r="G3" s="188"/>
      <c r="H3" s="188"/>
      <c r="I3" s="188"/>
      <c r="J3" s="188"/>
      <c r="K3" s="188"/>
      <c r="L3" s="213"/>
    </row>
    <row r="4" spans="2:12" ht="59.25" customHeight="1" x14ac:dyDescent="0.35">
      <c r="B4" s="216"/>
      <c r="C4" s="219"/>
      <c r="D4" s="220"/>
      <c r="E4" s="221" t="s">
        <v>146</v>
      </c>
      <c r="F4" s="221"/>
      <c r="G4" s="221" t="s">
        <v>147</v>
      </c>
      <c r="H4" s="221"/>
      <c r="I4" s="221" t="s">
        <v>148</v>
      </c>
      <c r="J4" s="221"/>
      <c r="K4" s="221" t="s">
        <v>149</v>
      </c>
      <c r="L4" s="222"/>
    </row>
    <row r="5" spans="2:12" x14ac:dyDescent="0.35">
      <c r="B5" s="93" t="s">
        <v>91</v>
      </c>
      <c r="C5" s="105" t="s">
        <v>82</v>
      </c>
      <c r="D5" s="105" t="s">
        <v>83</v>
      </c>
      <c r="E5" s="106" t="s">
        <v>82</v>
      </c>
      <c r="F5" s="106" t="s">
        <v>83</v>
      </c>
      <c r="G5" s="106" t="s">
        <v>82</v>
      </c>
      <c r="H5" s="106" t="s">
        <v>83</v>
      </c>
      <c r="I5" s="106" t="s">
        <v>82</v>
      </c>
      <c r="J5" s="106" t="s">
        <v>83</v>
      </c>
      <c r="K5" s="106" t="s">
        <v>82</v>
      </c>
      <c r="L5" s="107" t="s">
        <v>83</v>
      </c>
    </row>
    <row r="6" spans="2:12" x14ac:dyDescent="0.35">
      <c r="B6" s="122">
        <v>1</v>
      </c>
      <c r="C6" s="65">
        <f>'Number of Archetypes'!E4</f>
        <v>110</v>
      </c>
      <c r="D6" s="65">
        <f>'Number of Archetypes'!F4</f>
        <v>585</v>
      </c>
      <c r="E6" s="43">
        <f>C6*'Requirements Per Archetype'!Q5</f>
        <v>0</v>
      </c>
      <c r="F6" s="43">
        <f>D6*'Requirements Per Archetype'!Q5</f>
        <v>0</v>
      </c>
      <c r="G6" s="43">
        <f>C6*'Requirements Per Archetype'!S5</f>
        <v>0</v>
      </c>
      <c r="H6" s="43">
        <f>D6*'Requirements Per Archetype'!S5</f>
        <v>0</v>
      </c>
      <c r="I6" s="43">
        <f>C6*'Requirements Per Archetype'!U5*'Requirements Per Archetype'!W5</f>
        <v>0</v>
      </c>
      <c r="J6" s="43">
        <f>D6*'Requirements Per Archetype'!U5*'Requirements Per Archetype'!W5</f>
        <v>0</v>
      </c>
      <c r="K6" s="43">
        <f>C6*'Requirements Per Archetype'!V5*'Requirements Per Archetype'!W5</f>
        <v>0</v>
      </c>
      <c r="L6" s="45">
        <f>D6*'Requirements Per Archetype'!V5*'Requirements Per Archetype'!W5</f>
        <v>0</v>
      </c>
    </row>
    <row r="7" spans="2:12" x14ac:dyDescent="0.35">
      <c r="B7" s="122">
        <v>2</v>
      </c>
      <c r="C7" s="65">
        <f>'Number of Archetypes'!E5</f>
        <v>0</v>
      </c>
      <c r="D7" s="65">
        <f>'Number of Archetypes'!F5</f>
        <v>0</v>
      </c>
      <c r="E7" s="43">
        <f>C7*'Requirements Per Archetype'!Q6</f>
        <v>0</v>
      </c>
      <c r="F7" s="43">
        <f>D7*'Requirements Per Archetype'!Q6</f>
        <v>0</v>
      </c>
      <c r="G7" s="43">
        <f>C7*'Requirements Per Archetype'!S6</f>
        <v>0</v>
      </c>
      <c r="H7" s="43">
        <f>D7*'Requirements Per Archetype'!S6</f>
        <v>0</v>
      </c>
      <c r="I7" s="43">
        <f>C7*'Requirements Per Archetype'!U6*'Requirements Per Archetype'!W6</f>
        <v>0</v>
      </c>
      <c r="J7" s="43">
        <f>D7*'Requirements Per Archetype'!U6*'Requirements Per Archetype'!W6</f>
        <v>0</v>
      </c>
      <c r="K7" s="43">
        <f>C7*'Requirements Per Archetype'!V6*'Requirements Per Archetype'!W6</f>
        <v>0</v>
      </c>
      <c r="L7" s="45">
        <f>D7*'Requirements Per Archetype'!V6*'Requirements Per Archetype'!W6</f>
        <v>0</v>
      </c>
    </row>
    <row r="8" spans="2:12" x14ac:dyDescent="0.35">
      <c r="B8" s="122">
        <v>3</v>
      </c>
      <c r="C8" s="65">
        <f>'Number of Archetypes'!E6</f>
        <v>1.4</v>
      </c>
      <c r="D8" s="65">
        <f>'Number of Archetypes'!F6</f>
        <v>5.3</v>
      </c>
      <c r="E8" s="43">
        <f>C8*'Requirements Per Archetype'!Q7</f>
        <v>21.852791878172585</v>
      </c>
      <c r="F8" s="43">
        <f>D8*'Requirements Per Archetype'!Q7</f>
        <v>82.728426395939081</v>
      </c>
      <c r="G8" s="43">
        <f>C8*'Requirements Per Archetype'!S7</f>
        <v>0</v>
      </c>
      <c r="H8" s="43">
        <f>D8*'Requirements Per Archetype'!S7</f>
        <v>0</v>
      </c>
      <c r="I8" s="43">
        <f>C8*'Requirements Per Archetype'!U7*'Requirements Per Archetype'!W7</f>
        <v>0</v>
      </c>
      <c r="J8" s="43">
        <f>D8*'Requirements Per Archetype'!U7*'Requirements Per Archetype'!W7</f>
        <v>0</v>
      </c>
      <c r="K8" s="43">
        <f>C8*'Requirements Per Archetype'!V7*'Requirements Per Archetype'!W7</f>
        <v>0</v>
      </c>
      <c r="L8" s="45">
        <f>D8*'Requirements Per Archetype'!V7*'Requirements Per Archetype'!W7</f>
        <v>0</v>
      </c>
    </row>
    <row r="9" spans="2:12" x14ac:dyDescent="0.35">
      <c r="B9" s="122">
        <v>4</v>
      </c>
      <c r="C9" s="65">
        <f>'Number of Archetypes'!E7</f>
        <v>4</v>
      </c>
      <c r="D9" s="65">
        <f>'Number of Archetypes'!F7</f>
        <v>8.4</v>
      </c>
      <c r="E9" s="43">
        <f>C9*'Requirements Per Archetype'!Q8</f>
        <v>0</v>
      </c>
      <c r="F9" s="43">
        <f>D9*'Requirements Per Archetype'!Q8</f>
        <v>0</v>
      </c>
      <c r="G9" s="43">
        <f>C9*'Requirements Per Archetype'!S8</f>
        <v>8.6294416243654819</v>
      </c>
      <c r="H9" s="43">
        <f>D9*'Requirements Per Archetype'!S8</f>
        <v>18.121827411167512</v>
      </c>
      <c r="I9" s="43">
        <f>C9*'Requirements Per Archetype'!U8*'Requirements Per Archetype'!W8</f>
        <v>45.9</v>
      </c>
      <c r="J9" s="43">
        <f>D9*'Requirements Per Archetype'!U8*'Requirements Per Archetype'!W8</f>
        <v>96.39</v>
      </c>
      <c r="K9" s="43">
        <f>C9*'Requirements Per Archetype'!V8*'Requirements Per Archetype'!W8</f>
        <v>0</v>
      </c>
      <c r="L9" s="45">
        <f>D9*'Requirements Per Archetype'!V8*'Requirements Per Archetype'!W8</f>
        <v>0</v>
      </c>
    </row>
    <row r="10" spans="2:12" x14ac:dyDescent="0.35">
      <c r="B10" s="122">
        <v>5</v>
      </c>
      <c r="C10" s="65">
        <f>'Number of Archetypes'!E8</f>
        <v>0.7</v>
      </c>
      <c r="D10" s="65">
        <f>'Number of Archetypes'!F8</f>
        <v>2.4700000000000002</v>
      </c>
      <c r="E10" s="43">
        <f>C10*'Requirements Per Archetype'!Q9</f>
        <v>0</v>
      </c>
      <c r="F10" s="43">
        <f>D10*'Requirements Per Archetype'!Q9</f>
        <v>0</v>
      </c>
      <c r="G10" s="43">
        <f>C10*'Requirements Per Archetype'!S9</f>
        <v>30.203045685279186</v>
      </c>
      <c r="H10" s="43">
        <f>D10*'Requirements Per Archetype'!S9</f>
        <v>106.57360406091371</v>
      </c>
      <c r="I10" s="43">
        <f>C10*'Requirements Per Archetype'!U9*'Requirements Per Archetype'!W9</f>
        <v>160.64999999999998</v>
      </c>
      <c r="J10" s="43">
        <f>D10*'Requirements Per Archetype'!U9*'Requirements Per Archetype'!W9</f>
        <v>566.86500000000001</v>
      </c>
      <c r="K10" s="43">
        <f>C10*'Requirements Per Archetype'!V9*'Requirements Per Archetype'!W9</f>
        <v>0</v>
      </c>
      <c r="L10" s="45">
        <f>D10*'Requirements Per Archetype'!V9*'Requirements Per Archetype'!W9</f>
        <v>0</v>
      </c>
    </row>
    <row r="11" spans="2:12" x14ac:dyDescent="0.35">
      <c r="B11" s="122">
        <v>6</v>
      </c>
      <c r="C11" s="65">
        <f>'Number of Archetypes'!E9</f>
        <v>0</v>
      </c>
      <c r="D11" s="65">
        <f>'Number of Archetypes'!F9</f>
        <v>0.1</v>
      </c>
      <c r="E11" s="43">
        <f>C11*'Requirements Per Archetype'!Q10</f>
        <v>0</v>
      </c>
      <c r="F11" s="43">
        <f>D11*'Requirements Per Archetype'!Q10</f>
        <v>0</v>
      </c>
      <c r="G11" s="43">
        <f>C11*'Requirements Per Archetype'!S10</f>
        <v>0</v>
      </c>
      <c r="H11" s="43">
        <f>D11*'Requirements Per Archetype'!S10</f>
        <v>4.3147208121827409</v>
      </c>
      <c r="I11" s="43">
        <f>C11*'Requirements Per Archetype'!U10*'Requirements Per Archetype'!W10</f>
        <v>0</v>
      </c>
      <c r="J11" s="43">
        <f>D11*'Requirements Per Archetype'!U10*'Requirements Per Archetype'!W10</f>
        <v>0</v>
      </c>
      <c r="K11" s="43">
        <f>C11*'Requirements Per Archetype'!V10*'Requirements Per Archetype'!W10</f>
        <v>0</v>
      </c>
      <c r="L11" s="45">
        <f>D11*'Requirements Per Archetype'!V10*'Requirements Per Archetype'!W10</f>
        <v>186.45000000000002</v>
      </c>
    </row>
    <row r="12" spans="2:12" x14ac:dyDescent="0.35">
      <c r="B12" s="122">
        <v>7</v>
      </c>
      <c r="C12" s="65">
        <f>'Number of Archetypes'!E10</f>
        <v>0.02</v>
      </c>
      <c r="D12" s="65">
        <f>'Number of Archetypes'!F10</f>
        <v>0.16</v>
      </c>
      <c r="E12" s="43">
        <f>C12*'Requirements Per Archetype'!Q11</f>
        <v>6.2436548223350243</v>
      </c>
      <c r="F12" s="43">
        <f>D12*'Requirements Per Archetype'!Q11</f>
        <v>49.949238578680195</v>
      </c>
      <c r="G12" s="43">
        <f>C12*'Requirements Per Archetype'!S11</f>
        <v>0</v>
      </c>
      <c r="H12" s="43">
        <f>D12*'Requirements Per Archetype'!S11</f>
        <v>0</v>
      </c>
      <c r="I12" s="43">
        <f>C12*'Requirements Per Archetype'!U11*'Requirements Per Archetype'!W11</f>
        <v>0</v>
      </c>
      <c r="J12" s="43">
        <f>D12*'Requirements Per Archetype'!U11*'Requirements Per Archetype'!W11</f>
        <v>0</v>
      </c>
      <c r="K12" s="43">
        <f>C12*'Requirements Per Archetype'!V11*'Requirements Per Archetype'!W11</f>
        <v>0</v>
      </c>
      <c r="L12" s="45">
        <f>D12*'Requirements Per Archetype'!V11*'Requirements Per Archetype'!W11</f>
        <v>0</v>
      </c>
    </row>
    <row r="13" spans="2:12" x14ac:dyDescent="0.35">
      <c r="B13" s="122">
        <v>8</v>
      </c>
      <c r="C13" s="65">
        <f>'Number of Archetypes'!E11</f>
        <v>0</v>
      </c>
      <c r="D13" s="65">
        <f>'Number of Archetypes'!F11</f>
        <v>0</v>
      </c>
      <c r="E13" s="43">
        <f>C13*'Requirements Per Archetype'!Q12</f>
        <v>0</v>
      </c>
      <c r="F13" s="43">
        <f>D13*'Requirements Per Archetype'!Q12</f>
        <v>0</v>
      </c>
      <c r="G13" s="43">
        <f>C13*'Requirements Per Archetype'!S12</f>
        <v>0</v>
      </c>
      <c r="H13" s="43">
        <f>D13*'Requirements Per Archetype'!S12</f>
        <v>0</v>
      </c>
      <c r="I13" s="43">
        <f>C13*'Requirements Per Archetype'!U12*'Requirements Per Archetype'!W12</f>
        <v>0</v>
      </c>
      <c r="J13" s="43">
        <f>D13*'Requirements Per Archetype'!U12*'Requirements Per Archetype'!W12</f>
        <v>0</v>
      </c>
      <c r="K13" s="43">
        <f>C13*'Requirements Per Archetype'!V12*'Requirements Per Archetype'!W12</f>
        <v>0</v>
      </c>
      <c r="L13" s="45">
        <f>D13*'Requirements Per Archetype'!V12*'Requirements Per Archetype'!W12</f>
        <v>0</v>
      </c>
    </row>
    <row r="14" spans="2:12" ht="15" thickBot="1" x14ac:dyDescent="0.4">
      <c r="B14" s="113"/>
      <c r="C14" s="114"/>
      <c r="D14" s="114"/>
      <c r="E14" s="115"/>
      <c r="F14" s="43"/>
      <c r="G14" s="43"/>
      <c r="H14" s="43"/>
      <c r="I14" s="43"/>
      <c r="J14" s="43"/>
      <c r="K14" s="43"/>
      <c r="L14" s="45"/>
    </row>
    <row r="15" spans="2:12" ht="15" thickBot="1" x14ac:dyDescent="0.4">
      <c r="B15" s="226" t="s">
        <v>145</v>
      </c>
      <c r="C15" s="227"/>
      <c r="D15" s="228"/>
      <c r="E15" s="75">
        <f t="shared" ref="E15:L15" si="0">SUM(E6:E13)</f>
        <v>28.09644670050761</v>
      </c>
      <c r="F15" s="75">
        <f t="shared" si="0"/>
        <v>132.67766497461929</v>
      </c>
      <c r="G15" s="75">
        <f t="shared" si="0"/>
        <v>38.832487309644669</v>
      </c>
      <c r="H15" s="75">
        <f t="shared" si="0"/>
        <v>129.01015228426397</v>
      </c>
      <c r="I15" s="75">
        <f t="shared" si="0"/>
        <v>206.54999999999998</v>
      </c>
      <c r="J15" s="75">
        <f t="shared" si="0"/>
        <v>663.255</v>
      </c>
      <c r="K15" s="75">
        <f t="shared" si="0"/>
        <v>0</v>
      </c>
      <c r="L15" s="76">
        <f t="shared" si="0"/>
        <v>186.45000000000002</v>
      </c>
    </row>
    <row r="16" spans="2:12" ht="15" thickBot="1" x14ac:dyDescent="0.4">
      <c r="H16" s="1"/>
    </row>
    <row r="17" spans="2:12" x14ac:dyDescent="0.35">
      <c r="B17" s="215">
        <v>2035</v>
      </c>
      <c r="C17" s="217" t="s">
        <v>133</v>
      </c>
      <c r="D17" s="218"/>
      <c r="E17" s="188" t="s">
        <v>138</v>
      </c>
      <c r="F17" s="188"/>
      <c r="G17" s="188"/>
      <c r="H17" s="188"/>
      <c r="I17" s="188"/>
      <c r="J17" s="188"/>
      <c r="K17" s="188"/>
      <c r="L17" s="213"/>
    </row>
    <row r="18" spans="2:12" ht="47.25" customHeight="1" x14ac:dyDescent="0.35">
      <c r="B18" s="216"/>
      <c r="C18" s="219"/>
      <c r="D18" s="220"/>
      <c r="E18" s="197" t="s">
        <v>146</v>
      </c>
      <c r="F18" s="197"/>
      <c r="G18" s="197" t="s">
        <v>147</v>
      </c>
      <c r="H18" s="197"/>
      <c r="I18" s="221" t="s">
        <v>148</v>
      </c>
      <c r="J18" s="221"/>
      <c r="K18" s="221" t="s">
        <v>149</v>
      </c>
      <c r="L18" s="222"/>
    </row>
    <row r="19" spans="2:12" x14ac:dyDescent="0.35">
      <c r="B19" s="93" t="s">
        <v>91</v>
      </c>
      <c r="C19" s="105" t="s">
        <v>82</v>
      </c>
      <c r="D19" s="105" t="s">
        <v>83</v>
      </c>
      <c r="E19" s="106" t="s">
        <v>82</v>
      </c>
      <c r="F19" s="106" t="s">
        <v>83</v>
      </c>
      <c r="G19" s="106" t="s">
        <v>82</v>
      </c>
      <c r="H19" s="106" t="s">
        <v>83</v>
      </c>
      <c r="I19" s="106" t="s">
        <v>82</v>
      </c>
      <c r="J19" s="106" t="s">
        <v>83</v>
      </c>
      <c r="K19" s="106" t="s">
        <v>82</v>
      </c>
      <c r="L19" s="107" t="s">
        <v>83</v>
      </c>
    </row>
    <row r="20" spans="2:12" x14ac:dyDescent="0.35">
      <c r="B20" s="122">
        <v>1</v>
      </c>
      <c r="C20" s="65">
        <f>'Number of Archetypes'!E18</f>
        <v>165</v>
      </c>
      <c r="D20" s="65">
        <f>'Number of Archetypes'!F18</f>
        <v>685</v>
      </c>
      <c r="E20" s="43">
        <f>C20*'Requirements Per Archetype'!Q5</f>
        <v>0</v>
      </c>
      <c r="F20" s="43">
        <f>D20*'Requirements Per Archetype'!Q5</f>
        <v>0</v>
      </c>
      <c r="G20" s="43">
        <f>C20*'Requirements Per Archetype'!S5</f>
        <v>0</v>
      </c>
      <c r="H20" s="43">
        <f>D20*'Requirements Per Archetype'!S5</f>
        <v>0</v>
      </c>
      <c r="I20" s="43">
        <f>C20*'Requirements Per Archetype'!U5*'Requirements Per Archetype'!W5</f>
        <v>0</v>
      </c>
      <c r="J20" s="43">
        <f>D20*'Requirements Per Archetype'!U5*'Requirements Per Archetype'!W5</f>
        <v>0</v>
      </c>
      <c r="K20" s="43">
        <f>C20*'Requirements Per Archetype'!V5*'Requirements Per Archetype'!W5</f>
        <v>0</v>
      </c>
      <c r="L20" s="45">
        <f>D20*'Requirements Per Archetype'!V5*'Requirements Per Archetype'!W5</f>
        <v>0</v>
      </c>
    </row>
    <row r="21" spans="2:12" x14ac:dyDescent="0.35">
      <c r="B21" s="122">
        <v>2</v>
      </c>
      <c r="C21" s="65">
        <f>'Number of Archetypes'!E19</f>
        <v>80</v>
      </c>
      <c r="D21" s="65">
        <f>'Number of Archetypes'!F19</f>
        <v>920</v>
      </c>
      <c r="E21" s="43">
        <f>C21*'Requirements Per Archetype'!Q6</f>
        <v>0</v>
      </c>
      <c r="F21" s="43">
        <f>D21*'Requirements Per Archetype'!Q6</f>
        <v>0</v>
      </c>
      <c r="G21" s="43">
        <f>C21*'Requirements Per Archetype'!S6</f>
        <v>0</v>
      </c>
      <c r="H21" s="43">
        <f>D21*'Requirements Per Archetype'!S6</f>
        <v>0</v>
      </c>
      <c r="I21" s="43">
        <f>C21*'Requirements Per Archetype'!U6*'Requirements Per Archetype'!W6</f>
        <v>0</v>
      </c>
      <c r="J21" s="43">
        <f>D21*'Requirements Per Archetype'!U6*'Requirements Per Archetype'!W6</f>
        <v>0</v>
      </c>
      <c r="K21" s="43">
        <f>C21*'Requirements Per Archetype'!V6*'Requirements Per Archetype'!W6</f>
        <v>0</v>
      </c>
      <c r="L21" s="45">
        <f>D21*'Requirements Per Archetype'!V6*'Requirements Per Archetype'!W6</f>
        <v>0</v>
      </c>
    </row>
    <row r="22" spans="2:12" x14ac:dyDescent="0.35">
      <c r="B22" s="122">
        <v>3</v>
      </c>
      <c r="C22" s="65">
        <f>'Number of Archetypes'!E20</f>
        <v>3.3</v>
      </c>
      <c r="D22" s="65">
        <f>'Number of Archetypes'!F20</f>
        <v>13.7</v>
      </c>
      <c r="E22" s="43">
        <f>C22*'Requirements Per Archetype'!Q7</f>
        <v>51.510152284263953</v>
      </c>
      <c r="F22" s="43">
        <f>D22*'Requirements Per Archetype'!Q7</f>
        <v>213.84517766497459</v>
      </c>
      <c r="G22" s="43">
        <f>C22*'Requirements Per Archetype'!S7</f>
        <v>0</v>
      </c>
      <c r="H22" s="43">
        <f>D22*'Requirements Per Archetype'!S7</f>
        <v>0</v>
      </c>
      <c r="I22" s="43">
        <f>C22*'Requirements Per Archetype'!U7*'Requirements Per Archetype'!W7</f>
        <v>0</v>
      </c>
      <c r="J22" s="43">
        <f>D22*'Requirements Per Archetype'!U7*'Requirements Per Archetype'!W7</f>
        <v>0</v>
      </c>
      <c r="K22" s="43">
        <f>C22*'Requirements Per Archetype'!V7*'Requirements Per Archetype'!W7</f>
        <v>0</v>
      </c>
      <c r="L22" s="45">
        <f>D22*'Requirements Per Archetype'!V7*'Requirements Per Archetype'!W7</f>
        <v>0</v>
      </c>
    </row>
    <row r="23" spans="2:12" x14ac:dyDescent="0.35">
      <c r="B23" s="122">
        <v>4</v>
      </c>
      <c r="C23" s="65">
        <f>'Number of Archetypes'!E21</f>
        <v>10</v>
      </c>
      <c r="D23" s="65">
        <f>'Number of Archetypes'!F21</f>
        <v>18</v>
      </c>
      <c r="E23" s="43">
        <f>C23*'Requirements Per Archetype'!Q8</f>
        <v>0</v>
      </c>
      <c r="F23" s="43">
        <f>D23*'Requirements Per Archetype'!Q8</f>
        <v>0</v>
      </c>
      <c r="G23" s="43">
        <f>C23*'Requirements Per Archetype'!S8</f>
        <v>21.573604060913706</v>
      </c>
      <c r="H23" s="43">
        <f>D23*'Requirements Per Archetype'!S8</f>
        <v>38.832487309644669</v>
      </c>
      <c r="I23" s="43">
        <f>C23*'Requirements Per Archetype'!U8*'Requirements Per Archetype'!W8</f>
        <v>114.75</v>
      </c>
      <c r="J23" s="43">
        <f>D23*'Requirements Per Archetype'!U8*'Requirements Per Archetype'!W8</f>
        <v>206.54999999999998</v>
      </c>
      <c r="K23" s="43">
        <f>C23*'Requirements Per Archetype'!V8*'Requirements Per Archetype'!W8</f>
        <v>0</v>
      </c>
      <c r="L23" s="45">
        <f>D23*'Requirements Per Archetype'!V8*'Requirements Per Archetype'!W8</f>
        <v>0</v>
      </c>
    </row>
    <row r="24" spans="2:12" x14ac:dyDescent="0.35">
      <c r="B24" s="122">
        <v>5</v>
      </c>
      <c r="C24" s="65">
        <f>'Number of Archetypes'!E22</f>
        <v>2.75</v>
      </c>
      <c r="D24" s="65">
        <f>'Number of Archetypes'!F22</f>
        <v>6.15</v>
      </c>
      <c r="E24" s="43">
        <f>C24*'Requirements Per Archetype'!Q9</f>
        <v>0</v>
      </c>
      <c r="F24" s="43">
        <f>D24*'Requirements Per Archetype'!Q9</f>
        <v>0</v>
      </c>
      <c r="G24" s="43">
        <f>C24*'Requirements Per Archetype'!S9</f>
        <v>118.65482233502539</v>
      </c>
      <c r="H24" s="43">
        <f>D24*'Requirements Per Archetype'!S9</f>
        <v>265.35532994923858</v>
      </c>
      <c r="I24" s="43">
        <f>C24*'Requirements Per Archetype'!U9*'Requirements Per Archetype'!W9</f>
        <v>631.125</v>
      </c>
      <c r="J24" s="43">
        <f>D24*'Requirements Per Archetype'!U9*'Requirements Per Archetype'!W9</f>
        <v>1411.4250000000002</v>
      </c>
      <c r="K24" s="43">
        <f>C24*'Requirements Per Archetype'!V9*'Requirements Per Archetype'!W9</f>
        <v>0</v>
      </c>
      <c r="L24" s="45">
        <f>D24*'Requirements Per Archetype'!V9*'Requirements Per Archetype'!W9</f>
        <v>0</v>
      </c>
    </row>
    <row r="25" spans="2:12" x14ac:dyDescent="0.35">
      <c r="B25" s="122">
        <v>6</v>
      </c>
      <c r="C25" s="65">
        <f>'Number of Archetypes'!E23</f>
        <v>0</v>
      </c>
      <c r="D25" s="65">
        <f>'Number of Archetypes'!F23</f>
        <v>4.5</v>
      </c>
      <c r="E25" s="43">
        <f>C25*'Requirements Per Archetype'!Q10</f>
        <v>0</v>
      </c>
      <c r="F25" s="43">
        <f>D25*'Requirements Per Archetype'!Q10</f>
        <v>0</v>
      </c>
      <c r="G25" s="43">
        <f>C25*'Requirements Per Archetype'!S10</f>
        <v>0</v>
      </c>
      <c r="H25" s="43">
        <f>D25*'Requirements Per Archetype'!S10</f>
        <v>194.16243654822335</v>
      </c>
      <c r="I25" s="43">
        <f>C25*'Requirements Per Archetype'!U10*'Requirements Per Archetype'!W10</f>
        <v>0</v>
      </c>
      <c r="J25" s="43">
        <f>D25*'Requirements Per Archetype'!U10*'Requirements Per Archetype'!W10</f>
        <v>0</v>
      </c>
      <c r="K25" s="43">
        <f>C25*'Requirements Per Archetype'!V10*'Requirements Per Archetype'!W10</f>
        <v>0</v>
      </c>
      <c r="L25" s="45">
        <f>D25*'Requirements Per Archetype'!V10*'Requirements Per Archetype'!W10</f>
        <v>8390.25</v>
      </c>
    </row>
    <row r="26" spans="2:12" x14ac:dyDescent="0.35">
      <c r="B26" s="122">
        <v>7</v>
      </c>
      <c r="C26" s="65">
        <f>'Number of Archetypes'!E24</f>
        <v>0.04</v>
      </c>
      <c r="D26" s="65">
        <f>'Number of Archetypes'!F24</f>
        <v>0.46</v>
      </c>
      <c r="E26" s="43">
        <f>C26*'Requirements Per Archetype'!Q11</f>
        <v>12.487309644670049</v>
      </c>
      <c r="F26" s="43">
        <f>D26*'Requirements Per Archetype'!Q11</f>
        <v>143.60406091370558</v>
      </c>
      <c r="G26" s="43">
        <f>C26*'Requirements Per Archetype'!S11</f>
        <v>0</v>
      </c>
      <c r="H26" s="43">
        <f>D26*'Requirements Per Archetype'!S11</f>
        <v>0</v>
      </c>
      <c r="I26" s="43">
        <f>C26*'Requirements Per Archetype'!U11*'Requirements Per Archetype'!W11</f>
        <v>0</v>
      </c>
      <c r="J26" s="43">
        <f>D26*'Requirements Per Archetype'!U11*'Requirements Per Archetype'!W11</f>
        <v>0</v>
      </c>
      <c r="K26" s="43">
        <f>C26*'Requirements Per Archetype'!V11*'Requirements Per Archetype'!W11</f>
        <v>0</v>
      </c>
      <c r="L26" s="45">
        <f>D26*'Requirements Per Archetype'!V11*'Requirements Per Archetype'!W11</f>
        <v>0</v>
      </c>
    </row>
    <row r="27" spans="2:12" x14ac:dyDescent="0.35">
      <c r="B27" s="122">
        <v>8</v>
      </c>
      <c r="C27" s="65">
        <f>'Number of Archetypes'!E25</f>
        <v>2.2999999999999998</v>
      </c>
      <c r="D27" s="65">
        <f>'Number of Archetypes'!F25</f>
        <v>3.2</v>
      </c>
      <c r="E27" s="43">
        <f>C27*'Requirements Per Archetype'!Q12</f>
        <v>0</v>
      </c>
      <c r="F27" s="43">
        <f>D27*'Requirements Per Archetype'!Q12</f>
        <v>0</v>
      </c>
      <c r="G27" s="43">
        <f>C27*'Requirements Per Archetype'!S12</f>
        <v>99.238578680203034</v>
      </c>
      <c r="H27" s="43">
        <f>D27*'Requirements Per Archetype'!S12</f>
        <v>138.07106598984771</v>
      </c>
      <c r="I27" s="43">
        <f>C27*'Requirements Per Archetype'!U12*'Requirements Per Archetype'!W12</f>
        <v>527.84999999999991</v>
      </c>
      <c r="J27" s="43">
        <f>D27*'Requirements Per Archetype'!U12*'Requirements Per Archetype'!W12</f>
        <v>734.40000000000009</v>
      </c>
      <c r="K27" s="43">
        <f>C27*'Requirements Per Archetype'!V12*'Requirements Per Archetype'!W12</f>
        <v>0</v>
      </c>
      <c r="L27" s="45">
        <f>D27*'Requirements Per Archetype'!V12*'Requirements Per Archetype'!W12</f>
        <v>0</v>
      </c>
    </row>
    <row r="28" spans="2:12" ht="15" thickBot="1" x14ac:dyDescent="0.4">
      <c r="B28" s="116"/>
      <c r="C28" s="117"/>
      <c r="D28" s="117"/>
      <c r="E28" s="118"/>
      <c r="F28" s="118"/>
      <c r="G28" s="119"/>
      <c r="H28" s="118"/>
      <c r="I28" s="118"/>
      <c r="J28" s="120"/>
      <c r="K28" s="120"/>
      <c r="L28" s="121"/>
    </row>
    <row r="29" spans="2:12" ht="15" thickBot="1" x14ac:dyDescent="0.4">
      <c r="B29" s="223" t="s">
        <v>145</v>
      </c>
      <c r="C29" s="224"/>
      <c r="D29" s="225"/>
      <c r="E29" s="75">
        <f t="shared" ref="E29:L29" si="1">SUM(E20:E27)</f>
        <v>63.997461928934001</v>
      </c>
      <c r="F29" s="75">
        <f t="shared" si="1"/>
        <v>357.44923857868014</v>
      </c>
      <c r="G29" s="75">
        <f t="shared" si="1"/>
        <v>239.46700507614213</v>
      </c>
      <c r="H29" s="75">
        <f t="shared" si="1"/>
        <v>636.42131979695432</v>
      </c>
      <c r="I29" s="75">
        <f t="shared" si="1"/>
        <v>1273.7249999999999</v>
      </c>
      <c r="J29" s="75">
        <f t="shared" si="1"/>
        <v>2352.375</v>
      </c>
      <c r="K29" s="75">
        <f t="shared" si="1"/>
        <v>0</v>
      </c>
      <c r="L29" s="76">
        <f t="shared" si="1"/>
        <v>8390.25</v>
      </c>
    </row>
  </sheetData>
  <mergeCells count="16">
    <mergeCell ref="B29:D29"/>
    <mergeCell ref="B15:D15"/>
    <mergeCell ref="B17:B18"/>
    <mergeCell ref="C17:D18"/>
    <mergeCell ref="E17:L17"/>
    <mergeCell ref="E18:F18"/>
    <mergeCell ref="G18:H18"/>
    <mergeCell ref="I18:J18"/>
    <mergeCell ref="K18:L18"/>
    <mergeCell ref="B3:B4"/>
    <mergeCell ref="C3:D4"/>
    <mergeCell ref="E3:L3"/>
    <mergeCell ref="E4:F4"/>
    <mergeCell ref="G4:H4"/>
    <mergeCell ref="I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BCBC-8F88-40D2-AAAF-507929D69952}">
  <sheetPr>
    <tabColor rgb="FFBFBFBF"/>
  </sheetPr>
  <dimension ref="B1:K31"/>
  <sheetViews>
    <sheetView topLeftCell="B1" workbookViewId="0">
      <selection activeCell="B2" sqref="B2:E2"/>
    </sheetView>
  </sheetViews>
  <sheetFormatPr defaultColWidth="8.7265625" defaultRowHeight="14.5" x14ac:dyDescent="0.35"/>
  <cols>
    <col min="1" max="1" width="8.7265625" style="1"/>
    <col min="2" max="2" width="23.7265625" style="1" customWidth="1"/>
    <col min="3" max="3" width="11.7265625" style="1" customWidth="1"/>
    <col min="4" max="4" width="131.453125" style="1" bestFit="1" customWidth="1"/>
    <col min="5" max="5" width="81.26953125" style="1" customWidth="1"/>
    <col min="6" max="16384" width="8.7265625" style="1"/>
  </cols>
  <sheetData>
    <row r="1" spans="2:5" ht="15" thickBot="1" x14ac:dyDescent="0.4"/>
    <row r="2" spans="2:5" x14ac:dyDescent="0.35">
      <c r="B2" s="160" t="s">
        <v>23</v>
      </c>
      <c r="C2" s="161"/>
      <c r="D2" s="161"/>
      <c r="E2" s="162"/>
    </row>
    <row r="3" spans="2:5" ht="15" thickBot="1" x14ac:dyDescent="0.4">
      <c r="B3" s="124"/>
      <c r="C3" s="125"/>
      <c r="D3" s="125"/>
      <c r="E3" s="126"/>
    </row>
    <row r="4" spans="2:5" x14ac:dyDescent="0.35">
      <c r="B4" s="127" t="s">
        <v>24</v>
      </c>
      <c r="C4" s="128" t="s">
        <v>25</v>
      </c>
      <c r="D4" s="128" t="s">
        <v>26</v>
      </c>
      <c r="E4" s="129" t="s">
        <v>27</v>
      </c>
    </row>
    <row r="5" spans="2:5" x14ac:dyDescent="0.35">
      <c r="B5" s="2" t="s">
        <v>28</v>
      </c>
      <c r="C5" s="12" t="s">
        <v>29</v>
      </c>
      <c r="D5" s="78">
        <v>0.01</v>
      </c>
      <c r="E5" s="3" t="s">
        <v>30</v>
      </c>
    </row>
    <row r="6" spans="2:5" x14ac:dyDescent="0.35">
      <c r="B6" s="2" t="s">
        <v>31</v>
      </c>
      <c r="C6" s="12" t="s">
        <v>32</v>
      </c>
      <c r="D6" s="78">
        <v>0.1</v>
      </c>
      <c r="E6" s="3" t="s">
        <v>33</v>
      </c>
    </row>
    <row r="7" spans="2:5" ht="29" x14ac:dyDescent="0.35">
      <c r="B7" s="168" t="s">
        <v>34</v>
      </c>
      <c r="C7" s="12" t="s">
        <v>29</v>
      </c>
      <c r="D7" s="78">
        <v>4.0000000000000001E-3</v>
      </c>
      <c r="E7" s="3" t="s">
        <v>35</v>
      </c>
    </row>
    <row r="8" spans="2:5" x14ac:dyDescent="0.35">
      <c r="B8" s="169"/>
      <c r="C8" s="12" t="s">
        <v>32</v>
      </c>
      <c r="D8" s="78">
        <v>0.05</v>
      </c>
      <c r="E8" s="3" t="s">
        <v>36</v>
      </c>
    </row>
    <row r="9" spans="2:5" ht="43.5" x14ac:dyDescent="0.35">
      <c r="B9" s="168" t="s">
        <v>37</v>
      </c>
      <c r="C9" s="12" t="s">
        <v>29</v>
      </c>
      <c r="D9" s="78">
        <v>0.03</v>
      </c>
      <c r="E9" s="3" t="s">
        <v>38</v>
      </c>
    </row>
    <row r="10" spans="2:5" ht="15" thickBot="1" x14ac:dyDescent="0.4">
      <c r="B10" s="170"/>
      <c r="C10" s="24" t="s">
        <v>32</v>
      </c>
      <c r="D10" s="79">
        <v>0.05</v>
      </c>
      <c r="E10" s="14" t="s">
        <v>39</v>
      </c>
    </row>
    <row r="11" spans="2:5" x14ac:dyDescent="0.35">
      <c r="B11" s="127" t="s">
        <v>40</v>
      </c>
      <c r="C11" s="128" t="s">
        <v>41</v>
      </c>
      <c r="D11" s="128" t="s">
        <v>42</v>
      </c>
      <c r="E11" s="129" t="s">
        <v>43</v>
      </c>
    </row>
    <row r="12" spans="2:5" ht="29" x14ac:dyDescent="0.35">
      <c r="B12" s="55" t="s">
        <v>44</v>
      </c>
      <c r="C12" s="11">
        <v>0.61</v>
      </c>
      <c r="D12" s="59" t="s">
        <v>45</v>
      </c>
      <c r="E12" s="3" t="s">
        <v>46</v>
      </c>
    </row>
    <row r="13" spans="2:5" x14ac:dyDescent="0.35">
      <c r="B13" s="168" t="s">
        <v>47</v>
      </c>
      <c r="C13" s="171">
        <v>0.26</v>
      </c>
      <c r="D13" s="8" t="s">
        <v>48</v>
      </c>
      <c r="E13" s="163" t="s">
        <v>49</v>
      </c>
    </row>
    <row r="14" spans="2:5" x14ac:dyDescent="0.35">
      <c r="B14" s="169"/>
      <c r="C14" s="172"/>
      <c r="D14" s="60" t="s">
        <v>50</v>
      </c>
      <c r="E14" s="164"/>
    </row>
    <row r="15" spans="2:5" ht="29.5" thickBot="1" x14ac:dyDescent="0.4">
      <c r="B15" s="56" t="s">
        <v>51</v>
      </c>
      <c r="C15" s="13">
        <v>39.4</v>
      </c>
      <c r="D15" s="57" t="s">
        <v>52</v>
      </c>
      <c r="E15" s="58" t="s">
        <v>53</v>
      </c>
    </row>
    <row r="16" spans="2:5" ht="15" thickBot="1" x14ac:dyDescent="0.4"/>
    <row r="17" spans="2:11" x14ac:dyDescent="0.35">
      <c r="B17" s="160" t="s">
        <v>54</v>
      </c>
      <c r="C17" s="161"/>
      <c r="D17" s="161"/>
      <c r="E17" s="162"/>
    </row>
    <row r="18" spans="2:11" ht="15" thickBot="1" x14ac:dyDescent="0.4">
      <c r="B18" s="130"/>
      <c r="C18" s="131"/>
      <c r="D18" s="131"/>
      <c r="E18" s="132"/>
    </row>
    <row r="19" spans="2:11" x14ac:dyDescent="0.35">
      <c r="B19" s="133" t="s">
        <v>40</v>
      </c>
      <c r="C19" s="134" t="s">
        <v>41</v>
      </c>
      <c r="D19" s="134" t="s">
        <v>42</v>
      </c>
      <c r="E19" s="135" t="s">
        <v>43</v>
      </c>
    </row>
    <row r="20" spans="2:11" ht="29" x14ac:dyDescent="0.35">
      <c r="B20" s="2" t="s">
        <v>55</v>
      </c>
      <c r="C20" s="10">
        <f>C21*1000</f>
        <v>3.9400000000000002E-5</v>
      </c>
      <c r="D20" s="165" t="s">
        <v>52</v>
      </c>
      <c r="E20" s="163" t="s">
        <v>53</v>
      </c>
    </row>
    <row r="21" spans="2:11" ht="43.5" x14ac:dyDescent="0.35">
      <c r="B21" s="2" t="s">
        <v>56</v>
      </c>
      <c r="C21" s="11">
        <v>3.9400000000000002E-8</v>
      </c>
      <c r="D21" s="165"/>
      <c r="E21" s="164"/>
    </row>
    <row r="22" spans="2:11" ht="29" x14ac:dyDescent="0.35">
      <c r="B22" s="2" t="s">
        <v>57</v>
      </c>
      <c r="C22" s="11">
        <v>1.23</v>
      </c>
      <c r="D22" s="6" t="s">
        <v>58</v>
      </c>
      <c r="E22" s="3" t="s">
        <v>59</v>
      </c>
      <c r="K22" s="1" t="s">
        <v>22</v>
      </c>
    </row>
    <row r="23" spans="2:11" ht="72.5" x14ac:dyDescent="0.35">
      <c r="B23" s="2" t="s">
        <v>60</v>
      </c>
      <c r="C23" s="11">
        <v>0.17</v>
      </c>
      <c r="D23" s="8" t="s">
        <v>61</v>
      </c>
      <c r="E23" s="3" t="s">
        <v>62</v>
      </c>
    </row>
    <row r="24" spans="2:11" x14ac:dyDescent="0.35">
      <c r="B24" s="2" t="s">
        <v>63</v>
      </c>
      <c r="C24" s="12">
        <v>2.6999999999999999E-5</v>
      </c>
      <c r="D24" s="166" t="s">
        <v>64</v>
      </c>
      <c r="E24" s="163" t="s">
        <v>65</v>
      </c>
    </row>
    <row r="25" spans="2:11" x14ac:dyDescent="0.35">
      <c r="B25" s="2" t="s">
        <v>66</v>
      </c>
      <c r="C25" s="11">
        <f>C24*1000</f>
        <v>2.7E-2</v>
      </c>
      <c r="D25" s="167"/>
      <c r="E25" s="164"/>
    </row>
    <row r="26" spans="2:11" x14ac:dyDescent="0.35">
      <c r="B26" s="168" t="s">
        <v>67</v>
      </c>
      <c r="C26" s="171">
        <v>15</v>
      </c>
      <c r="D26" s="7" t="s">
        <v>68</v>
      </c>
      <c r="E26" s="163" t="s">
        <v>69</v>
      </c>
    </row>
    <row r="27" spans="2:11" x14ac:dyDescent="0.35">
      <c r="B27" s="169"/>
      <c r="C27" s="172"/>
      <c r="D27" s="8" t="s">
        <v>70</v>
      </c>
      <c r="E27" s="164"/>
    </row>
    <row r="28" spans="2:11" x14ac:dyDescent="0.35">
      <c r="B28" s="168" t="s">
        <v>71</v>
      </c>
      <c r="C28" s="175">
        <f>AVERAGE(1860000,1200000)</f>
        <v>1530000</v>
      </c>
      <c r="D28" s="15" t="s">
        <v>72</v>
      </c>
      <c r="E28" s="176" t="s">
        <v>73</v>
      </c>
    </row>
    <row r="29" spans="2:11" x14ac:dyDescent="0.35">
      <c r="B29" s="169"/>
      <c r="C29" s="175"/>
      <c r="D29" s="15" t="s">
        <v>74</v>
      </c>
      <c r="E29" s="176"/>
    </row>
    <row r="30" spans="2:11" ht="29" x14ac:dyDescent="0.35">
      <c r="B30" s="81" t="s">
        <v>75</v>
      </c>
      <c r="C30" s="82">
        <v>339000</v>
      </c>
      <c r="D30" s="83" t="s">
        <v>72</v>
      </c>
      <c r="E30" s="84" t="s">
        <v>76</v>
      </c>
    </row>
    <row r="31" spans="2:11" ht="44" thickBot="1" x14ac:dyDescent="0.4">
      <c r="B31" s="85" t="s">
        <v>77</v>
      </c>
      <c r="C31" s="89">
        <v>550</v>
      </c>
      <c r="D31" s="173" t="s">
        <v>78</v>
      </c>
      <c r="E31" s="174"/>
    </row>
  </sheetData>
  <mergeCells count="18">
    <mergeCell ref="D31:E31"/>
    <mergeCell ref="B26:B27"/>
    <mergeCell ref="C26:C27"/>
    <mergeCell ref="E26:E27"/>
    <mergeCell ref="B28:B29"/>
    <mergeCell ref="C28:C29"/>
    <mergeCell ref="E28:E29"/>
    <mergeCell ref="B2:E2"/>
    <mergeCell ref="B17:E17"/>
    <mergeCell ref="E24:E25"/>
    <mergeCell ref="E20:E21"/>
    <mergeCell ref="D20:D21"/>
    <mergeCell ref="D24:D25"/>
    <mergeCell ref="B7:B8"/>
    <mergeCell ref="B9:B10"/>
    <mergeCell ref="B13:B14"/>
    <mergeCell ref="C13:C14"/>
    <mergeCell ref="E13:E14"/>
  </mergeCells>
  <phoneticPr fontId="3" type="noConversion"/>
  <hyperlinks>
    <hyperlink ref="D20" r:id="rId1" display="https://assets.publishing.service.gov.uk/government/uploads/system/uploads/attachment_data/file/1011506/Hydrogen_Production_Costs_2021.pdf" xr:uid="{76C950E3-225C-448C-A41B-552680A04C8B}"/>
    <hyperlink ref="D22" r:id="rId2" display="https://hydrogencouncil.com/wp-content/uploads/2020/01/Path-to-Hydrogen-Competitiveness_Full-Study-1.pdf" xr:uid="{CA4226D5-A809-491A-BB2F-6CA1EFCDC4C1}"/>
    <hyperlink ref="D23" r:id="rId3" xr:uid="{82DFB2B4-1B1B-4C60-82CE-16665B7E0409}"/>
    <hyperlink ref="D24" r:id="rId4" display="https://www.dnv.com/Publications/hydrogen-in-the-electricity-value-chain-225850" xr:uid="{CEB26FA5-58A9-4F92-910E-238934650C45}"/>
    <hyperlink ref="D26" r:id="rId5" display="https://hynet.co.uk/wp-content/uploads/2018/05/14368_CADENT_PROJECT_REPORT_AMENDED_v22105.pdf" xr:uid="{3EF1DBA0-E646-4635-A69E-16D7690A1E29}"/>
    <hyperlink ref="D27" r:id="rId6" display="https://hynet.co.uk/wp-content/uploads/2020/10/HyNet_NW-Vision-Document-2020_FINAL.pdf" xr:uid="{92E1E4B5-6F40-45E2-9C3C-EEEA4D0A6F54}"/>
    <hyperlink ref="D28" r:id="rId7" display="https://gasforclimate2050.eu/wp-content/uploads/2022/04/EHB-A-European-hydrogen-infrastructure-vision-covering-28-countries.pdf" xr:uid="{CB8E8E95-C8E0-4975-9F57-652560DE1E38}"/>
    <hyperlink ref="D29" r:id="rId8" xr:uid="{A761161A-8CF5-4E84-BF32-879B8624299A}"/>
    <hyperlink ref="D30" r:id="rId9" display="https://gasforclimate2050.eu/wp-content/uploads/2022/04/EHB-A-European-hydrogen-infrastructure-vision-covering-28-countries.pdf" xr:uid="{752D2A9C-E6F0-42A3-918E-8CB245AFD444}"/>
    <hyperlink ref="D20:D21" r:id="rId10" display="Hydrogen production costs 2021 (publishing.service.gov.uk)" xr:uid="{2C7448F2-45C2-4E26-97F6-D9416AF80770}"/>
    <hyperlink ref="D15" r:id="rId11" xr:uid="{701B7F45-1ABF-4C57-9F37-45BA62BDB992}"/>
    <hyperlink ref="D12" r:id="rId12" xr:uid="{AD77BB0D-A100-4B17-BCCE-527C002EFF4A}"/>
    <hyperlink ref="D13" r:id="rId13" display="https://www.euractiv.com/wp-content/uploads/sites/2/2021/07/Aurora-MCS-Enabling-the-European-hydrogen-economy-20210322.pdf" xr:uid="{F22D838B-08F9-456F-8B55-C48ABA36FB2C}"/>
    <hyperlink ref="D14" r:id="rId14" display="https://www.dnv.com/Publications/hydrogen-in-the-electricity-value-chain-225850" xr:uid="{FC77C8BC-0A9E-44B2-97D8-99F2C396B95F}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6E57-305C-40F9-92C9-9710B99E0B53}">
  <sheetPr>
    <tabColor rgb="FFBFBFBF"/>
  </sheetPr>
  <dimension ref="B2:K24"/>
  <sheetViews>
    <sheetView workbookViewId="0"/>
  </sheetViews>
  <sheetFormatPr defaultRowHeight="14.5" x14ac:dyDescent="0.35"/>
  <cols>
    <col min="2" max="2" width="30" bestFit="1" customWidth="1"/>
  </cols>
  <sheetData>
    <row r="2" spans="2:6" x14ac:dyDescent="0.35">
      <c r="B2" t="s">
        <v>79</v>
      </c>
    </row>
    <row r="4" spans="2:6" x14ac:dyDescent="0.35">
      <c r="C4" s="177" t="s">
        <v>80</v>
      </c>
      <c r="D4" s="177"/>
      <c r="E4" s="177"/>
      <c r="F4" s="177"/>
    </row>
    <row r="5" spans="2:6" x14ac:dyDescent="0.35">
      <c r="B5" s="16"/>
      <c r="C5" s="177">
        <v>2030</v>
      </c>
      <c r="D5" s="177"/>
      <c r="E5" s="177">
        <v>2035</v>
      </c>
      <c r="F5" s="177"/>
    </row>
    <row r="6" spans="2:6" x14ac:dyDescent="0.35">
      <c r="B6" s="94" t="s">
        <v>81</v>
      </c>
      <c r="C6" s="94" t="s">
        <v>82</v>
      </c>
      <c r="D6" s="94" t="s">
        <v>83</v>
      </c>
      <c r="E6" s="94" t="s">
        <v>82</v>
      </c>
      <c r="F6" s="94" t="s">
        <v>83</v>
      </c>
    </row>
    <row r="7" spans="2:6" x14ac:dyDescent="0.35">
      <c r="B7" s="4" t="s">
        <v>84</v>
      </c>
      <c r="C7" s="4">
        <v>10000</v>
      </c>
      <c r="D7" s="4">
        <v>21000</v>
      </c>
      <c r="E7" s="4">
        <v>25000</v>
      </c>
      <c r="F7" s="4">
        <v>45000</v>
      </c>
    </row>
    <row r="8" spans="2:6" x14ac:dyDescent="0.35">
      <c r="B8" s="4" t="s">
        <v>85</v>
      </c>
      <c r="C8" s="4">
        <v>0</v>
      </c>
      <c r="D8" s="4">
        <v>10000</v>
      </c>
      <c r="E8" s="4">
        <v>10000</v>
      </c>
      <c r="F8" s="4">
        <v>30000</v>
      </c>
    </row>
    <row r="9" spans="2:6" x14ac:dyDescent="0.35">
      <c r="B9" s="4" t="s">
        <v>86</v>
      </c>
      <c r="C9" s="4">
        <v>1000</v>
      </c>
      <c r="D9" s="4">
        <v>8000</v>
      </c>
      <c r="E9" s="4">
        <v>2000</v>
      </c>
      <c r="F9" s="4">
        <v>23000</v>
      </c>
    </row>
    <row r="10" spans="2:6" x14ac:dyDescent="0.35">
      <c r="B10" s="4" t="s">
        <v>87</v>
      </c>
      <c r="C10" s="4">
        <v>0</v>
      </c>
      <c r="D10" s="4">
        <v>1000</v>
      </c>
      <c r="E10" s="4">
        <v>0</v>
      </c>
      <c r="F10" s="4">
        <v>45000</v>
      </c>
    </row>
    <row r="11" spans="2:6" x14ac:dyDescent="0.35">
      <c r="B11" s="4" t="s">
        <v>88</v>
      </c>
      <c r="C11" s="4">
        <v>0</v>
      </c>
      <c r="D11" s="4">
        <v>0</v>
      </c>
      <c r="E11" s="4">
        <v>20000</v>
      </c>
      <c r="F11" s="4">
        <v>25000</v>
      </c>
    </row>
    <row r="12" spans="2:6" x14ac:dyDescent="0.35">
      <c r="B12" s="4" t="s">
        <v>89</v>
      </c>
      <c r="C12" s="4">
        <v>0</v>
      </c>
      <c r="D12" s="4">
        <v>0</v>
      </c>
      <c r="E12" s="4">
        <v>3000</v>
      </c>
      <c r="F12" s="4">
        <v>7000</v>
      </c>
    </row>
    <row r="24" spans="11:11" x14ac:dyDescent="0.35">
      <c r="K24" t="s">
        <v>22</v>
      </c>
    </row>
  </sheetData>
  <mergeCells count="3">
    <mergeCell ref="C4:F4"/>
    <mergeCell ref="C5:D5"/>
    <mergeCell ref="E5:F5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3594-77B5-49DD-8616-009CDCE2C20D}">
  <sheetPr>
    <tabColor rgb="FFBFBFBF"/>
  </sheetPr>
  <dimension ref="B2:K25"/>
  <sheetViews>
    <sheetView workbookViewId="0"/>
  </sheetViews>
  <sheetFormatPr defaultRowHeight="14.5" x14ac:dyDescent="0.35"/>
  <cols>
    <col min="2" max="2" width="13.54296875" customWidth="1"/>
    <col min="3" max="3" width="32.453125" customWidth="1"/>
    <col min="4" max="4" width="14" customWidth="1"/>
    <col min="5" max="5" width="18.453125" customWidth="1"/>
    <col min="6" max="9" width="14" customWidth="1"/>
  </cols>
  <sheetData>
    <row r="2" spans="2:9" x14ac:dyDescent="0.35">
      <c r="C2" t="s">
        <v>90</v>
      </c>
    </row>
    <row r="3" spans="2:9" ht="15" thickBot="1" x14ac:dyDescent="0.4"/>
    <row r="4" spans="2:9" x14ac:dyDescent="0.35">
      <c r="B4" s="90">
        <v>2030</v>
      </c>
      <c r="C4" s="91"/>
      <c r="D4" s="91"/>
      <c r="E4" s="91"/>
      <c r="F4" s="91"/>
      <c r="G4" s="91"/>
      <c r="H4" s="91"/>
      <c r="I4" s="92"/>
    </row>
    <row r="5" spans="2:9" ht="39" customHeight="1" x14ac:dyDescent="0.35">
      <c r="B5" s="93" t="s">
        <v>91</v>
      </c>
      <c r="C5" s="103" t="s">
        <v>92</v>
      </c>
      <c r="D5" s="140" t="s">
        <v>84</v>
      </c>
      <c r="E5" s="140" t="s">
        <v>85</v>
      </c>
      <c r="F5" s="140" t="s">
        <v>86</v>
      </c>
      <c r="G5" s="140" t="s">
        <v>87</v>
      </c>
      <c r="H5" s="140" t="s">
        <v>88</v>
      </c>
      <c r="I5" s="141" t="s">
        <v>89</v>
      </c>
    </row>
    <row r="6" spans="2:9" x14ac:dyDescent="0.35">
      <c r="B6" s="122">
        <v>1</v>
      </c>
      <c r="C6" s="4" t="s">
        <v>93</v>
      </c>
      <c r="D6" s="136">
        <v>0.05</v>
      </c>
      <c r="E6" s="136"/>
      <c r="F6" s="136">
        <v>0.6</v>
      </c>
      <c r="G6" s="136"/>
      <c r="H6" s="136"/>
      <c r="I6" s="137"/>
    </row>
    <row r="7" spans="2:9" x14ac:dyDescent="0.35">
      <c r="B7" s="122">
        <v>2</v>
      </c>
      <c r="C7" s="4" t="s">
        <v>94</v>
      </c>
      <c r="D7" s="136"/>
      <c r="E7" s="136"/>
      <c r="F7" s="136">
        <v>0</v>
      </c>
      <c r="G7" s="136"/>
      <c r="H7" s="136"/>
      <c r="I7" s="137"/>
    </row>
    <row r="8" spans="2:9" x14ac:dyDescent="0.35">
      <c r="B8" s="122">
        <v>3</v>
      </c>
      <c r="C8" s="4" t="s">
        <v>95</v>
      </c>
      <c r="D8" s="136">
        <v>0.05</v>
      </c>
      <c r="E8" s="136"/>
      <c r="F8" s="136">
        <v>0.2</v>
      </c>
      <c r="G8" s="136"/>
      <c r="H8" s="136"/>
      <c r="I8" s="137"/>
    </row>
    <row r="9" spans="2:9" x14ac:dyDescent="0.35">
      <c r="B9" s="122">
        <v>4</v>
      </c>
      <c r="C9" s="4" t="s">
        <v>96</v>
      </c>
      <c r="D9" s="136">
        <v>0.2</v>
      </c>
      <c r="E9" s="136"/>
      <c r="F9" s="136"/>
      <c r="G9" s="136"/>
      <c r="H9" s="136"/>
      <c r="I9" s="137"/>
    </row>
    <row r="10" spans="2:9" x14ac:dyDescent="0.35">
      <c r="B10" s="122">
        <v>5</v>
      </c>
      <c r="C10" s="4" t="s">
        <v>97</v>
      </c>
      <c r="D10" s="136">
        <v>0.7</v>
      </c>
      <c r="E10" s="136">
        <v>1</v>
      </c>
      <c r="F10" s="136"/>
      <c r="G10" s="136"/>
      <c r="H10" s="136"/>
      <c r="I10" s="137"/>
    </row>
    <row r="11" spans="2:9" x14ac:dyDescent="0.35">
      <c r="B11" s="122">
        <v>6</v>
      </c>
      <c r="C11" s="4" t="s">
        <v>98</v>
      </c>
      <c r="D11" s="136"/>
      <c r="E11" s="136">
        <v>0</v>
      </c>
      <c r="F11" s="136"/>
      <c r="G11" s="136">
        <v>1</v>
      </c>
      <c r="H11" s="136"/>
      <c r="I11" s="137"/>
    </row>
    <row r="12" spans="2:9" x14ac:dyDescent="0.35">
      <c r="B12" s="122">
        <v>7</v>
      </c>
      <c r="C12" s="4" t="s">
        <v>99</v>
      </c>
      <c r="D12" s="136">
        <v>0</v>
      </c>
      <c r="E12" s="136"/>
      <c r="F12" s="136">
        <v>0.2</v>
      </c>
      <c r="G12" s="136"/>
      <c r="H12" s="136"/>
      <c r="I12" s="137"/>
    </row>
    <row r="13" spans="2:9" ht="15" thickBot="1" x14ac:dyDescent="0.4">
      <c r="B13" s="123">
        <v>8</v>
      </c>
      <c r="C13" s="5" t="s">
        <v>100</v>
      </c>
      <c r="D13" s="138"/>
      <c r="E13" s="138"/>
      <c r="F13" s="138"/>
      <c r="G13" s="138"/>
      <c r="H13" s="138">
        <v>1</v>
      </c>
      <c r="I13" s="139">
        <v>1</v>
      </c>
    </row>
    <row r="15" spans="2:9" ht="15" thickBot="1" x14ac:dyDescent="0.4"/>
    <row r="16" spans="2:9" x14ac:dyDescent="0.35">
      <c r="B16" s="90">
        <v>2035</v>
      </c>
      <c r="C16" s="91"/>
      <c r="D16" s="91"/>
      <c r="E16" s="91"/>
      <c r="F16" s="91"/>
      <c r="G16" s="91"/>
      <c r="H16" s="91"/>
      <c r="I16" s="92"/>
    </row>
    <row r="17" spans="2:11" ht="42.75" customHeight="1" x14ac:dyDescent="0.35">
      <c r="B17" s="93" t="s">
        <v>91</v>
      </c>
      <c r="C17" s="103" t="s">
        <v>92</v>
      </c>
      <c r="D17" s="140" t="s">
        <v>84</v>
      </c>
      <c r="E17" s="140" t="s">
        <v>85</v>
      </c>
      <c r="F17" s="140" t="s">
        <v>86</v>
      </c>
      <c r="G17" s="140" t="s">
        <v>87</v>
      </c>
      <c r="H17" s="140" t="s">
        <v>88</v>
      </c>
      <c r="I17" s="141" t="s">
        <v>89</v>
      </c>
    </row>
    <row r="18" spans="2:11" x14ac:dyDescent="0.35">
      <c r="B18" s="122">
        <v>1</v>
      </c>
      <c r="C18" s="4" t="s">
        <v>93</v>
      </c>
      <c r="D18" s="136">
        <v>0.05</v>
      </c>
      <c r="E18" s="136"/>
      <c r="F18" s="136">
        <v>0.2</v>
      </c>
      <c r="G18" s="136"/>
      <c r="H18" s="136"/>
      <c r="I18" s="137"/>
    </row>
    <row r="19" spans="2:11" x14ac:dyDescent="0.35">
      <c r="B19" s="122">
        <v>2</v>
      </c>
      <c r="C19" s="4" t="s">
        <v>94</v>
      </c>
      <c r="D19" s="136"/>
      <c r="E19" s="136"/>
      <c r="F19" s="136">
        <v>0.4</v>
      </c>
      <c r="G19" s="136"/>
      <c r="H19" s="136"/>
      <c r="I19" s="137"/>
    </row>
    <row r="20" spans="2:11" x14ac:dyDescent="0.35">
      <c r="B20" s="122">
        <v>3</v>
      </c>
      <c r="C20" s="4" t="s">
        <v>95</v>
      </c>
      <c r="D20" s="136">
        <v>0.05</v>
      </c>
      <c r="E20" s="136"/>
      <c r="F20" s="136">
        <v>0.2</v>
      </c>
      <c r="G20" s="136"/>
      <c r="H20" s="136"/>
      <c r="I20" s="137"/>
    </row>
    <row r="21" spans="2:11" x14ac:dyDescent="0.35">
      <c r="B21" s="122">
        <v>4</v>
      </c>
      <c r="C21" s="4" t="s">
        <v>96</v>
      </c>
      <c r="D21" s="136">
        <v>0.2</v>
      </c>
      <c r="E21" s="136"/>
      <c r="F21" s="136"/>
      <c r="G21" s="136"/>
      <c r="H21" s="136"/>
      <c r="I21" s="137"/>
    </row>
    <row r="22" spans="2:11" x14ac:dyDescent="0.35">
      <c r="B22" s="122">
        <v>5</v>
      </c>
      <c r="C22" s="4" t="s">
        <v>97</v>
      </c>
      <c r="D22" s="136">
        <v>0.7</v>
      </c>
      <c r="E22" s="136">
        <v>1</v>
      </c>
      <c r="F22" s="136"/>
      <c r="G22" s="136"/>
      <c r="H22" s="136"/>
      <c r="I22" s="137"/>
    </row>
    <row r="23" spans="2:11" x14ac:dyDescent="0.35">
      <c r="B23" s="122">
        <v>6</v>
      </c>
      <c r="C23" s="4" t="s">
        <v>98</v>
      </c>
      <c r="D23" s="136"/>
      <c r="E23" s="136">
        <v>0</v>
      </c>
      <c r="F23" s="136"/>
      <c r="G23" s="136">
        <v>1</v>
      </c>
      <c r="H23" s="136"/>
      <c r="I23" s="137"/>
    </row>
    <row r="24" spans="2:11" x14ac:dyDescent="0.35">
      <c r="B24" s="122">
        <v>7</v>
      </c>
      <c r="C24" s="4" t="s">
        <v>99</v>
      </c>
      <c r="D24" s="136">
        <v>0</v>
      </c>
      <c r="E24" s="136"/>
      <c r="F24" s="136">
        <v>0.2</v>
      </c>
      <c r="G24" s="136"/>
      <c r="H24" s="136"/>
      <c r="I24" s="137"/>
      <c r="K24" t="s">
        <v>22</v>
      </c>
    </row>
    <row r="25" spans="2:11" ht="15" thickBot="1" x14ac:dyDescent="0.4">
      <c r="B25" s="123">
        <v>8</v>
      </c>
      <c r="C25" s="5" t="s">
        <v>100</v>
      </c>
      <c r="D25" s="138"/>
      <c r="E25" s="138"/>
      <c r="F25" s="138"/>
      <c r="G25" s="138"/>
      <c r="H25" s="138">
        <v>1</v>
      </c>
      <c r="I25" s="139">
        <v>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21A5-0177-41A8-AAE5-19DBCF661E5A}">
  <sheetPr>
    <tabColor rgb="FF00783F"/>
  </sheetPr>
  <dimension ref="B1:X28"/>
  <sheetViews>
    <sheetView zoomScaleNormal="100" workbookViewId="0">
      <selection activeCell="I32" sqref="I32"/>
    </sheetView>
  </sheetViews>
  <sheetFormatPr defaultRowHeight="14.5" x14ac:dyDescent="0.35"/>
  <cols>
    <col min="2" max="2" width="10.81640625" customWidth="1"/>
    <col min="3" max="3" width="28.1796875" customWidth="1"/>
    <col min="4" max="4" width="29.1796875" customWidth="1"/>
    <col min="12" max="12" width="13.26953125" customWidth="1"/>
  </cols>
  <sheetData>
    <row r="1" spans="2:24" ht="15" thickBot="1" x14ac:dyDescent="0.4"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2:24" ht="30.65" customHeight="1" x14ac:dyDescent="0.35">
      <c r="B2" s="96">
        <v>2030</v>
      </c>
      <c r="C2" s="178" t="s">
        <v>101</v>
      </c>
      <c r="D2" s="181" t="s">
        <v>102</v>
      </c>
      <c r="E2" s="183" t="s">
        <v>103</v>
      </c>
      <c r="F2" s="184"/>
      <c r="G2" s="185" t="s">
        <v>84</v>
      </c>
      <c r="H2" s="186"/>
      <c r="I2" s="187"/>
      <c r="J2" s="188" t="s">
        <v>85</v>
      </c>
      <c r="K2" s="188"/>
      <c r="L2" s="188"/>
      <c r="M2" s="185" t="s">
        <v>86</v>
      </c>
      <c r="N2" s="186"/>
      <c r="O2" s="187"/>
      <c r="P2" s="185" t="s">
        <v>87</v>
      </c>
      <c r="Q2" s="186"/>
      <c r="R2" s="187"/>
      <c r="S2" s="185" t="s">
        <v>88</v>
      </c>
      <c r="T2" s="186"/>
      <c r="U2" s="187"/>
      <c r="V2" s="185" t="s">
        <v>89</v>
      </c>
      <c r="W2" s="186"/>
      <c r="X2" s="189"/>
    </row>
    <row r="3" spans="2:24" x14ac:dyDescent="0.35">
      <c r="B3" s="93" t="s">
        <v>91</v>
      </c>
      <c r="C3" s="179"/>
      <c r="D3" s="182"/>
      <c r="E3" s="94" t="s">
        <v>82</v>
      </c>
      <c r="F3" s="94" t="s">
        <v>83</v>
      </c>
      <c r="G3" s="94" t="s">
        <v>104</v>
      </c>
      <c r="H3" s="94" t="s">
        <v>82</v>
      </c>
      <c r="I3" s="94" t="s">
        <v>83</v>
      </c>
      <c r="J3" s="94" t="s">
        <v>104</v>
      </c>
      <c r="K3" s="94" t="s">
        <v>82</v>
      </c>
      <c r="L3" s="94" t="s">
        <v>83</v>
      </c>
      <c r="M3" s="94" t="s">
        <v>104</v>
      </c>
      <c r="N3" s="94" t="s">
        <v>82</v>
      </c>
      <c r="O3" s="94" t="s">
        <v>83</v>
      </c>
      <c r="P3" s="94" t="s">
        <v>104</v>
      </c>
      <c r="Q3" s="94" t="s">
        <v>82</v>
      </c>
      <c r="R3" s="94" t="s">
        <v>83</v>
      </c>
      <c r="S3" s="94" t="s">
        <v>104</v>
      </c>
      <c r="T3" s="94" t="s">
        <v>82</v>
      </c>
      <c r="U3" s="94" t="s">
        <v>83</v>
      </c>
      <c r="V3" s="94" t="s">
        <v>104</v>
      </c>
      <c r="W3" s="94" t="s">
        <v>82</v>
      </c>
      <c r="X3" s="95" t="s">
        <v>83</v>
      </c>
    </row>
    <row r="4" spans="2:24" x14ac:dyDescent="0.35">
      <c r="B4" s="25">
        <v>1</v>
      </c>
      <c r="C4" s="11">
        <v>10</v>
      </c>
      <c r="D4" s="4" t="s">
        <v>93</v>
      </c>
      <c r="E4" s="17">
        <f t="shared" ref="E4:E11" si="0">SUM(H4,K4,N4,Q4,T4,W4)/C4</f>
        <v>110</v>
      </c>
      <c r="F4" s="17">
        <f t="shared" ref="F4:F11" si="1">SUM(I4,L4,O4,R4,U4,X4)/C4</f>
        <v>585</v>
      </c>
      <c r="G4" s="4">
        <f>'Archetypes - Split'!D6</f>
        <v>0.05</v>
      </c>
      <c r="H4" s="4">
        <f>G4*'Demand by Sector'!$C$7</f>
        <v>500</v>
      </c>
      <c r="I4" s="4">
        <f>G4*'Demand by Sector'!$D$7</f>
        <v>1050</v>
      </c>
      <c r="J4" s="4">
        <f>'Archetypes - Split'!E6</f>
        <v>0</v>
      </c>
      <c r="K4" s="4">
        <f>J4*'Demand by Sector'!$C$8</f>
        <v>0</v>
      </c>
      <c r="L4" s="4">
        <f>J4*'Demand by Sector'!$D$8</f>
        <v>0</v>
      </c>
      <c r="M4" s="4">
        <f>'Archetypes - Split'!F6</f>
        <v>0.6</v>
      </c>
      <c r="N4" s="4">
        <f>M4*'Demand by Sector'!$C$9</f>
        <v>600</v>
      </c>
      <c r="O4" s="4">
        <f>M4*'Demand by Sector'!$D$9</f>
        <v>4800</v>
      </c>
      <c r="P4" s="4">
        <f>'Archetypes - Split'!G6</f>
        <v>0</v>
      </c>
      <c r="Q4" s="4">
        <f>P4*'Demand by Sector'!$C$10</f>
        <v>0</v>
      </c>
      <c r="R4" s="4">
        <f>P4*'Demand by Sector'!$D$10</f>
        <v>0</v>
      </c>
      <c r="S4" s="4">
        <f>'Archetypes - Split'!H6</f>
        <v>0</v>
      </c>
      <c r="T4" s="4">
        <f>S4*'Demand by Sector'!$C$11</f>
        <v>0</v>
      </c>
      <c r="U4" s="4">
        <f>S4*'Demand by Sector'!$D$11</f>
        <v>0</v>
      </c>
      <c r="V4" s="4">
        <f>'Archetypes - Split'!I6</f>
        <v>0</v>
      </c>
      <c r="W4" s="4">
        <f>V4*'Demand by Sector'!$C$12</f>
        <v>0</v>
      </c>
      <c r="X4" s="22">
        <f>V4*'Demand by Sector'!$D$12</f>
        <v>0</v>
      </c>
    </row>
    <row r="5" spans="2:24" x14ac:dyDescent="0.35">
      <c r="B5" s="25">
        <v>2</v>
      </c>
      <c r="C5" s="11">
        <v>10</v>
      </c>
      <c r="D5" s="4" t="s">
        <v>94</v>
      </c>
      <c r="E5" s="17">
        <f t="shared" si="0"/>
        <v>0</v>
      </c>
      <c r="F5" s="17">
        <f t="shared" si="1"/>
        <v>0</v>
      </c>
      <c r="G5" s="4">
        <f>'Archetypes - Split'!D7</f>
        <v>0</v>
      </c>
      <c r="H5" s="4">
        <f>G5*'Demand by Sector'!$C$7</f>
        <v>0</v>
      </c>
      <c r="I5" s="4">
        <f>G5*'Demand by Sector'!$D$7</f>
        <v>0</v>
      </c>
      <c r="J5" s="4">
        <f>'Archetypes - Split'!E7</f>
        <v>0</v>
      </c>
      <c r="K5" s="4">
        <f>J5*'Demand by Sector'!$C$8</f>
        <v>0</v>
      </c>
      <c r="L5" s="4">
        <f>J5*'Demand by Sector'!$D$8</f>
        <v>0</v>
      </c>
      <c r="M5" s="4">
        <f>'Archetypes - Split'!F7</f>
        <v>0</v>
      </c>
      <c r="N5" s="4">
        <f>M5*'Demand by Sector'!$C$9</f>
        <v>0</v>
      </c>
      <c r="O5" s="4">
        <f>M5*'Demand by Sector'!$D$9</f>
        <v>0</v>
      </c>
      <c r="P5" s="4">
        <f>'Archetypes - Split'!G7</f>
        <v>0</v>
      </c>
      <c r="Q5" s="4">
        <f>P5*'Demand by Sector'!$C$10</f>
        <v>0</v>
      </c>
      <c r="R5" s="4">
        <f>P5*'Demand by Sector'!$D$10</f>
        <v>0</v>
      </c>
      <c r="S5" s="4">
        <f>'Archetypes - Split'!H7</f>
        <v>0</v>
      </c>
      <c r="T5" s="4">
        <f>S5*'Demand by Sector'!$C$11</f>
        <v>0</v>
      </c>
      <c r="U5" s="4">
        <f>S5*'Demand by Sector'!$D$11</f>
        <v>0</v>
      </c>
      <c r="V5" s="4">
        <f>'Archetypes - Split'!I7</f>
        <v>0</v>
      </c>
      <c r="W5" s="4">
        <f>V5*'Demand by Sector'!$C$12</f>
        <v>0</v>
      </c>
      <c r="X5" s="22">
        <f>V5*'Demand by Sector'!$D$12</f>
        <v>0</v>
      </c>
    </row>
    <row r="6" spans="2:24" x14ac:dyDescent="0.35">
      <c r="B6" s="25">
        <v>3</v>
      </c>
      <c r="C6" s="11">
        <v>500</v>
      </c>
      <c r="D6" s="4" t="s">
        <v>95</v>
      </c>
      <c r="E6" s="19">
        <f t="shared" si="0"/>
        <v>1.4</v>
      </c>
      <c r="F6" s="19">
        <f t="shared" si="1"/>
        <v>5.3</v>
      </c>
      <c r="G6" s="4">
        <f>'Archetypes - Split'!D8</f>
        <v>0.05</v>
      </c>
      <c r="H6" s="4">
        <f>G6*'Demand by Sector'!$C$7</f>
        <v>500</v>
      </c>
      <c r="I6" s="4">
        <f>G6*'Demand by Sector'!$D$7</f>
        <v>1050</v>
      </c>
      <c r="J6" s="4">
        <f>'Archetypes - Split'!E8</f>
        <v>0</v>
      </c>
      <c r="K6" s="4">
        <f>J6*'Demand by Sector'!$C$8</f>
        <v>0</v>
      </c>
      <c r="L6" s="4">
        <f>J6*'Demand by Sector'!$D$8</f>
        <v>0</v>
      </c>
      <c r="M6" s="4">
        <f>'Archetypes - Split'!F8</f>
        <v>0.2</v>
      </c>
      <c r="N6" s="4">
        <f>M6*'Demand by Sector'!$C$9</f>
        <v>200</v>
      </c>
      <c r="O6" s="4">
        <f>M6*'Demand by Sector'!$D$9</f>
        <v>1600</v>
      </c>
      <c r="P6" s="4">
        <f>'Archetypes - Split'!G8</f>
        <v>0</v>
      </c>
      <c r="Q6" s="4">
        <f>P6*'Demand by Sector'!$C$10</f>
        <v>0</v>
      </c>
      <c r="R6" s="4">
        <f>P6*'Demand by Sector'!$D$10</f>
        <v>0</v>
      </c>
      <c r="S6" s="4">
        <f>'Archetypes - Split'!H8</f>
        <v>0</v>
      </c>
      <c r="T6" s="4">
        <f>S6*'Demand by Sector'!$C$11</f>
        <v>0</v>
      </c>
      <c r="U6" s="4">
        <f>S6*'Demand by Sector'!$D$11</f>
        <v>0</v>
      </c>
      <c r="V6" s="4">
        <f>'Archetypes - Split'!I8</f>
        <v>0</v>
      </c>
      <c r="W6" s="4">
        <f>V6*'Demand by Sector'!$C$12</f>
        <v>0</v>
      </c>
      <c r="X6" s="22">
        <f>V6*'Demand by Sector'!$D$12</f>
        <v>0</v>
      </c>
    </row>
    <row r="7" spans="2:24" x14ac:dyDescent="0.35">
      <c r="B7" s="25">
        <v>4</v>
      </c>
      <c r="C7" s="11">
        <v>500</v>
      </c>
      <c r="D7" s="4" t="s">
        <v>105</v>
      </c>
      <c r="E7" s="17">
        <f t="shared" si="0"/>
        <v>4</v>
      </c>
      <c r="F7" s="19">
        <f t="shared" si="1"/>
        <v>8.4</v>
      </c>
      <c r="G7" s="4">
        <f>'Archetypes - Split'!D9</f>
        <v>0.2</v>
      </c>
      <c r="H7" s="4">
        <f>G7*'Demand by Sector'!$C$7</f>
        <v>2000</v>
      </c>
      <c r="I7" s="4">
        <f>G7*'Demand by Sector'!$D$7</f>
        <v>4200</v>
      </c>
      <c r="J7" s="4">
        <f>'Archetypes - Split'!E9</f>
        <v>0</v>
      </c>
      <c r="K7" s="4">
        <f>J7*'Demand by Sector'!$C$8</f>
        <v>0</v>
      </c>
      <c r="L7" s="4">
        <f>J7*'Demand by Sector'!$D$8</f>
        <v>0</v>
      </c>
      <c r="M7" s="4">
        <f>'Archetypes - Split'!F9</f>
        <v>0</v>
      </c>
      <c r="N7" s="4">
        <f>M7*'Demand by Sector'!$C$9</f>
        <v>0</v>
      </c>
      <c r="O7" s="4">
        <f>M7*'Demand by Sector'!$D$9</f>
        <v>0</v>
      </c>
      <c r="P7" s="4">
        <f>'Archetypes - Split'!G9</f>
        <v>0</v>
      </c>
      <c r="Q7" s="4">
        <f>P7*'Demand by Sector'!$C$10</f>
        <v>0</v>
      </c>
      <c r="R7" s="4">
        <f>P7*'Demand by Sector'!$D$10</f>
        <v>0</v>
      </c>
      <c r="S7" s="4">
        <f>'Archetypes - Split'!H9</f>
        <v>0</v>
      </c>
      <c r="T7" s="4">
        <f>S7*'Demand by Sector'!$C$11</f>
        <v>0</v>
      </c>
      <c r="U7" s="4">
        <f>S7*'Demand by Sector'!$D$11</f>
        <v>0</v>
      </c>
      <c r="V7" s="4">
        <f>'Archetypes - Split'!I9</f>
        <v>0</v>
      </c>
      <c r="W7" s="4">
        <f>V7*'Demand by Sector'!$C$12</f>
        <v>0</v>
      </c>
      <c r="X7" s="22">
        <f>V7*'Demand by Sector'!$D$12</f>
        <v>0</v>
      </c>
    </row>
    <row r="8" spans="2:24" x14ac:dyDescent="0.35">
      <c r="B8" s="25">
        <v>5</v>
      </c>
      <c r="C8" s="11">
        <v>10000</v>
      </c>
      <c r="D8" s="4" t="s">
        <v>97</v>
      </c>
      <c r="E8" s="17">
        <f t="shared" si="0"/>
        <v>0.7</v>
      </c>
      <c r="F8" s="19">
        <f t="shared" si="1"/>
        <v>2.4700000000000002</v>
      </c>
      <c r="G8" s="4">
        <f>'Archetypes - Split'!D10</f>
        <v>0.7</v>
      </c>
      <c r="H8" s="4">
        <f>G8*'Demand by Sector'!$C$7</f>
        <v>7000</v>
      </c>
      <c r="I8" s="4">
        <f>G8*'Demand by Sector'!$D$7</f>
        <v>14699.999999999998</v>
      </c>
      <c r="J8" s="4">
        <f>'Archetypes - Split'!E10</f>
        <v>1</v>
      </c>
      <c r="K8" s="4">
        <f>J8*'Demand by Sector'!$C$8</f>
        <v>0</v>
      </c>
      <c r="L8" s="4">
        <f>J8*'Demand by Sector'!$D$8</f>
        <v>10000</v>
      </c>
      <c r="M8" s="4">
        <f>'Archetypes - Split'!F10</f>
        <v>0</v>
      </c>
      <c r="N8" s="4">
        <f>M8*'Demand by Sector'!$C$9</f>
        <v>0</v>
      </c>
      <c r="O8" s="4">
        <f>M8*'Demand by Sector'!$D$9</f>
        <v>0</v>
      </c>
      <c r="P8" s="4">
        <f>'Archetypes - Split'!G10</f>
        <v>0</v>
      </c>
      <c r="Q8" s="4">
        <f>P8*'Demand by Sector'!$C$10</f>
        <v>0</v>
      </c>
      <c r="R8" s="4">
        <f>P8*'Demand by Sector'!$D$10</f>
        <v>0</v>
      </c>
      <c r="S8" s="4">
        <f>'Archetypes - Split'!H10</f>
        <v>0</v>
      </c>
      <c r="T8" s="4">
        <f>S8*'Demand by Sector'!$C$11</f>
        <v>0</v>
      </c>
      <c r="U8" s="4">
        <f>S8*'Demand by Sector'!$D$11</f>
        <v>0</v>
      </c>
      <c r="V8" s="4">
        <f>'Archetypes - Split'!I10</f>
        <v>0</v>
      </c>
      <c r="W8" s="4">
        <f>V8*'Demand by Sector'!$C$12</f>
        <v>0</v>
      </c>
      <c r="X8" s="22">
        <f>V8*'Demand by Sector'!$D$12</f>
        <v>0</v>
      </c>
    </row>
    <row r="9" spans="2:24" x14ac:dyDescent="0.35">
      <c r="B9" s="25">
        <v>6</v>
      </c>
      <c r="C9" s="11">
        <v>10000</v>
      </c>
      <c r="D9" s="4" t="s">
        <v>98</v>
      </c>
      <c r="E9" s="17">
        <f t="shared" si="0"/>
        <v>0</v>
      </c>
      <c r="F9" s="19">
        <f t="shared" si="1"/>
        <v>0.1</v>
      </c>
      <c r="G9" s="4">
        <f>'Archetypes - Split'!D11</f>
        <v>0</v>
      </c>
      <c r="H9" s="4">
        <f>G9*'Demand by Sector'!$C$7</f>
        <v>0</v>
      </c>
      <c r="I9" s="4">
        <f>G9*'Demand by Sector'!$D$7</f>
        <v>0</v>
      </c>
      <c r="J9" s="4">
        <f>'Archetypes - Split'!E11</f>
        <v>0</v>
      </c>
      <c r="K9" s="4">
        <f>J9*'Demand by Sector'!$C$8</f>
        <v>0</v>
      </c>
      <c r="L9" s="4">
        <f>J9*'Demand by Sector'!$D$8</f>
        <v>0</v>
      </c>
      <c r="M9" s="4">
        <f>'Archetypes - Split'!F11</f>
        <v>0</v>
      </c>
      <c r="N9" s="4">
        <f>M9*'Demand by Sector'!$C$9</f>
        <v>0</v>
      </c>
      <c r="O9" s="4">
        <f>M9*'Demand by Sector'!$D$9</f>
        <v>0</v>
      </c>
      <c r="P9" s="4">
        <f>'Archetypes - Split'!G11</f>
        <v>1</v>
      </c>
      <c r="Q9" s="4">
        <f>P9*'Demand by Sector'!$C$10</f>
        <v>0</v>
      </c>
      <c r="R9" s="4">
        <f>P9*'Demand by Sector'!$D$10</f>
        <v>1000</v>
      </c>
      <c r="S9" s="4">
        <f>'Archetypes - Split'!H11</f>
        <v>0</v>
      </c>
      <c r="T9" s="4">
        <f>S9*'Demand by Sector'!$C$11</f>
        <v>0</v>
      </c>
      <c r="U9" s="4">
        <f>S9*'Demand by Sector'!$D$11</f>
        <v>0</v>
      </c>
      <c r="V9" s="4">
        <f>'Archetypes - Split'!I11</f>
        <v>0</v>
      </c>
      <c r="W9" s="4">
        <f>V9*'Demand by Sector'!$C$12</f>
        <v>0</v>
      </c>
      <c r="X9" s="22">
        <f>V9*'Demand by Sector'!$D$12</f>
        <v>0</v>
      </c>
    </row>
    <row r="10" spans="2:24" x14ac:dyDescent="0.35">
      <c r="B10" s="25">
        <v>7</v>
      </c>
      <c r="C10" s="11">
        <v>10000</v>
      </c>
      <c r="D10" s="4" t="s">
        <v>99</v>
      </c>
      <c r="E10" s="18">
        <f t="shared" si="0"/>
        <v>0.02</v>
      </c>
      <c r="F10" s="18">
        <f t="shared" si="1"/>
        <v>0.16</v>
      </c>
      <c r="G10" s="4">
        <f>'Archetypes - Split'!D12</f>
        <v>0</v>
      </c>
      <c r="H10" s="4">
        <f>G10*'Demand by Sector'!$C$7</f>
        <v>0</v>
      </c>
      <c r="I10" s="4">
        <f>G10*'Demand by Sector'!$D$7</f>
        <v>0</v>
      </c>
      <c r="J10" s="4">
        <f>'Archetypes - Split'!E12</f>
        <v>0</v>
      </c>
      <c r="K10" s="4">
        <f>J10*'Demand by Sector'!$C$8</f>
        <v>0</v>
      </c>
      <c r="L10" s="4">
        <f>J10*'Demand by Sector'!$D$8</f>
        <v>0</v>
      </c>
      <c r="M10" s="4">
        <f>'Archetypes - Split'!F12</f>
        <v>0.2</v>
      </c>
      <c r="N10" s="4">
        <f>M10*'Demand by Sector'!$C$9</f>
        <v>200</v>
      </c>
      <c r="O10" s="4">
        <f>M10*'Demand by Sector'!$D$9</f>
        <v>1600</v>
      </c>
      <c r="P10" s="4">
        <f>'Archetypes - Split'!G12</f>
        <v>0</v>
      </c>
      <c r="Q10" s="4">
        <f>P10*'Demand by Sector'!$C$10</f>
        <v>0</v>
      </c>
      <c r="R10" s="4">
        <f>P10*'Demand by Sector'!$D$10</f>
        <v>0</v>
      </c>
      <c r="S10" s="4">
        <f>'Archetypes - Split'!H12</f>
        <v>0</v>
      </c>
      <c r="T10" s="4">
        <f>S10*'Demand by Sector'!$C$11</f>
        <v>0</v>
      </c>
      <c r="U10" s="4">
        <f>S10*'Demand by Sector'!$D$11</f>
        <v>0</v>
      </c>
      <c r="V10" s="4">
        <f>'Archetypes - Split'!I12</f>
        <v>0</v>
      </c>
      <c r="W10" s="4">
        <f>V10*'Demand by Sector'!$C$12</f>
        <v>0</v>
      </c>
      <c r="X10" s="22">
        <f>V10*'Demand by Sector'!$D$12</f>
        <v>0</v>
      </c>
    </row>
    <row r="11" spans="2:24" ht="15" thickBot="1" x14ac:dyDescent="0.4">
      <c r="B11" s="26">
        <v>8</v>
      </c>
      <c r="C11" s="13">
        <v>10000</v>
      </c>
      <c r="D11" s="29" t="s">
        <v>100</v>
      </c>
      <c r="E11" s="30">
        <f t="shared" si="0"/>
        <v>0</v>
      </c>
      <c r="F11" s="30">
        <f t="shared" si="1"/>
        <v>0</v>
      </c>
      <c r="G11" s="5">
        <f>'Archetypes - Split'!D13</f>
        <v>0</v>
      </c>
      <c r="H11" s="5">
        <f>G11*'Demand by Sector'!$C$7</f>
        <v>0</v>
      </c>
      <c r="I11" s="5">
        <f>G11*'Demand by Sector'!$D$7</f>
        <v>0</v>
      </c>
      <c r="J11" s="5">
        <f>'Archetypes - Split'!E13</f>
        <v>0</v>
      </c>
      <c r="K11" s="5">
        <f>J11*'Demand by Sector'!$C$8</f>
        <v>0</v>
      </c>
      <c r="L11" s="5">
        <f>J11*'Demand by Sector'!$D$8</f>
        <v>0</v>
      </c>
      <c r="M11" s="5">
        <f>'Archetypes - Split'!F13</f>
        <v>0</v>
      </c>
      <c r="N11" s="5">
        <f>M11*'Demand by Sector'!$C$9</f>
        <v>0</v>
      </c>
      <c r="O11" s="5">
        <f>M11*'Demand by Sector'!$D$9</f>
        <v>0</v>
      </c>
      <c r="P11" s="5">
        <f>'Archetypes - Split'!G13</f>
        <v>0</v>
      </c>
      <c r="Q11" s="5">
        <f>P11*'Demand by Sector'!$C$10</f>
        <v>0</v>
      </c>
      <c r="R11" s="5">
        <f>P11*'Demand by Sector'!$D$10</f>
        <v>0</v>
      </c>
      <c r="S11" s="5">
        <f>'Archetypes - Split'!H13</f>
        <v>1</v>
      </c>
      <c r="T11" s="5">
        <f>S11*'Demand by Sector'!$C$11</f>
        <v>0</v>
      </c>
      <c r="U11" s="5">
        <f>S11*'Demand by Sector'!$D$11</f>
        <v>0</v>
      </c>
      <c r="V11" s="5">
        <f>'Archetypes - Split'!I13</f>
        <v>1</v>
      </c>
      <c r="W11" s="5">
        <f>V11*'Demand by Sector'!$C$12</f>
        <v>0</v>
      </c>
      <c r="X11" s="23">
        <f>V11*'Demand by Sector'!$D$12</f>
        <v>0</v>
      </c>
    </row>
    <row r="12" spans="2:24" x14ac:dyDescent="0.35">
      <c r="B12" s="28"/>
      <c r="C12" s="28"/>
      <c r="D12" s="20"/>
      <c r="E12" s="97" t="s">
        <v>82</v>
      </c>
      <c r="F12" s="98" t="s">
        <v>83</v>
      </c>
    </row>
    <row r="13" spans="2:24" x14ac:dyDescent="0.35">
      <c r="B13" s="28"/>
      <c r="C13" s="28"/>
      <c r="D13" s="93" t="s">
        <v>106</v>
      </c>
      <c r="E13" s="19">
        <f>SUM(E6:E7)</f>
        <v>5.4</v>
      </c>
      <c r="F13" s="31">
        <f>SUM(F6:F7)</f>
        <v>13.7</v>
      </c>
    </row>
    <row r="14" spans="2:24" ht="15" thickBot="1" x14ac:dyDescent="0.4">
      <c r="B14" s="28"/>
      <c r="C14" s="28"/>
      <c r="D14" s="99" t="s">
        <v>107</v>
      </c>
      <c r="E14" s="32">
        <f>SUM(E8:E11)</f>
        <v>0.72</v>
      </c>
      <c r="F14" s="33">
        <f>SUM(F8:F11)</f>
        <v>2.7300000000000004</v>
      </c>
    </row>
    <row r="15" spans="2:24" ht="15" thickBot="1" x14ac:dyDescent="0.4"/>
    <row r="16" spans="2:24" ht="29.5" customHeight="1" x14ac:dyDescent="0.35">
      <c r="B16" s="96">
        <v>2035</v>
      </c>
      <c r="C16" s="178" t="s">
        <v>101</v>
      </c>
      <c r="D16" s="181" t="s">
        <v>102</v>
      </c>
      <c r="E16" s="183" t="s">
        <v>103</v>
      </c>
      <c r="F16" s="184"/>
      <c r="G16" s="185" t="s">
        <v>84</v>
      </c>
      <c r="H16" s="186"/>
      <c r="I16" s="187"/>
      <c r="J16" s="188" t="s">
        <v>85</v>
      </c>
      <c r="K16" s="188"/>
      <c r="L16" s="188"/>
      <c r="M16" s="185" t="s">
        <v>86</v>
      </c>
      <c r="N16" s="186"/>
      <c r="O16" s="187"/>
      <c r="P16" s="185" t="s">
        <v>87</v>
      </c>
      <c r="Q16" s="186"/>
      <c r="R16" s="187"/>
      <c r="S16" s="185" t="s">
        <v>88</v>
      </c>
      <c r="T16" s="186"/>
      <c r="U16" s="187"/>
      <c r="V16" s="185" t="s">
        <v>89</v>
      </c>
      <c r="W16" s="186"/>
      <c r="X16" s="189"/>
    </row>
    <row r="17" spans="2:24" ht="14.5" customHeight="1" x14ac:dyDescent="0.35">
      <c r="B17" s="93" t="s">
        <v>91</v>
      </c>
      <c r="C17" s="179"/>
      <c r="D17" s="182"/>
      <c r="E17" s="94" t="s">
        <v>82</v>
      </c>
      <c r="F17" s="94" t="s">
        <v>83</v>
      </c>
      <c r="G17" s="94" t="s">
        <v>104</v>
      </c>
      <c r="H17" s="94" t="s">
        <v>82</v>
      </c>
      <c r="I17" s="94" t="s">
        <v>83</v>
      </c>
      <c r="J17" s="94" t="s">
        <v>104</v>
      </c>
      <c r="K17" s="94" t="s">
        <v>82</v>
      </c>
      <c r="L17" s="94" t="s">
        <v>83</v>
      </c>
      <c r="M17" s="94" t="s">
        <v>104</v>
      </c>
      <c r="N17" s="94" t="s">
        <v>82</v>
      </c>
      <c r="O17" s="94" t="s">
        <v>83</v>
      </c>
      <c r="P17" s="94" t="s">
        <v>104</v>
      </c>
      <c r="Q17" s="94" t="s">
        <v>82</v>
      </c>
      <c r="R17" s="94" t="s">
        <v>83</v>
      </c>
      <c r="S17" s="94" t="s">
        <v>104</v>
      </c>
      <c r="T17" s="94" t="s">
        <v>82</v>
      </c>
      <c r="U17" s="94" t="s">
        <v>83</v>
      </c>
      <c r="V17" s="94" t="s">
        <v>104</v>
      </c>
      <c r="W17" s="94" t="s">
        <v>82</v>
      </c>
      <c r="X17" s="95" t="s">
        <v>83</v>
      </c>
    </row>
    <row r="18" spans="2:24" x14ac:dyDescent="0.35">
      <c r="B18" s="122">
        <v>1</v>
      </c>
      <c r="C18" s="9">
        <v>10</v>
      </c>
      <c r="D18" s="4" t="s">
        <v>93</v>
      </c>
      <c r="E18" s="17">
        <f t="shared" ref="E18:E25" si="2">SUM(H18,K18,N18,Q18,T18,W18)/C18</f>
        <v>165</v>
      </c>
      <c r="F18" s="17">
        <f t="shared" ref="F18:F25" si="3">SUM(I18,L18,O18,R18,U18,X18)/C18</f>
        <v>685</v>
      </c>
      <c r="G18" s="4">
        <f>'Archetypes - Split'!D18</f>
        <v>0.05</v>
      </c>
      <c r="H18" s="4">
        <f>G18*'Demand by Sector'!$E$7</f>
        <v>1250</v>
      </c>
      <c r="I18" s="4">
        <f>G18*'Demand by Sector'!$F$7</f>
        <v>2250</v>
      </c>
      <c r="J18" s="4">
        <f>'Archetypes - Split'!E18</f>
        <v>0</v>
      </c>
      <c r="K18" s="4">
        <f>J18*'Demand by Sector'!$E$8</f>
        <v>0</v>
      </c>
      <c r="L18" s="4">
        <f>J18*'Demand by Sector'!$F$8</f>
        <v>0</v>
      </c>
      <c r="M18" s="4">
        <f>'Archetypes - Split'!F18</f>
        <v>0.2</v>
      </c>
      <c r="N18" s="4">
        <f>M18*'Demand by Sector'!$E$9</f>
        <v>400</v>
      </c>
      <c r="O18" s="4">
        <f>M18*'Demand by Sector'!$F$9</f>
        <v>4600</v>
      </c>
      <c r="P18" s="4">
        <f>'Archetypes - Split'!G18</f>
        <v>0</v>
      </c>
      <c r="Q18" s="4">
        <f>P18*'Demand by Sector'!$E$10</f>
        <v>0</v>
      </c>
      <c r="R18" s="4">
        <f>P18*'Demand by Sector'!$F$10</f>
        <v>0</v>
      </c>
      <c r="S18" s="4">
        <f>'Archetypes - Split'!H18</f>
        <v>0</v>
      </c>
      <c r="T18" s="4">
        <f>S18*'Demand by Sector'!$E$11</f>
        <v>0</v>
      </c>
      <c r="U18" s="4">
        <f>S18*'Demand by Sector'!$F$11</f>
        <v>0</v>
      </c>
      <c r="V18" s="4">
        <f>'Archetypes - Split'!I18</f>
        <v>0</v>
      </c>
      <c r="W18" s="4">
        <f>V18*'Demand by Sector'!$E$12</f>
        <v>0</v>
      </c>
      <c r="X18" s="22">
        <f>V18*'Demand by Sector'!$F$12</f>
        <v>0</v>
      </c>
    </row>
    <row r="19" spans="2:24" x14ac:dyDescent="0.35">
      <c r="B19" s="122">
        <v>2</v>
      </c>
      <c r="C19" s="9">
        <v>10</v>
      </c>
      <c r="D19" s="4" t="s">
        <v>94</v>
      </c>
      <c r="E19" s="17">
        <f t="shared" si="2"/>
        <v>80</v>
      </c>
      <c r="F19" s="17">
        <f t="shared" si="3"/>
        <v>920</v>
      </c>
      <c r="G19" s="4">
        <f>'Archetypes - Split'!D19</f>
        <v>0</v>
      </c>
      <c r="H19" s="4">
        <f>G19*'Demand by Sector'!$E$7</f>
        <v>0</v>
      </c>
      <c r="I19" s="4">
        <f>G19*'Demand by Sector'!$F$7</f>
        <v>0</v>
      </c>
      <c r="J19" s="4">
        <f>'Archetypes - Split'!E19</f>
        <v>0</v>
      </c>
      <c r="K19" s="4">
        <f>J19*'Demand by Sector'!$E$8</f>
        <v>0</v>
      </c>
      <c r="L19" s="4">
        <f>J19*'Demand by Sector'!$F$8</f>
        <v>0</v>
      </c>
      <c r="M19" s="4">
        <f>'Archetypes - Split'!F19</f>
        <v>0.4</v>
      </c>
      <c r="N19" s="4">
        <f>M19*'Demand by Sector'!$E$9</f>
        <v>800</v>
      </c>
      <c r="O19" s="4">
        <f>M19*'Demand by Sector'!$F$9</f>
        <v>9200</v>
      </c>
      <c r="P19" s="4">
        <f>'Archetypes - Split'!G19</f>
        <v>0</v>
      </c>
      <c r="Q19" s="4">
        <f>P19*'Demand by Sector'!$E$10</f>
        <v>0</v>
      </c>
      <c r="R19" s="4">
        <f>P19*'Demand by Sector'!$F$10</f>
        <v>0</v>
      </c>
      <c r="S19" s="4">
        <f>'Archetypes - Split'!H19</f>
        <v>0</v>
      </c>
      <c r="T19" s="4">
        <f>S19*'Demand by Sector'!$E$11</f>
        <v>0</v>
      </c>
      <c r="U19" s="4">
        <f>S19*'Demand by Sector'!$F$11</f>
        <v>0</v>
      </c>
      <c r="V19" s="4">
        <f>'Archetypes - Split'!I19</f>
        <v>0</v>
      </c>
      <c r="W19" s="4">
        <f>V19*'Demand by Sector'!$E$12</f>
        <v>0</v>
      </c>
      <c r="X19" s="22">
        <f>V19*'Demand by Sector'!$F$12</f>
        <v>0</v>
      </c>
    </row>
    <row r="20" spans="2:24" x14ac:dyDescent="0.35">
      <c r="B20" s="122">
        <v>3</v>
      </c>
      <c r="C20" s="9">
        <v>500</v>
      </c>
      <c r="D20" s="4" t="s">
        <v>95</v>
      </c>
      <c r="E20" s="17">
        <f t="shared" si="2"/>
        <v>3.3</v>
      </c>
      <c r="F20" s="17">
        <f t="shared" si="3"/>
        <v>13.7</v>
      </c>
      <c r="G20" s="4">
        <f>'Archetypes - Split'!D20</f>
        <v>0.05</v>
      </c>
      <c r="H20" s="4">
        <f>G20*'Demand by Sector'!$E$7</f>
        <v>1250</v>
      </c>
      <c r="I20" s="4">
        <f>G20*'Demand by Sector'!$F$7</f>
        <v>2250</v>
      </c>
      <c r="J20" s="4">
        <f>'Archetypes - Split'!E20</f>
        <v>0</v>
      </c>
      <c r="K20" s="4">
        <f>J20*'Demand by Sector'!$E$8</f>
        <v>0</v>
      </c>
      <c r="L20" s="4">
        <f>J20*'Demand by Sector'!$F$8</f>
        <v>0</v>
      </c>
      <c r="M20" s="4">
        <f>'Archetypes - Split'!F20</f>
        <v>0.2</v>
      </c>
      <c r="N20" s="4">
        <f>M20*'Demand by Sector'!$E$9</f>
        <v>400</v>
      </c>
      <c r="O20" s="4">
        <f>M20*'Demand by Sector'!$F$9</f>
        <v>4600</v>
      </c>
      <c r="P20" s="4">
        <f>'Archetypes - Split'!G20</f>
        <v>0</v>
      </c>
      <c r="Q20" s="4">
        <f>P20*'Demand by Sector'!$E$10</f>
        <v>0</v>
      </c>
      <c r="R20" s="4">
        <f>P20*'Demand by Sector'!$F$10</f>
        <v>0</v>
      </c>
      <c r="S20" s="4">
        <f>'Archetypes - Split'!H20</f>
        <v>0</v>
      </c>
      <c r="T20" s="4">
        <f>S20*'Demand by Sector'!$E$11</f>
        <v>0</v>
      </c>
      <c r="U20" s="4">
        <f>S20*'Demand by Sector'!$F$11</f>
        <v>0</v>
      </c>
      <c r="V20" s="4">
        <f>'Archetypes - Split'!I20</f>
        <v>0</v>
      </c>
      <c r="W20" s="4">
        <f>V20*'Demand by Sector'!$E$12</f>
        <v>0</v>
      </c>
      <c r="X20" s="22">
        <f>V20*'Demand by Sector'!$F$12</f>
        <v>0</v>
      </c>
    </row>
    <row r="21" spans="2:24" x14ac:dyDescent="0.35">
      <c r="B21" s="122">
        <v>4</v>
      </c>
      <c r="C21" s="9">
        <v>500</v>
      </c>
      <c r="D21" s="4" t="s">
        <v>105</v>
      </c>
      <c r="E21" s="17">
        <f t="shared" si="2"/>
        <v>10</v>
      </c>
      <c r="F21" s="17">
        <f t="shared" si="3"/>
        <v>18</v>
      </c>
      <c r="G21" s="4">
        <f>'Archetypes - Split'!D21</f>
        <v>0.2</v>
      </c>
      <c r="H21" s="4">
        <f>G21*'Demand by Sector'!$E$7</f>
        <v>5000</v>
      </c>
      <c r="I21" s="4">
        <f>G21*'Demand by Sector'!$F$7</f>
        <v>9000</v>
      </c>
      <c r="J21" s="4">
        <f>'Archetypes - Split'!E21</f>
        <v>0</v>
      </c>
      <c r="K21" s="4">
        <f>J21*'Demand by Sector'!$E$8</f>
        <v>0</v>
      </c>
      <c r="L21" s="4">
        <f>J21*'Demand by Sector'!$F$8</f>
        <v>0</v>
      </c>
      <c r="M21" s="4">
        <f>'Archetypes - Split'!F21</f>
        <v>0</v>
      </c>
      <c r="N21" s="4">
        <f>M21*'Demand by Sector'!$E$9</f>
        <v>0</v>
      </c>
      <c r="O21" s="4">
        <f>M21*'Demand by Sector'!$F$9</f>
        <v>0</v>
      </c>
      <c r="P21" s="4">
        <f>'Archetypes - Split'!G21</f>
        <v>0</v>
      </c>
      <c r="Q21" s="4">
        <f>P21*'Demand by Sector'!$E$10</f>
        <v>0</v>
      </c>
      <c r="R21" s="4">
        <f>P21*'Demand by Sector'!$F$10</f>
        <v>0</v>
      </c>
      <c r="S21" s="4">
        <f>'Archetypes - Split'!H21</f>
        <v>0</v>
      </c>
      <c r="T21" s="4">
        <f>S21*'Demand by Sector'!$E$11</f>
        <v>0</v>
      </c>
      <c r="U21" s="4">
        <f>S21*'Demand by Sector'!$F$11</f>
        <v>0</v>
      </c>
      <c r="V21" s="4">
        <f>'Archetypes - Split'!I21</f>
        <v>0</v>
      </c>
      <c r="W21" s="4">
        <f>V21*'Demand by Sector'!$E$12</f>
        <v>0</v>
      </c>
      <c r="X21" s="22">
        <f>V21*'Demand by Sector'!$F$12</f>
        <v>0</v>
      </c>
    </row>
    <row r="22" spans="2:24" x14ac:dyDescent="0.35">
      <c r="B22" s="122">
        <v>5</v>
      </c>
      <c r="C22" s="9">
        <v>10000</v>
      </c>
      <c r="D22" s="4" t="s">
        <v>97</v>
      </c>
      <c r="E22" s="19">
        <f t="shared" si="2"/>
        <v>2.75</v>
      </c>
      <c r="F22" s="19">
        <f t="shared" si="3"/>
        <v>6.15</v>
      </c>
      <c r="G22" s="4">
        <f>'Archetypes - Split'!D22</f>
        <v>0.7</v>
      </c>
      <c r="H22" s="4">
        <f>G22*'Demand by Sector'!$E$7</f>
        <v>17500</v>
      </c>
      <c r="I22" s="4">
        <f>G22*'Demand by Sector'!$F$7</f>
        <v>31499.999999999996</v>
      </c>
      <c r="J22" s="4">
        <f>'Archetypes - Split'!E22</f>
        <v>1</v>
      </c>
      <c r="K22" s="4">
        <f>J22*'Demand by Sector'!$E$8</f>
        <v>10000</v>
      </c>
      <c r="L22" s="4">
        <f>J22*'Demand by Sector'!$F$8</f>
        <v>30000</v>
      </c>
      <c r="M22" s="4">
        <f>'Archetypes - Split'!F22</f>
        <v>0</v>
      </c>
      <c r="N22" s="4">
        <f>M22*'Demand by Sector'!$E$9</f>
        <v>0</v>
      </c>
      <c r="O22" s="4">
        <f>M22*'Demand by Sector'!$F$9</f>
        <v>0</v>
      </c>
      <c r="P22" s="4">
        <f>'Archetypes - Split'!G22</f>
        <v>0</v>
      </c>
      <c r="Q22" s="4">
        <f>P22*'Demand by Sector'!$E$10</f>
        <v>0</v>
      </c>
      <c r="R22" s="4">
        <f>P22*'Demand by Sector'!$F$10</f>
        <v>0</v>
      </c>
      <c r="S22" s="4">
        <f>'Archetypes - Split'!H22</f>
        <v>0</v>
      </c>
      <c r="T22" s="4">
        <f>S22*'Demand by Sector'!$E$11</f>
        <v>0</v>
      </c>
      <c r="U22" s="4">
        <f>S22*'Demand by Sector'!$F$11</f>
        <v>0</v>
      </c>
      <c r="V22" s="4">
        <f>'Archetypes - Split'!I22</f>
        <v>0</v>
      </c>
      <c r="W22" s="4">
        <f>V22*'Demand by Sector'!$E$12</f>
        <v>0</v>
      </c>
      <c r="X22" s="22">
        <f>V22*'Demand by Sector'!$F$12</f>
        <v>0</v>
      </c>
    </row>
    <row r="23" spans="2:24" x14ac:dyDescent="0.35">
      <c r="B23" s="122">
        <v>6</v>
      </c>
      <c r="C23" s="9">
        <v>10000</v>
      </c>
      <c r="D23" s="4" t="s">
        <v>98</v>
      </c>
      <c r="E23" s="17">
        <f t="shared" si="2"/>
        <v>0</v>
      </c>
      <c r="F23" s="18">
        <f t="shared" si="3"/>
        <v>4.5</v>
      </c>
      <c r="G23" s="4">
        <f>'Archetypes - Split'!D23</f>
        <v>0</v>
      </c>
      <c r="H23" s="4">
        <f>G23*'Demand by Sector'!$E$7</f>
        <v>0</v>
      </c>
      <c r="I23" s="4">
        <f>G23*'Demand by Sector'!$F$7</f>
        <v>0</v>
      </c>
      <c r="J23" s="4">
        <f>'Archetypes - Split'!E23</f>
        <v>0</v>
      </c>
      <c r="K23" s="4">
        <f>J23*'Demand by Sector'!$E$8</f>
        <v>0</v>
      </c>
      <c r="L23" s="4">
        <f>J23*'Demand by Sector'!$F$8</f>
        <v>0</v>
      </c>
      <c r="M23" s="4">
        <f>'Archetypes - Split'!F23</f>
        <v>0</v>
      </c>
      <c r="N23" s="4">
        <f>M23*'Demand by Sector'!$E$9</f>
        <v>0</v>
      </c>
      <c r="O23" s="4">
        <f>M23*'Demand by Sector'!$F$9</f>
        <v>0</v>
      </c>
      <c r="P23" s="4">
        <f>'Archetypes - Split'!G23</f>
        <v>1</v>
      </c>
      <c r="Q23" s="4">
        <f>P23*'Demand by Sector'!$E$10</f>
        <v>0</v>
      </c>
      <c r="R23" s="4">
        <f>P23*'Demand by Sector'!$F$10</f>
        <v>45000</v>
      </c>
      <c r="S23" s="4">
        <f>'Archetypes - Split'!H23</f>
        <v>0</v>
      </c>
      <c r="T23" s="4">
        <f>S23*'Demand by Sector'!$E$11</f>
        <v>0</v>
      </c>
      <c r="U23" s="4">
        <f>S23*'Demand by Sector'!$F$11</f>
        <v>0</v>
      </c>
      <c r="V23" s="4">
        <f>'Archetypes - Split'!I23</f>
        <v>0</v>
      </c>
      <c r="W23" s="4">
        <f>V23*'Demand by Sector'!$E$12</f>
        <v>0</v>
      </c>
      <c r="X23" s="22">
        <f>V23*'Demand by Sector'!$F$12</f>
        <v>0</v>
      </c>
    </row>
    <row r="24" spans="2:24" x14ac:dyDescent="0.35">
      <c r="B24" s="122">
        <v>7</v>
      </c>
      <c r="C24" s="9">
        <v>10000</v>
      </c>
      <c r="D24" s="4" t="s">
        <v>99</v>
      </c>
      <c r="E24" s="18">
        <f t="shared" si="2"/>
        <v>0.04</v>
      </c>
      <c r="F24" s="18">
        <f t="shared" si="3"/>
        <v>0.46</v>
      </c>
      <c r="G24" s="4">
        <f>'Archetypes - Split'!D24</f>
        <v>0</v>
      </c>
      <c r="H24" s="4">
        <f>G24*'Demand by Sector'!$E$7</f>
        <v>0</v>
      </c>
      <c r="I24" s="4">
        <f>G24*'Demand by Sector'!$F$7</f>
        <v>0</v>
      </c>
      <c r="J24" s="4">
        <f>'Archetypes - Split'!E24</f>
        <v>0</v>
      </c>
      <c r="K24" s="4">
        <f>J24*'Demand by Sector'!$E$8</f>
        <v>0</v>
      </c>
      <c r="L24" s="4">
        <f>J24*'Demand by Sector'!$F$8</f>
        <v>0</v>
      </c>
      <c r="M24" s="4">
        <f>'Archetypes - Split'!F24</f>
        <v>0.2</v>
      </c>
      <c r="N24" s="4">
        <f>M24*'Demand by Sector'!$E$9</f>
        <v>400</v>
      </c>
      <c r="O24" s="4">
        <f>M24*'Demand by Sector'!$F$9</f>
        <v>4600</v>
      </c>
      <c r="P24" s="4">
        <f>'Archetypes - Split'!G24</f>
        <v>0</v>
      </c>
      <c r="Q24" s="4">
        <f>P24*'Demand by Sector'!$E$10</f>
        <v>0</v>
      </c>
      <c r="R24" s="4">
        <f>P24*'Demand by Sector'!$F$10</f>
        <v>0</v>
      </c>
      <c r="S24" s="4">
        <f>'Archetypes - Split'!H24</f>
        <v>0</v>
      </c>
      <c r="T24" s="4">
        <f>S24*'Demand by Sector'!$E$11</f>
        <v>0</v>
      </c>
      <c r="U24" s="4">
        <f>S24*'Demand by Sector'!$F$11</f>
        <v>0</v>
      </c>
      <c r="V24" s="4">
        <f>'Archetypes - Split'!I24</f>
        <v>0</v>
      </c>
      <c r="W24" s="4">
        <f>V24*'Demand by Sector'!$E$12</f>
        <v>0</v>
      </c>
      <c r="X24" s="22">
        <f>V24*'Demand by Sector'!$F$12</f>
        <v>0</v>
      </c>
    </row>
    <row r="25" spans="2:24" ht="15" thickBot="1" x14ac:dyDescent="0.4">
      <c r="B25" s="123">
        <v>8</v>
      </c>
      <c r="C25" s="53">
        <v>10000</v>
      </c>
      <c r="D25" s="5" t="s">
        <v>100</v>
      </c>
      <c r="E25" s="27">
        <f t="shared" si="2"/>
        <v>2.2999999999999998</v>
      </c>
      <c r="F25" s="27">
        <f t="shared" si="3"/>
        <v>3.2</v>
      </c>
      <c r="G25" s="5">
        <f>'Archetypes - Split'!D25</f>
        <v>0</v>
      </c>
      <c r="H25" s="5">
        <f>G25*'Demand by Sector'!$E$7</f>
        <v>0</v>
      </c>
      <c r="I25" s="5">
        <f>G25*'Demand by Sector'!$F$7</f>
        <v>0</v>
      </c>
      <c r="J25" s="5">
        <f>'Archetypes - Split'!E25</f>
        <v>0</v>
      </c>
      <c r="K25" s="5">
        <f>J25*'Demand by Sector'!$E$8</f>
        <v>0</v>
      </c>
      <c r="L25" s="5">
        <f>J25*'Demand by Sector'!$F$8</f>
        <v>0</v>
      </c>
      <c r="M25" s="5">
        <f>'Archetypes - Split'!F25</f>
        <v>0</v>
      </c>
      <c r="N25" s="5">
        <f>M25*'Demand by Sector'!$E$9</f>
        <v>0</v>
      </c>
      <c r="O25" s="5">
        <f>M25*'Demand by Sector'!$F$9</f>
        <v>0</v>
      </c>
      <c r="P25" s="5">
        <f>'Archetypes - Split'!G25</f>
        <v>0</v>
      </c>
      <c r="Q25" s="5">
        <f>P25*'Demand by Sector'!$E$10</f>
        <v>0</v>
      </c>
      <c r="R25" s="5">
        <f>P25*'Demand by Sector'!$F$10</f>
        <v>0</v>
      </c>
      <c r="S25" s="5">
        <f>'Archetypes - Split'!H25</f>
        <v>1</v>
      </c>
      <c r="T25" s="5">
        <f>S25*'Demand by Sector'!$E$11</f>
        <v>20000</v>
      </c>
      <c r="U25" s="5">
        <f>S25*'Demand by Sector'!$F$11</f>
        <v>25000</v>
      </c>
      <c r="V25" s="5">
        <f>'Archetypes - Split'!I25</f>
        <v>1</v>
      </c>
      <c r="W25" s="5">
        <f>V25*'Demand by Sector'!$E$12</f>
        <v>3000</v>
      </c>
      <c r="X25" s="23">
        <f>V25*'Demand by Sector'!$F$12</f>
        <v>7000</v>
      </c>
    </row>
    <row r="26" spans="2:24" x14ac:dyDescent="0.35">
      <c r="D26" s="20"/>
      <c r="E26" s="97" t="s">
        <v>82</v>
      </c>
      <c r="F26" s="98" t="s">
        <v>83</v>
      </c>
    </row>
    <row r="27" spans="2:24" x14ac:dyDescent="0.35">
      <c r="D27" s="93" t="s">
        <v>106</v>
      </c>
      <c r="E27" s="19">
        <f>SUM(E20:E21)</f>
        <v>13.3</v>
      </c>
      <c r="F27" s="31">
        <f>SUM(F20:F21)</f>
        <v>31.7</v>
      </c>
    </row>
    <row r="28" spans="2:24" ht="15" thickBot="1" x14ac:dyDescent="0.4">
      <c r="D28" s="99" t="s">
        <v>107</v>
      </c>
      <c r="E28" s="32">
        <f>SUM(E22:E25)</f>
        <v>5.09</v>
      </c>
      <c r="F28" s="33">
        <f>SUM(F22:F25)</f>
        <v>14.310000000000002</v>
      </c>
    </row>
  </sheetData>
  <mergeCells count="19">
    <mergeCell ref="P2:R2"/>
    <mergeCell ref="S2:U2"/>
    <mergeCell ref="V2:X2"/>
    <mergeCell ref="C2:C3"/>
    <mergeCell ref="G1:X1"/>
    <mergeCell ref="D2:D3"/>
    <mergeCell ref="E2:F2"/>
    <mergeCell ref="C16:C17"/>
    <mergeCell ref="D16:D17"/>
    <mergeCell ref="E16:F16"/>
    <mergeCell ref="G16:I16"/>
    <mergeCell ref="J16:L16"/>
    <mergeCell ref="M16:O16"/>
    <mergeCell ref="P16:R16"/>
    <mergeCell ref="S16:U16"/>
    <mergeCell ref="V16:X16"/>
    <mergeCell ref="G2:I2"/>
    <mergeCell ref="J2:L2"/>
    <mergeCell ref="M2:O2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629F-5DED-4843-82CB-4B478DC0E157}">
  <sheetPr>
    <tabColor rgb="FF00783F"/>
  </sheetPr>
  <dimension ref="B1:W29"/>
  <sheetViews>
    <sheetView zoomScaleNormal="100" workbookViewId="0">
      <selection activeCell="H38" sqref="H38"/>
    </sheetView>
  </sheetViews>
  <sheetFormatPr defaultRowHeight="14.5" x14ac:dyDescent="0.35"/>
  <cols>
    <col min="2" max="2" width="10.81640625" customWidth="1"/>
    <col min="3" max="3" width="26.453125" customWidth="1"/>
    <col min="4" max="4" width="12.54296875" customWidth="1"/>
    <col min="5" max="5" width="20.81640625" customWidth="1"/>
    <col min="6" max="6" width="18.7265625" customWidth="1"/>
    <col min="7" max="7" width="18.26953125" customWidth="1"/>
    <col min="8" max="8" width="16.1796875" customWidth="1"/>
    <col min="9" max="9" width="19" customWidth="1"/>
    <col min="10" max="10" width="13.54296875" customWidth="1"/>
    <col min="11" max="11" width="14" customWidth="1"/>
    <col min="12" max="12" width="16" customWidth="1"/>
    <col min="14" max="14" width="7.81640625" customWidth="1"/>
    <col min="15" max="15" width="10.81640625" customWidth="1"/>
    <col min="16" max="16" width="8.7265625" customWidth="1"/>
    <col min="17" max="17" width="19.81640625" customWidth="1"/>
    <col min="18" max="18" width="19.54296875" customWidth="1"/>
    <col min="19" max="19" width="18.7265625" customWidth="1"/>
    <col min="20" max="20" width="15" customWidth="1"/>
    <col min="21" max="21" width="12.7265625" customWidth="1"/>
    <col min="22" max="22" width="14.54296875" customWidth="1"/>
    <col min="23" max="23" width="21.7265625" customWidth="1"/>
    <col min="24" max="24" width="13.453125" customWidth="1"/>
    <col min="25" max="25" width="17.7265625" customWidth="1"/>
  </cols>
  <sheetData>
    <row r="1" spans="2:23" ht="15" thickBot="1" x14ac:dyDescent="0.4"/>
    <row r="2" spans="2:23" ht="15" thickBot="1" x14ac:dyDescent="0.4">
      <c r="F2" s="190" t="s">
        <v>108</v>
      </c>
      <c r="G2" s="191"/>
      <c r="H2" s="191"/>
      <c r="I2" s="191"/>
      <c r="J2" s="191"/>
      <c r="K2" s="191"/>
      <c r="L2" s="191"/>
      <c r="M2" s="191"/>
      <c r="O2" s="190" t="s">
        <v>109</v>
      </c>
      <c r="P2" s="191"/>
      <c r="Q2" s="191"/>
      <c r="R2" s="191"/>
      <c r="S2" s="191"/>
      <c r="T2" s="191"/>
      <c r="U2" s="191"/>
      <c r="V2" s="191"/>
      <c r="W2" s="192"/>
    </row>
    <row r="3" spans="2:23" x14ac:dyDescent="0.35">
      <c r="B3" s="204" t="s">
        <v>91</v>
      </c>
      <c r="C3" s="194" t="s">
        <v>110</v>
      </c>
      <c r="D3" s="194" t="s">
        <v>111</v>
      </c>
      <c r="E3" s="188" t="s">
        <v>112</v>
      </c>
      <c r="F3" s="194" t="s">
        <v>113</v>
      </c>
      <c r="G3" s="194" t="s">
        <v>114</v>
      </c>
      <c r="H3" s="194" t="s">
        <v>150</v>
      </c>
      <c r="I3" s="194" t="s">
        <v>115</v>
      </c>
      <c r="J3" s="188" t="s">
        <v>116</v>
      </c>
      <c r="K3" s="188"/>
      <c r="L3" s="188" t="s">
        <v>117</v>
      </c>
      <c r="M3" s="188"/>
      <c r="N3" s="200"/>
      <c r="O3" s="196" t="s">
        <v>118</v>
      </c>
      <c r="P3" s="196" t="s">
        <v>119</v>
      </c>
      <c r="Q3" s="196" t="s">
        <v>120</v>
      </c>
      <c r="R3" s="196" t="s">
        <v>121</v>
      </c>
      <c r="S3" s="196" t="s">
        <v>122</v>
      </c>
      <c r="T3" s="196" t="s">
        <v>123</v>
      </c>
      <c r="U3" s="196" t="s">
        <v>124</v>
      </c>
      <c r="V3" s="196" t="s">
        <v>125</v>
      </c>
      <c r="W3" s="198" t="s">
        <v>126</v>
      </c>
    </row>
    <row r="4" spans="2:23" ht="27" customHeight="1" x14ac:dyDescent="0.35">
      <c r="B4" s="205"/>
      <c r="C4" s="195"/>
      <c r="D4" s="195"/>
      <c r="E4" s="177"/>
      <c r="F4" s="195"/>
      <c r="G4" s="195"/>
      <c r="H4" s="195"/>
      <c r="I4" s="195"/>
      <c r="J4" s="108" t="s">
        <v>29</v>
      </c>
      <c r="K4" s="108" t="s">
        <v>32</v>
      </c>
      <c r="L4" s="108" t="s">
        <v>29</v>
      </c>
      <c r="M4" s="108" t="s">
        <v>127</v>
      </c>
      <c r="N4" s="201"/>
      <c r="O4" s="197"/>
      <c r="P4" s="197"/>
      <c r="Q4" s="197"/>
      <c r="R4" s="197"/>
      <c r="S4" s="197"/>
      <c r="T4" s="197"/>
      <c r="U4" s="197"/>
      <c r="V4" s="197"/>
      <c r="W4" s="199"/>
    </row>
    <row r="5" spans="2:23" x14ac:dyDescent="0.35">
      <c r="B5" s="25">
        <v>1</v>
      </c>
      <c r="C5" s="36" t="s">
        <v>93</v>
      </c>
      <c r="D5" s="37">
        <f>'Number of Archetypes'!C4</f>
        <v>10</v>
      </c>
      <c r="E5" s="38" t="s">
        <v>128</v>
      </c>
      <c r="F5" s="37">
        <f>D5</f>
        <v>10</v>
      </c>
      <c r="G5" s="37">
        <v>0</v>
      </c>
      <c r="H5" s="37">
        <v>0</v>
      </c>
      <c r="I5" s="39">
        <v>1</v>
      </c>
      <c r="J5" s="39">
        <f>$I5*($F5*$E$15+$G5*$E$17+$H5*$E$19)</f>
        <v>0.1</v>
      </c>
      <c r="K5" s="39">
        <f t="shared" ref="K5:K12" si="0">$I5*($F5*$E$16+$G5*$E$18+$H5*$E$20)</f>
        <v>1</v>
      </c>
      <c r="L5" s="39">
        <f t="shared" ref="L5:L12" si="1">(1-$I5)*($F5*$E$15+$G5*$E$17+$H5*$E$19)</f>
        <v>0</v>
      </c>
      <c r="M5" s="39">
        <f t="shared" ref="M5:M12" si="2">(1-$I5)*($F5*$E$16+$G5*$E$18+$H5*$E$20)</f>
        <v>0</v>
      </c>
      <c r="N5" s="201"/>
      <c r="O5" s="9">
        <v>0</v>
      </c>
      <c r="P5" s="9">
        <v>0</v>
      </c>
      <c r="Q5" s="40">
        <f>O5*(D5/Inputs!$C$20)*Inputs!$C$22/1000000</f>
        <v>0</v>
      </c>
      <c r="R5" s="41">
        <f>O5*D5/Inputs!$C$25</f>
        <v>0</v>
      </c>
      <c r="S5" s="42">
        <f>P5*(D5/Inputs!$C$20)*Inputs!$C$23/1000000</f>
        <v>0</v>
      </c>
      <c r="T5" s="9">
        <v>0</v>
      </c>
      <c r="U5" s="9">
        <v>0</v>
      </c>
      <c r="V5" s="9">
        <v>0</v>
      </c>
      <c r="W5" s="45">
        <f>T5*((U5*Inputs!$C$28)+(V5*Inputs!$C$30))/1000000</f>
        <v>0</v>
      </c>
    </row>
    <row r="6" spans="2:23" x14ac:dyDescent="0.35">
      <c r="B6" s="25">
        <v>2</v>
      </c>
      <c r="C6" s="36" t="s">
        <v>94</v>
      </c>
      <c r="D6" s="37">
        <f>'Number of Archetypes'!C5</f>
        <v>10</v>
      </c>
      <c r="E6" s="38" t="s">
        <v>128</v>
      </c>
      <c r="F6" s="37">
        <f t="shared" ref="F6:F8" si="3">D6</f>
        <v>10</v>
      </c>
      <c r="G6" s="37">
        <v>0</v>
      </c>
      <c r="H6" s="37">
        <v>0</v>
      </c>
      <c r="I6" s="39">
        <v>1</v>
      </c>
      <c r="J6" s="39">
        <f t="shared" ref="J6:J12" si="4">I6*($F6*$E$15+$G6*$E$17+$H6*$E$19)</f>
        <v>0.1</v>
      </c>
      <c r="K6" s="39">
        <f t="shared" si="0"/>
        <v>1</v>
      </c>
      <c r="L6" s="39">
        <f t="shared" si="1"/>
        <v>0</v>
      </c>
      <c r="M6" s="39">
        <f t="shared" si="2"/>
        <v>0</v>
      </c>
      <c r="N6" s="201"/>
      <c r="O6" s="44">
        <v>0</v>
      </c>
      <c r="P6" s="44">
        <v>0</v>
      </c>
      <c r="Q6" s="40">
        <f>O6*(D6/Inputs!$C$20)*Inputs!$C$22/1000000</f>
        <v>0</v>
      </c>
      <c r="R6" s="41">
        <f>O6*D6/Inputs!$C$25</f>
        <v>0</v>
      </c>
      <c r="S6" s="42">
        <f>P6*(D6/Inputs!$C$20)*Inputs!$C$23/1000000</f>
        <v>0</v>
      </c>
      <c r="T6" s="9">
        <v>0</v>
      </c>
      <c r="U6" s="9">
        <v>0</v>
      </c>
      <c r="V6" s="9">
        <v>0</v>
      </c>
      <c r="W6" s="45">
        <f>T6*((U6*Inputs!$C$28)+(V6*Inputs!$C$30))/1000000</f>
        <v>0</v>
      </c>
    </row>
    <row r="7" spans="2:23" x14ac:dyDescent="0.35">
      <c r="B7" s="25">
        <v>3</v>
      </c>
      <c r="C7" s="36" t="s">
        <v>95</v>
      </c>
      <c r="D7" s="37">
        <f>'Number of Archetypes'!C6</f>
        <v>500</v>
      </c>
      <c r="E7" s="38" t="s">
        <v>128</v>
      </c>
      <c r="F7" s="37">
        <f t="shared" si="3"/>
        <v>500</v>
      </c>
      <c r="G7" s="37">
        <v>0</v>
      </c>
      <c r="H7" s="37">
        <v>0</v>
      </c>
      <c r="I7" s="39">
        <v>1</v>
      </c>
      <c r="J7" s="39">
        <f t="shared" si="4"/>
        <v>5</v>
      </c>
      <c r="K7" s="39">
        <f t="shared" si="0"/>
        <v>50</v>
      </c>
      <c r="L7" s="39">
        <f t="shared" si="1"/>
        <v>0</v>
      </c>
      <c r="M7" s="39">
        <f t="shared" si="2"/>
        <v>0</v>
      </c>
      <c r="N7" s="201"/>
      <c r="O7" s="44">
        <v>1</v>
      </c>
      <c r="P7" s="44">
        <v>0</v>
      </c>
      <c r="Q7" s="40">
        <f>O7*(D7/Inputs!$C$20)*Inputs!$C$22/1000000</f>
        <v>15.609137055837563</v>
      </c>
      <c r="R7" s="41">
        <f>O7*D7/Inputs!$C$25</f>
        <v>18518.518518518518</v>
      </c>
      <c r="S7" s="42">
        <f>P7*(D7/Inputs!$C$20)*Inputs!$C$23/1000000</f>
        <v>0</v>
      </c>
      <c r="T7" s="39">
        <v>0</v>
      </c>
      <c r="U7" s="9">
        <v>0</v>
      </c>
      <c r="V7" s="9">
        <v>0</v>
      </c>
      <c r="W7" s="45">
        <f>T7*((U7*Inputs!$C$28)+(V7*Inputs!$C$30))/1000000</f>
        <v>0</v>
      </c>
    </row>
    <row r="8" spans="2:23" x14ac:dyDescent="0.35">
      <c r="B8" s="25">
        <v>4</v>
      </c>
      <c r="C8" s="36" t="s">
        <v>105</v>
      </c>
      <c r="D8" s="37">
        <f>'Number of Archetypes'!C7</f>
        <v>500</v>
      </c>
      <c r="E8" s="38" t="s">
        <v>129</v>
      </c>
      <c r="F8" s="37">
        <f t="shared" si="3"/>
        <v>500</v>
      </c>
      <c r="G8" s="37">
        <v>0</v>
      </c>
      <c r="H8" s="37">
        <v>0</v>
      </c>
      <c r="I8" s="39">
        <v>0</v>
      </c>
      <c r="J8" s="39">
        <f t="shared" si="4"/>
        <v>0</v>
      </c>
      <c r="K8" s="39">
        <f t="shared" si="0"/>
        <v>0</v>
      </c>
      <c r="L8" s="39">
        <f t="shared" si="1"/>
        <v>5</v>
      </c>
      <c r="M8" s="39">
        <f t="shared" si="2"/>
        <v>50</v>
      </c>
      <c r="N8" s="201"/>
      <c r="O8" s="44">
        <v>0</v>
      </c>
      <c r="P8" s="44">
        <v>1</v>
      </c>
      <c r="Q8" s="40">
        <f>O8*(D8/Inputs!$C$20)*Inputs!$C$22/1000000</f>
        <v>0</v>
      </c>
      <c r="R8" s="41">
        <f>O8*D8/Inputs!$C$25</f>
        <v>0</v>
      </c>
      <c r="S8" s="42">
        <f>P8*(D8/Inputs!$C$20)*Inputs!$C$23/1000000</f>
        <v>2.1573604060913705</v>
      </c>
      <c r="T8" s="39">
        <f>(D8/1000)*Inputs!$C$26</f>
        <v>7.5</v>
      </c>
      <c r="U8" s="9">
        <v>1</v>
      </c>
      <c r="V8" s="9">
        <v>0</v>
      </c>
      <c r="W8" s="45">
        <f>T8*((U8*Inputs!$C$28)+(V8*Inputs!$C$30))/1000000</f>
        <v>11.475</v>
      </c>
    </row>
    <row r="9" spans="2:23" x14ac:dyDescent="0.35">
      <c r="B9" s="25">
        <v>5</v>
      </c>
      <c r="C9" s="36" t="s">
        <v>97</v>
      </c>
      <c r="D9" s="37">
        <f>'Number of Archetypes'!C8</f>
        <v>10000</v>
      </c>
      <c r="E9" s="38" t="s">
        <v>130</v>
      </c>
      <c r="F9" s="37">
        <f>0.5*D9</f>
        <v>5000</v>
      </c>
      <c r="G9" s="37">
        <f>0.5*D9</f>
        <v>5000</v>
      </c>
      <c r="H9" s="37">
        <v>5000</v>
      </c>
      <c r="I9" s="39">
        <v>0</v>
      </c>
      <c r="J9" s="39">
        <f t="shared" si="4"/>
        <v>0</v>
      </c>
      <c r="K9" s="39">
        <f t="shared" si="0"/>
        <v>0</v>
      </c>
      <c r="L9" s="39">
        <f t="shared" si="1"/>
        <v>220</v>
      </c>
      <c r="M9" s="39">
        <f t="shared" si="2"/>
        <v>1000</v>
      </c>
      <c r="N9" s="201"/>
      <c r="O9" s="44">
        <v>0</v>
      </c>
      <c r="P9" s="44">
        <v>1</v>
      </c>
      <c r="Q9" s="40">
        <f>O9*(D9/Inputs!$C$20)*Inputs!$C$22/1000000</f>
        <v>0</v>
      </c>
      <c r="R9" s="41">
        <f>O9*D9/Inputs!$C$25</f>
        <v>0</v>
      </c>
      <c r="S9" s="42">
        <f>P9*(D9/Inputs!$C$20)*Inputs!$C$23/1000000</f>
        <v>43.147208121827411</v>
      </c>
      <c r="T9" s="39">
        <f>(D9/1000)*Inputs!$C$26</f>
        <v>150</v>
      </c>
      <c r="U9" s="9">
        <v>1</v>
      </c>
      <c r="V9" s="9">
        <v>0</v>
      </c>
      <c r="W9" s="45">
        <f>T9*((U9*Inputs!$C$28)+(V9*Inputs!$C$30))/1000000</f>
        <v>229.5</v>
      </c>
    </row>
    <row r="10" spans="2:23" x14ac:dyDescent="0.35">
      <c r="B10" s="25">
        <v>6</v>
      </c>
      <c r="C10" s="36" t="s">
        <v>98</v>
      </c>
      <c r="D10" s="37">
        <f>'Number of Archetypes'!C9</f>
        <v>10000</v>
      </c>
      <c r="E10" s="38" t="s">
        <v>130</v>
      </c>
      <c r="F10" s="37">
        <f t="shared" ref="F10:F12" si="5">0.5*D10</f>
        <v>5000</v>
      </c>
      <c r="G10" s="37">
        <f t="shared" ref="G10:G12" si="6">0.5*D10</f>
        <v>5000</v>
      </c>
      <c r="H10" s="37">
        <v>0</v>
      </c>
      <c r="I10" s="39">
        <v>0</v>
      </c>
      <c r="J10" s="39">
        <f t="shared" si="4"/>
        <v>0</v>
      </c>
      <c r="K10" s="39">
        <f t="shared" si="0"/>
        <v>0</v>
      </c>
      <c r="L10" s="39">
        <f t="shared" si="1"/>
        <v>70</v>
      </c>
      <c r="M10" s="39">
        <f t="shared" si="2"/>
        <v>750</v>
      </c>
      <c r="N10" s="201"/>
      <c r="O10" s="44">
        <v>0</v>
      </c>
      <c r="P10" s="44">
        <v>1</v>
      </c>
      <c r="Q10" s="40">
        <f>O10*(D10/Inputs!$C$20)*Inputs!$C$22/1000000</f>
        <v>0</v>
      </c>
      <c r="R10" s="41">
        <f>O10*D10/Inputs!$C$25</f>
        <v>0</v>
      </c>
      <c r="S10" s="42">
        <f>P10*(D10/Inputs!$C$20)*Inputs!$C$23/1000000</f>
        <v>43.147208121827411</v>
      </c>
      <c r="T10" s="39">
        <f>(D10/1000)*Inputs!C31</f>
        <v>5500</v>
      </c>
      <c r="U10" s="9">
        <v>0</v>
      </c>
      <c r="V10" s="9">
        <v>1</v>
      </c>
      <c r="W10" s="45">
        <f>T10*((U10*Inputs!$C$28)+(V10*Inputs!$C$30))/1000000</f>
        <v>1864.5</v>
      </c>
    </row>
    <row r="11" spans="2:23" x14ac:dyDescent="0.35">
      <c r="B11" s="25">
        <v>7</v>
      </c>
      <c r="C11" s="36" t="s">
        <v>99</v>
      </c>
      <c r="D11" s="37">
        <f>'Number of Archetypes'!C10</f>
        <v>10000</v>
      </c>
      <c r="E11" s="38" t="s">
        <v>130</v>
      </c>
      <c r="F11" s="37">
        <f t="shared" si="5"/>
        <v>5000</v>
      </c>
      <c r="G11" s="37">
        <f t="shared" si="6"/>
        <v>5000</v>
      </c>
      <c r="H11" s="37">
        <v>0</v>
      </c>
      <c r="I11" s="39">
        <v>0</v>
      </c>
      <c r="J11" s="39">
        <f t="shared" si="4"/>
        <v>0</v>
      </c>
      <c r="K11" s="39">
        <f t="shared" si="0"/>
        <v>0</v>
      </c>
      <c r="L11" s="39">
        <f t="shared" si="1"/>
        <v>70</v>
      </c>
      <c r="M11" s="39">
        <f t="shared" si="2"/>
        <v>750</v>
      </c>
      <c r="N11" s="201"/>
      <c r="O11" s="44">
        <v>1</v>
      </c>
      <c r="P11" s="44">
        <v>0</v>
      </c>
      <c r="Q11" s="40">
        <f>O11*(D11/Inputs!$C$20)*Inputs!$C$22/1000000</f>
        <v>312.18274111675123</v>
      </c>
      <c r="R11" s="41">
        <f>O11*D11/Inputs!$C$25</f>
        <v>370370.37037037039</v>
      </c>
      <c r="S11" s="42">
        <f>P11*(D11/Inputs!$C$20)*Inputs!$C$23/1000000</f>
        <v>0</v>
      </c>
      <c r="T11" s="39">
        <f>(D11/1000)*Inputs!$C$26</f>
        <v>150</v>
      </c>
      <c r="U11" s="9">
        <v>0</v>
      </c>
      <c r="V11" s="9">
        <v>0</v>
      </c>
      <c r="W11" s="45">
        <f>T11*((U11*Inputs!$C$28)+(V11*Inputs!$C$30))/1000000</f>
        <v>0</v>
      </c>
    </row>
    <row r="12" spans="2:23" ht="15" thickBot="1" x14ac:dyDescent="0.4">
      <c r="B12" s="26">
        <v>8</v>
      </c>
      <c r="C12" s="46" t="s">
        <v>100</v>
      </c>
      <c r="D12" s="47">
        <f>'Number of Archetypes'!C11</f>
        <v>10000</v>
      </c>
      <c r="E12" s="48" t="s">
        <v>130</v>
      </c>
      <c r="F12" s="47">
        <f t="shared" si="5"/>
        <v>5000</v>
      </c>
      <c r="G12" s="47">
        <f t="shared" si="6"/>
        <v>5000</v>
      </c>
      <c r="H12" s="47">
        <v>0</v>
      </c>
      <c r="I12" s="49">
        <v>0</v>
      </c>
      <c r="J12" s="49">
        <f t="shared" si="4"/>
        <v>0</v>
      </c>
      <c r="K12" s="49">
        <f t="shared" si="0"/>
        <v>0</v>
      </c>
      <c r="L12" s="49">
        <f t="shared" si="1"/>
        <v>70</v>
      </c>
      <c r="M12" s="49">
        <f t="shared" si="2"/>
        <v>750</v>
      </c>
      <c r="N12" s="202"/>
      <c r="O12" s="50">
        <v>0</v>
      </c>
      <c r="P12" s="50">
        <v>1</v>
      </c>
      <c r="Q12" s="51">
        <f>O12*(D12/Inputs!$C$20)*Inputs!$C$22/1000000</f>
        <v>0</v>
      </c>
      <c r="R12" s="52">
        <f>O12*D12/Inputs!$C$25</f>
        <v>0</v>
      </c>
      <c r="S12" s="80">
        <f>P12*(D12/Inputs!$C$20)*Inputs!$C$23/1000000</f>
        <v>43.147208121827411</v>
      </c>
      <c r="T12" s="80">
        <f>(D12/1000)*Inputs!$C$26</f>
        <v>150</v>
      </c>
      <c r="U12" s="53">
        <v>1</v>
      </c>
      <c r="V12" s="53">
        <v>0</v>
      </c>
      <c r="W12" s="54">
        <f>T12*((U12*Inputs!$C$28)+(V12*Inputs!$C$30))/1000000</f>
        <v>229.5</v>
      </c>
    </row>
    <row r="13" spans="2:23" ht="15" thickBot="1" x14ac:dyDescent="0.4"/>
    <row r="14" spans="2:23" x14ac:dyDescent="0.35">
      <c r="C14" s="90" t="s">
        <v>24</v>
      </c>
      <c r="D14" s="91"/>
      <c r="E14" s="92" t="s">
        <v>131</v>
      </c>
    </row>
    <row r="15" spans="2:23" x14ac:dyDescent="0.35">
      <c r="C15" s="21" t="s">
        <v>28</v>
      </c>
      <c r="D15" s="4" t="s">
        <v>29</v>
      </c>
      <c r="E15" s="158">
        <f>Inputs!D5</f>
        <v>0.01</v>
      </c>
    </row>
    <row r="16" spans="2:23" x14ac:dyDescent="0.35">
      <c r="C16" s="21" t="s">
        <v>31</v>
      </c>
      <c r="D16" s="4" t="s">
        <v>32</v>
      </c>
      <c r="E16" s="158">
        <v>0.1</v>
      </c>
    </row>
    <row r="17" spans="2:9" x14ac:dyDescent="0.35">
      <c r="C17" s="193" t="s">
        <v>34</v>
      </c>
      <c r="D17" s="4" t="s">
        <v>29</v>
      </c>
      <c r="E17" s="158">
        <f>Inputs!D7</f>
        <v>4.0000000000000001E-3</v>
      </c>
    </row>
    <row r="18" spans="2:9" x14ac:dyDescent="0.35">
      <c r="C18" s="193"/>
      <c r="D18" s="4" t="s">
        <v>32</v>
      </c>
      <c r="E18" s="158">
        <f>Inputs!D8</f>
        <v>0.05</v>
      </c>
    </row>
    <row r="19" spans="2:9" x14ac:dyDescent="0.35">
      <c r="C19" s="193" t="s">
        <v>37</v>
      </c>
      <c r="D19" s="4" t="s">
        <v>29</v>
      </c>
      <c r="E19" s="158">
        <f>Inputs!D9</f>
        <v>0.03</v>
      </c>
    </row>
    <row r="20" spans="2:9" ht="15" thickBot="1" x14ac:dyDescent="0.4">
      <c r="C20" s="203"/>
      <c r="D20" s="5" t="s">
        <v>32</v>
      </c>
      <c r="E20" s="159">
        <f>Inputs!D10</f>
        <v>0.05</v>
      </c>
    </row>
    <row r="23" spans="2:9" ht="14.5" customHeight="1" x14ac:dyDescent="0.35">
      <c r="B23" s="229" t="s">
        <v>151</v>
      </c>
      <c r="C23" s="229"/>
      <c r="D23" s="229"/>
      <c r="E23" s="229"/>
      <c r="F23" s="229"/>
      <c r="G23" s="229"/>
      <c r="H23" s="229"/>
      <c r="I23" s="229"/>
    </row>
    <row r="24" spans="2:9" x14ac:dyDescent="0.35">
      <c r="B24" s="229"/>
      <c r="C24" s="229"/>
      <c r="D24" s="229"/>
      <c r="E24" s="229"/>
      <c r="F24" s="229"/>
      <c r="G24" s="229"/>
      <c r="H24" s="229"/>
      <c r="I24" s="229"/>
    </row>
    <row r="25" spans="2:9" x14ac:dyDescent="0.35">
      <c r="B25" s="229"/>
      <c r="C25" s="229"/>
      <c r="D25" s="229"/>
      <c r="E25" s="229"/>
      <c r="F25" s="229"/>
      <c r="G25" s="229"/>
      <c r="H25" s="229"/>
      <c r="I25" s="229"/>
    </row>
    <row r="26" spans="2:9" x14ac:dyDescent="0.35">
      <c r="B26" s="229"/>
      <c r="C26" s="229"/>
      <c r="D26" s="229"/>
      <c r="E26" s="229"/>
      <c r="F26" s="229"/>
      <c r="G26" s="229"/>
      <c r="H26" s="229"/>
      <c r="I26" s="229"/>
    </row>
    <row r="27" spans="2:9" x14ac:dyDescent="0.35">
      <c r="B27" s="229"/>
      <c r="C27" s="229"/>
      <c r="D27" s="229"/>
      <c r="E27" s="229"/>
      <c r="F27" s="229"/>
      <c r="G27" s="229"/>
      <c r="H27" s="229"/>
      <c r="I27" s="229"/>
    </row>
    <row r="28" spans="2:9" x14ac:dyDescent="0.35">
      <c r="B28" s="229"/>
      <c r="C28" s="229"/>
      <c r="D28" s="229"/>
      <c r="E28" s="229"/>
      <c r="F28" s="229"/>
      <c r="G28" s="229"/>
      <c r="H28" s="229"/>
      <c r="I28" s="229"/>
    </row>
    <row r="29" spans="2:9" x14ac:dyDescent="0.35">
      <c r="B29" s="229"/>
      <c r="C29" s="229"/>
      <c r="D29" s="229"/>
      <c r="E29" s="229"/>
      <c r="F29" s="229"/>
      <c r="G29" s="229"/>
      <c r="H29" s="229"/>
      <c r="I29" s="229"/>
    </row>
  </sheetData>
  <mergeCells count="25">
    <mergeCell ref="B23:I29"/>
    <mergeCell ref="S3:S4"/>
    <mergeCell ref="T3:T4"/>
    <mergeCell ref="U3:U4"/>
    <mergeCell ref="C19:C20"/>
    <mergeCell ref="B3:B4"/>
    <mergeCell ref="C3:C4"/>
    <mergeCell ref="D3:D4"/>
    <mergeCell ref="E3:E4"/>
    <mergeCell ref="F2:M2"/>
    <mergeCell ref="O2:W2"/>
    <mergeCell ref="C17:C18"/>
    <mergeCell ref="G3:G4"/>
    <mergeCell ref="H3:H4"/>
    <mergeCell ref="I3:I4"/>
    <mergeCell ref="O3:O4"/>
    <mergeCell ref="F3:F4"/>
    <mergeCell ref="J3:K3"/>
    <mergeCell ref="L3:M3"/>
    <mergeCell ref="V3:V4"/>
    <mergeCell ref="W3:W4"/>
    <mergeCell ref="N3:N12"/>
    <mergeCell ref="P3:P4"/>
    <mergeCell ref="Q3:Q4"/>
    <mergeCell ref="R3:R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B242-E45E-4130-97E4-053CE11C5DED}">
  <sheetPr>
    <tabColor rgb="FFFFDA00"/>
  </sheetPr>
  <dimension ref="B2:H29"/>
  <sheetViews>
    <sheetView workbookViewId="0">
      <selection activeCell="B2" sqref="B2"/>
    </sheetView>
  </sheetViews>
  <sheetFormatPr defaultRowHeight="14.5" x14ac:dyDescent="0.35"/>
  <cols>
    <col min="2" max="8" width="15.1796875" customWidth="1"/>
  </cols>
  <sheetData>
    <row r="2" spans="2:8" ht="15" thickBot="1" x14ac:dyDescent="0.4">
      <c r="B2" s="64" t="s">
        <v>132</v>
      </c>
    </row>
    <row r="3" spans="2:8" x14ac:dyDescent="0.35">
      <c r="B3" s="90">
        <v>2030</v>
      </c>
      <c r="C3" s="194" t="s">
        <v>133</v>
      </c>
      <c r="D3" s="194"/>
      <c r="E3" s="188" t="s">
        <v>134</v>
      </c>
      <c r="F3" s="188"/>
      <c r="G3" s="188" t="s">
        <v>135</v>
      </c>
      <c r="H3" s="188"/>
    </row>
    <row r="4" spans="2:8" x14ac:dyDescent="0.35">
      <c r="B4" s="93" t="s">
        <v>91</v>
      </c>
      <c r="C4" s="105" t="s">
        <v>82</v>
      </c>
      <c r="D4" s="105" t="s">
        <v>83</v>
      </c>
      <c r="E4" s="94" t="s">
        <v>29</v>
      </c>
      <c r="F4" s="104" t="s">
        <v>32</v>
      </c>
      <c r="G4" s="102" t="s">
        <v>29</v>
      </c>
      <c r="H4" s="102" t="s">
        <v>32</v>
      </c>
    </row>
    <row r="5" spans="2:8" x14ac:dyDescent="0.35">
      <c r="B5" s="122">
        <v>1</v>
      </c>
      <c r="C5" s="61">
        <f>'Number of Archetypes'!E4</f>
        <v>110</v>
      </c>
      <c r="D5" s="61">
        <f>'Number of Archetypes'!F4</f>
        <v>585</v>
      </c>
      <c r="E5" s="4">
        <f>'Requirements Per Archetype'!J5*C5</f>
        <v>11</v>
      </c>
      <c r="F5" s="4">
        <f>'Requirements Per Archetype'!K5*D5</f>
        <v>585</v>
      </c>
      <c r="G5" s="4">
        <f>'Requirements Per Archetype'!L5*C5</f>
        <v>0</v>
      </c>
      <c r="H5" s="4">
        <f>'Requirements Per Archetype'!M5*D5</f>
        <v>0</v>
      </c>
    </row>
    <row r="6" spans="2:8" x14ac:dyDescent="0.35">
      <c r="B6" s="122">
        <v>2</v>
      </c>
      <c r="C6" s="61">
        <f>'Number of Archetypes'!E5</f>
        <v>0</v>
      </c>
      <c r="D6" s="61">
        <f>'Number of Archetypes'!F5</f>
        <v>0</v>
      </c>
      <c r="E6" s="4">
        <f>'Requirements Per Archetype'!J6*C6</f>
        <v>0</v>
      </c>
      <c r="F6" s="4">
        <f>'Requirements Per Archetype'!K6*D6</f>
        <v>0</v>
      </c>
      <c r="G6" s="4">
        <f>'Requirements Per Archetype'!L6*C6</f>
        <v>0</v>
      </c>
      <c r="H6" s="4">
        <f>'Requirements Per Archetype'!M6*D6</f>
        <v>0</v>
      </c>
    </row>
    <row r="7" spans="2:8" x14ac:dyDescent="0.35">
      <c r="B7" s="122">
        <v>3</v>
      </c>
      <c r="C7" s="61">
        <f>'Number of Archetypes'!E6</f>
        <v>1.4</v>
      </c>
      <c r="D7" s="61">
        <f>'Number of Archetypes'!F6</f>
        <v>5.3</v>
      </c>
      <c r="E7" s="4">
        <f>'Requirements Per Archetype'!J7*C7</f>
        <v>7</v>
      </c>
      <c r="F7" s="4">
        <f>'Requirements Per Archetype'!K7*D7</f>
        <v>265</v>
      </c>
      <c r="G7" s="4">
        <f>'Requirements Per Archetype'!L7*C7</f>
        <v>0</v>
      </c>
      <c r="H7" s="4">
        <f>'Requirements Per Archetype'!M7*D7</f>
        <v>0</v>
      </c>
    </row>
    <row r="8" spans="2:8" x14ac:dyDescent="0.35">
      <c r="B8" s="122">
        <v>4</v>
      </c>
      <c r="C8" s="61">
        <f>'Number of Archetypes'!E7</f>
        <v>4</v>
      </c>
      <c r="D8" s="61">
        <f>'Number of Archetypes'!F7</f>
        <v>8.4</v>
      </c>
      <c r="E8" s="4">
        <f>'Requirements Per Archetype'!J8*C8</f>
        <v>0</v>
      </c>
      <c r="F8" s="4">
        <f>'Requirements Per Archetype'!K8*D8</f>
        <v>0</v>
      </c>
      <c r="G8" s="4">
        <f>'Requirements Per Archetype'!L8*C8</f>
        <v>20</v>
      </c>
      <c r="H8" s="4">
        <f>'Requirements Per Archetype'!M8*D8</f>
        <v>420</v>
      </c>
    </row>
    <row r="9" spans="2:8" x14ac:dyDescent="0.35">
      <c r="B9" s="122">
        <v>5</v>
      </c>
      <c r="C9" s="61">
        <f>'Number of Archetypes'!E8</f>
        <v>0.7</v>
      </c>
      <c r="D9" s="61">
        <f>'Number of Archetypes'!F8</f>
        <v>2.4700000000000002</v>
      </c>
      <c r="E9" s="4">
        <f>'Requirements Per Archetype'!J9*C9</f>
        <v>0</v>
      </c>
      <c r="F9" s="4">
        <f>'Requirements Per Archetype'!K9*D9</f>
        <v>0</v>
      </c>
      <c r="G9" s="4">
        <f>'Requirements Per Archetype'!L9*C9</f>
        <v>154</v>
      </c>
      <c r="H9" s="4">
        <f>'Requirements Per Archetype'!M9*D9</f>
        <v>2470</v>
      </c>
    </row>
    <row r="10" spans="2:8" x14ac:dyDescent="0.35">
      <c r="B10" s="122">
        <v>6</v>
      </c>
      <c r="C10" s="61">
        <f>'Number of Archetypes'!E9</f>
        <v>0</v>
      </c>
      <c r="D10" s="61">
        <f>'Number of Archetypes'!F9</f>
        <v>0.1</v>
      </c>
      <c r="E10" s="4">
        <f>'Requirements Per Archetype'!J10*C10</f>
        <v>0</v>
      </c>
      <c r="F10" s="4">
        <f>'Requirements Per Archetype'!K10*D10</f>
        <v>0</v>
      </c>
      <c r="G10" s="4">
        <f>'Requirements Per Archetype'!L10*C10</f>
        <v>0</v>
      </c>
      <c r="H10" s="4">
        <f>'Requirements Per Archetype'!M10*D10</f>
        <v>75</v>
      </c>
    </row>
    <row r="11" spans="2:8" x14ac:dyDescent="0.35">
      <c r="B11" s="122">
        <v>7</v>
      </c>
      <c r="C11" s="61">
        <f>'Number of Archetypes'!E10</f>
        <v>0.02</v>
      </c>
      <c r="D11" s="61">
        <f>'Number of Archetypes'!F10</f>
        <v>0.16</v>
      </c>
      <c r="E11" s="4">
        <f>'Requirements Per Archetype'!J11*C11</f>
        <v>0</v>
      </c>
      <c r="F11" s="4">
        <f>'Requirements Per Archetype'!K11*D11</f>
        <v>0</v>
      </c>
      <c r="G11" s="4">
        <f>'Requirements Per Archetype'!L11*C11</f>
        <v>1.4000000000000001</v>
      </c>
      <c r="H11" s="4">
        <f>'Requirements Per Archetype'!M11*D11</f>
        <v>120</v>
      </c>
    </row>
    <row r="12" spans="2:8" ht="15" thickBot="1" x14ac:dyDescent="0.4">
      <c r="B12" s="123">
        <v>8</v>
      </c>
      <c r="C12" s="62">
        <f>'Number of Archetypes'!E11</f>
        <v>0</v>
      </c>
      <c r="D12" s="62">
        <f>'Number of Archetypes'!F11</f>
        <v>0</v>
      </c>
      <c r="E12" s="5">
        <f>'Requirements Per Archetype'!J12*C12</f>
        <v>0</v>
      </c>
      <c r="F12" s="5">
        <f>'Requirements Per Archetype'!K12*D12</f>
        <v>0</v>
      </c>
      <c r="G12" s="5">
        <f>'Requirements Per Archetype'!L12*C12</f>
        <v>0</v>
      </c>
      <c r="H12" s="5">
        <f>'Requirements Per Archetype'!M12*D12</f>
        <v>0</v>
      </c>
    </row>
    <row r="13" spans="2:8" ht="15" thickBot="1" x14ac:dyDescent="0.4">
      <c r="B13" s="109"/>
      <c r="C13" s="110"/>
      <c r="D13" s="110"/>
      <c r="E13" s="110"/>
      <c r="F13" s="111"/>
      <c r="G13" s="112"/>
      <c r="H13" s="112"/>
    </row>
    <row r="14" spans="2:8" x14ac:dyDescent="0.35">
      <c r="B14" s="206" t="s">
        <v>136</v>
      </c>
      <c r="C14" s="207"/>
      <c r="D14" s="208"/>
      <c r="E14" s="142">
        <f>SUM(E5:E12)/1000</f>
        <v>1.7999999999999999E-2</v>
      </c>
      <c r="F14" s="142">
        <f t="shared" ref="F14:H14" si="0">SUM(F5:F12)/1000</f>
        <v>0.85</v>
      </c>
      <c r="G14" s="142">
        <f t="shared" si="0"/>
        <v>0.1754</v>
      </c>
      <c r="H14" s="142">
        <f t="shared" si="0"/>
        <v>3.085</v>
      </c>
    </row>
    <row r="15" spans="2:8" ht="15" thickBot="1" x14ac:dyDescent="0.4">
      <c r="B15" s="209" t="s">
        <v>137</v>
      </c>
      <c r="C15" s="210"/>
      <c r="D15" s="211"/>
      <c r="E15" s="143">
        <f>E14*1000000000/Inputs!$C$15</f>
        <v>456852.7918781726</v>
      </c>
      <c r="F15" s="143">
        <f>F14*1000000000/Inputs!$C$15</f>
        <v>21573604.060913708</v>
      </c>
      <c r="G15" s="143">
        <f>G14*1000000000/Inputs!$C$15</f>
        <v>4451776.6497461926</v>
      </c>
      <c r="H15" s="143">
        <f>H14*1000000000/Inputs!$C$15</f>
        <v>78299492.385786802</v>
      </c>
    </row>
    <row r="16" spans="2:8" ht="15" thickBot="1" x14ac:dyDescent="0.4">
      <c r="B16" s="34"/>
      <c r="C16" s="34"/>
      <c r="D16" s="34"/>
      <c r="E16" s="34"/>
      <c r="F16" s="34"/>
      <c r="G16" s="34"/>
      <c r="H16" s="35"/>
    </row>
    <row r="17" spans="2:8" x14ac:dyDescent="0.35">
      <c r="B17" s="90">
        <v>2035</v>
      </c>
      <c r="C17" s="194" t="s">
        <v>133</v>
      </c>
      <c r="D17" s="194"/>
      <c r="E17" s="188" t="s">
        <v>134</v>
      </c>
      <c r="F17" s="188"/>
      <c r="G17" s="188" t="s">
        <v>135</v>
      </c>
      <c r="H17" s="188"/>
    </row>
    <row r="18" spans="2:8" x14ac:dyDescent="0.35">
      <c r="B18" s="93" t="s">
        <v>91</v>
      </c>
      <c r="C18" s="105" t="s">
        <v>82</v>
      </c>
      <c r="D18" s="105" t="s">
        <v>83</v>
      </c>
      <c r="E18" s="94" t="s">
        <v>29</v>
      </c>
      <c r="F18" s="104" t="s">
        <v>32</v>
      </c>
      <c r="G18" s="102" t="s">
        <v>29</v>
      </c>
      <c r="H18" s="102" t="s">
        <v>32</v>
      </c>
    </row>
    <row r="19" spans="2:8" x14ac:dyDescent="0.35">
      <c r="B19" s="122">
        <v>1</v>
      </c>
      <c r="C19" s="61">
        <f>'Number of Archetypes'!E18</f>
        <v>165</v>
      </c>
      <c r="D19" s="61">
        <f>'Number of Archetypes'!F18</f>
        <v>685</v>
      </c>
      <c r="E19" s="4">
        <f>'Requirements Per Archetype'!J5*C19</f>
        <v>16.5</v>
      </c>
      <c r="F19" s="4">
        <f>'Requirements Per Archetype'!K5*D19</f>
        <v>685</v>
      </c>
      <c r="G19" s="4">
        <f>'Requirements Per Archetype'!L5*C19</f>
        <v>0</v>
      </c>
      <c r="H19" s="4">
        <f>'Requirements Per Archetype'!M5*D19</f>
        <v>0</v>
      </c>
    </row>
    <row r="20" spans="2:8" x14ac:dyDescent="0.35">
      <c r="B20" s="122">
        <v>2</v>
      </c>
      <c r="C20" s="61">
        <f>'Number of Archetypes'!E19</f>
        <v>80</v>
      </c>
      <c r="D20" s="61">
        <f>'Number of Archetypes'!F19</f>
        <v>920</v>
      </c>
      <c r="E20" s="4">
        <f>'Requirements Per Archetype'!J6*C20</f>
        <v>8</v>
      </c>
      <c r="F20" s="4">
        <f>'Requirements Per Archetype'!K6*D20</f>
        <v>920</v>
      </c>
      <c r="G20" s="4">
        <f>'Requirements Per Archetype'!L6*C20</f>
        <v>0</v>
      </c>
      <c r="H20" s="4">
        <f>'Requirements Per Archetype'!M6*D20</f>
        <v>0</v>
      </c>
    </row>
    <row r="21" spans="2:8" x14ac:dyDescent="0.35">
      <c r="B21" s="122">
        <v>3</v>
      </c>
      <c r="C21" s="61">
        <f>'Number of Archetypes'!E20</f>
        <v>3.3</v>
      </c>
      <c r="D21" s="61">
        <f>'Number of Archetypes'!F20</f>
        <v>13.7</v>
      </c>
      <c r="E21" s="4">
        <f>'Requirements Per Archetype'!J7*C21</f>
        <v>16.5</v>
      </c>
      <c r="F21" s="4">
        <f>'Requirements Per Archetype'!K7*D21</f>
        <v>685</v>
      </c>
      <c r="G21" s="4">
        <f>'Requirements Per Archetype'!L7*C21</f>
        <v>0</v>
      </c>
      <c r="H21" s="4">
        <f>'Requirements Per Archetype'!M7*D21</f>
        <v>0</v>
      </c>
    </row>
    <row r="22" spans="2:8" x14ac:dyDescent="0.35">
      <c r="B22" s="122">
        <v>4</v>
      </c>
      <c r="C22" s="61">
        <f>'Number of Archetypes'!E21</f>
        <v>10</v>
      </c>
      <c r="D22" s="61">
        <f>'Number of Archetypes'!F21</f>
        <v>18</v>
      </c>
      <c r="E22" s="4">
        <f>'Requirements Per Archetype'!J8*C22</f>
        <v>0</v>
      </c>
      <c r="F22" s="4">
        <f>'Requirements Per Archetype'!K8*D22</f>
        <v>0</v>
      </c>
      <c r="G22" s="4">
        <f>'Requirements Per Archetype'!L8*C22</f>
        <v>50</v>
      </c>
      <c r="H22" s="4">
        <f>'Requirements Per Archetype'!M8*D22</f>
        <v>900</v>
      </c>
    </row>
    <row r="23" spans="2:8" x14ac:dyDescent="0.35">
      <c r="B23" s="122">
        <v>5</v>
      </c>
      <c r="C23" s="61">
        <f>'Number of Archetypes'!E22</f>
        <v>2.75</v>
      </c>
      <c r="D23" s="61">
        <f>'Number of Archetypes'!F22</f>
        <v>6.15</v>
      </c>
      <c r="E23" s="4">
        <f>'Requirements Per Archetype'!J9*C23</f>
        <v>0</v>
      </c>
      <c r="F23" s="4">
        <f>'Requirements Per Archetype'!K9*D23</f>
        <v>0</v>
      </c>
      <c r="G23" s="4">
        <f>'Requirements Per Archetype'!L9*C23</f>
        <v>605</v>
      </c>
      <c r="H23" s="4">
        <f>'Requirements Per Archetype'!M9*D23</f>
        <v>6150</v>
      </c>
    </row>
    <row r="24" spans="2:8" x14ac:dyDescent="0.35">
      <c r="B24" s="122">
        <v>6</v>
      </c>
      <c r="C24" s="61">
        <f>'Number of Archetypes'!E23</f>
        <v>0</v>
      </c>
      <c r="D24" s="61">
        <f>'Number of Archetypes'!F23</f>
        <v>4.5</v>
      </c>
      <c r="E24" s="4">
        <f>'Requirements Per Archetype'!J10*C24</f>
        <v>0</v>
      </c>
      <c r="F24" s="4">
        <f>'Requirements Per Archetype'!K10*D24</f>
        <v>0</v>
      </c>
      <c r="G24" s="4">
        <f>'Requirements Per Archetype'!L10*C24</f>
        <v>0</v>
      </c>
      <c r="H24" s="4">
        <f>'Requirements Per Archetype'!M10*D24</f>
        <v>3375</v>
      </c>
    </row>
    <row r="25" spans="2:8" x14ac:dyDescent="0.35">
      <c r="B25" s="122">
        <v>7</v>
      </c>
      <c r="C25" s="61">
        <f>'Number of Archetypes'!E24</f>
        <v>0.04</v>
      </c>
      <c r="D25" s="61">
        <f>'Number of Archetypes'!F24</f>
        <v>0.46</v>
      </c>
      <c r="E25" s="4">
        <f>'Requirements Per Archetype'!J11*C25</f>
        <v>0</v>
      </c>
      <c r="F25" s="4">
        <f>'Requirements Per Archetype'!K11*D25</f>
        <v>0</v>
      </c>
      <c r="G25" s="4">
        <f>'Requirements Per Archetype'!L11*C25</f>
        <v>2.8000000000000003</v>
      </c>
      <c r="H25" s="4">
        <f>'Requirements Per Archetype'!M11*D25</f>
        <v>345</v>
      </c>
    </row>
    <row r="26" spans="2:8" ht="15" thickBot="1" x14ac:dyDescent="0.4">
      <c r="B26" s="123">
        <v>8</v>
      </c>
      <c r="C26" s="62">
        <f>'Number of Archetypes'!E25</f>
        <v>2.2999999999999998</v>
      </c>
      <c r="D26" s="62">
        <f>'Number of Archetypes'!F25</f>
        <v>3.2</v>
      </c>
      <c r="E26" s="5">
        <f>'Requirements Per Archetype'!J12*C26</f>
        <v>0</v>
      </c>
      <c r="F26" s="5">
        <f>'Requirements Per Archetype'!K12*D26</f>
        <v>0</v>
      </c>
      <c r="G26" s="5">
        <f>'Requirements Per Archetype'!L12*C26</f>
        <v>161</v>
      </c>
      <c r="H26" s="5">
        <f>'Requirements Per Archetype'!M12*D26</f>
        <v>2400</v>
      </c>
    </row>
    <row r="27" spans="2:8" ht="15" thickBot="1" x14ac:dyDescent="0.4">
      <c r="B27" s="66"/>
      <c r="C27" s="67"/>
      <c r="D27" s="67"/>
      <c r="E27" s="67"/>
      <c r="F27" s="68"/>
      <c r="G27" s="69"/>
      <c r="H27" s="69"/>
    </row>
    <row r="28" spans="2:8" x14ac:dyDescent="0.35">
      <c r="B28" s="206" t="s">
        <v>136</v>
      </c>
      <c r="C28" s="207"/>
      <c r="D28" s="208"/>
      <c r="E28" s="142">
        <f>SUM(E19:E26)/1000</f>
        <v>4.1000000000000002E-2</v>
      </c>
      <c r="F28" s="142">
        <f t="shared" ref="F28:H28" si="1">SUM(F19:F26)/1000</f>
        <v>2.29</v>
      </c>
      <c r="G28" s="142">
        <f t="shared" si="1"/>
        <v>0.81879999999999997</v>
      </c>
      <c r="H28" s="142">
        <f t="shared" si="1"/>
        <v>13.17</v>
      </c>
    </row>
    <row r="29" spans="2:8" ht="15" thickBot="1" x14ac:dyDescent="0.4">
      <c r="B29" s="209" t="s">
        <v>137</v>
      </c>
      <c r="C29" s="210"/>
      <c r="D29" s="211"/>
      <c r="E29" s="143">
        <f>E28*1000000000/Inputs!$C$15</f>
        <v>1040609.1370558375</v>
      </c>
      <c r="F29" s="143">
        <f>F28*1000000000/Inputs!$C$15</f>
        <v>58121827.411167517</v>
      </c>
      <c r="G29" s="143">
        <f>G28*1000000000/Inputs!$C$15</f>
        <v>20781725.888324875</v>
      </c>
      <c r="H29" s="143">
        <f>H28*1000000000/Inputs!$C$15</f>
        <v>334263959.39086294</v>
      </c>
    </row>
  </sheetData>
  <mergeCells count="10">
    <mergeCell ref="C3:D3"/>
    <mergeCell ref="E3:F3"/>
    <mergeCell ref="G3:H3"/>
    <mergeCell ref="B28:D28"/>
    <mergeCell ref="B29:D29"/>
    <mergeCell ref="B14:D14"/>
    <mergeCell ref="B15:D15"/>
    <mergeCell ref="C17:D17"/>
    <mergeCell ref="E17:F17"/>
    <mergeCell ref="G17:H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C046-0BF7-43AC-8E47-E7F9F60C5604}">
  <sheetPr>
    <tabColor rgb="FFFFDA00"/>
  </sheetPr>
  <dimension ref="B2:F7"/>
  <sheetViews>
    <sheetView workbookViewId="0">
      <selection activeCell="J16" sqref="J16"/>
    </sheetView>
  </sheetViews>
  <sheetFormatPr defaultRowHeight="14.5" x14ac:dyDescent="0.35"/>
  <sheetData>
    <row r="2" spans="2:6" x14ac:dyDescent="0.35">
      <c r="B2" s="64" t="s">
        <v>16</v>
      </c>
    </row>
    <row r="3" spans="2:6" ht="15" thickBot="1" x14ac:dyDescent="0.4">
      <c r="C3" s="212" t="s">
        <v>138</v>
      </c>
      <c r="D3" s="212"/>
      <c r="E3" s="212"/>
      <c r="F3" s="212"/>
    </row>
    <row r="4" spans="2:6" x14ac:dyDescent="0.35">
      <c r="B4" s="100"/>
      <c r="C4" s="183" t="s">
        <v>139</v>
      </c>
      <c r="D4" s="184"/>
      <c r="E4" s="183" t="s">
        <v>140</v>
      </c>
      <c r="F4" s="184"/>
    </row>
    <row r="5" spans="2:6" x14ac:dyDescent="0.35">
      <c r="B5" s="101" t="s">
        <v>141</v>
      </c>
      <c r="C5" s="102" t="s">
        <v>29</v>
      </c>
      <c r="D5" s="103" t="s">
        <v>32</v>
      </c>
      <c r="E5" s="104" t="s">
        <v>29</v>
      </c>
      <c r="F5" s="103" t="s">
        <v>32</v>
      </c>
    </row>
    <row r="6" spans="2:6" x14ac:dyDescent="0.35">
      <c r="B6" s="71">
        <v>2030</v>
      </c>
      <c r="C6" s="70">
        <f>'Storage Infrastructure Rqmnts'!E15*Inputs!$C$12/1000000</f>
        <v>0.2786802030456853</v>
      </c>
      <c r="D6" s="70">
        <f>'Storage Infrastructure Rqmnts'!F15*Inputs!$C$12/1000000</f>
        <v>13.159898477157363</v>
      </c>
      <c r="E6" s="70">
        <f>'Storage Infrastructure Rqmnts'!G15*Inputs!$C$13/1000000</f>
        <v>1.1574619289340102</v>
      </c>
      <c r="F6" s="70">
        <f>'Storage Infrastructure Rqmnts'!H15*Inputs!$C$13/1000000</f>
        <v>20.357868020304569</v>
      </c>
    </row>
    <row r="7" spans="2:6" ht="15" thickBot="1" x14ac:dyDescent="0.4">
      <c r="B7" s="72">
        <v>2035</v>
      </c>
      <c r="C7" s="73">
        <f>'Storage Infrastructure Rqmnts'!E29*Inputs!$C$12/1000000</f>
        <v>0.63477157360406089</v>
      </c>
      <c r="D7" s="73">
        <f>'Storage Infrastructure Rqmnts'!F29*Inputs!$C$12/1000000</f>
        <v>35.454314720812185</v>
      </c>
      <c r="E7" s="73">
        <f>'Storage Infrastructure Rqmnts'!G29*Inputs!$C$13/1000000</f>
        <v>5.4032487309644681</v>
      </c>
      <c r="F7" s="73">
        <f>'Storage Infrastructure Rqmnts'!H29*Inputs!$C$13/1000000</f>
        <v>86.90862944162437</v>
      </c>
    </row>
  </sheetData>
  <mergeCells count="3">
    <mergeCell ref="C3:F3"/>
    <mergeCell ref="C4:D4"/>
    <mergeCell ref="E4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99B9-9D30-48CD-B5AC-CCB7B7E2460D}">
  <sheetPr>
    <tabColor rgb="FFFFDA00"/>
  </sheetPr>
  <dimension ref="B2:J15"/>
  <sheetViews>
    <sheetView workbookViewId="0">
      <selection activeCell="C9" sqref="C9"/>
    </sheetView>
  </sheetViews>
  <sheetFormatPr defaultRowHeight="14.5" x14ac:dyDescent="0.35"/>
  <cols>
    <col min="2" max="2" width="14.26953125" customWidth="1"/>
    <col min="3" max="3" width="10.453125" customWidth="1"/>
    <col min="4" max="4" width="9.54296875" customWidth="1"/>
    <col min="6" max="6" width="9.81640625" customWidth="1"/>
  </cols>
  <sheetData>
    <row r="2" spans="2:10" ht="15" thickBot="1" x14ac:dyDescent="0.4">
      <c r="B2" s="64" t="s">
        <v>142</v>
      </c>
    </row>
    <row r="3" spans="2:10" x14ac:dyDescent="0.35">
      <c r="B3" s="149"/>
      <c r="C3" s="204" t="s">
        <v>143</v>
      </c>
      <c r="D3" s="188"/>
      <c r="E3" s="188"/>
      <c r="F3" s="92"/>
      <c r="G3" s="204" t="s">
        <v>144</v>
      </c>
      <c r="H3" s="188"/>
      <c r="I3" s="188"/>
      <c r="J3" s="213"/>
    </row>
    <row r="4" spans="2:10" x14ac:dyDescent="0.35">
      <c r="B4" s="150"/>
      <c r="C4" s="205">
        <v>2030</v>
      </c>
      <c r="D4" s="177"/>
      <c r="E4" s="177">
        <v>2035</v>
      </c>
      <c r="F4" s="214"/>
      <c r="G4" s="205">
        <v>2030</v>
      </c>
      <c r="H4" s="177"/>
      <c r="I4" s="177">
        <v>2035</v>
      </c>
      <c r="J4" s="214"/>
    </row>
    <row r="5" spans="2:10" x14ac:dyDescent="0.35">
      <c r="B5" s="150" t="s">
        <v>91</v>
      </c>
      <c r="C5" s="93" t="s">
        <v>82</v>
      </c>
      <c r="D5" s="94" t="s">
        <v>83</v>
      </c>
      <c r="E5" s="94" t="s">
        <v>82</v>
      </c>
      <c r="F5" s="95" t="s">
        <v>83</v>
      </c>
      <c r="G5" s="93" t="s">
        <v>82</v>
      </c>
      <c r="H5" s="94" t="s">
        <v>83</v>
      </c>
      <c r="I5" s="94" t="s">
        <v>82</v>
      </c>
      <c r="J5" s="95" t="s">
        <v>83</v>
      </c>
    </row>
    <row r="6" spans="2:10" x14ac:dyDescent="0.35">
      <c r="B6" s="151">
        <v>1</v>
      </c>
      <c r="C6" s="74">
        <f>'Requirements Per Archetype'!$T5*'Number of Archetypes'!E4</f>
        <v>0</v>
      </c>
      <c r="D6" s="17">
        <f>'Requirements Per Archetype'!$T5*'Number of Archetypes'!F4</f>
        <v>0</v>
      </c>
      <c r="E6" s="17">
        <f>'Requirements Per Archetype'!$T5*'Number of Archetypes'!E18</f>
        <v>0</v>
      </c>
      <c r="F6" s="156">
        <f>'Requirements Per Archetype'!$T5*'Number of Archetypes'!F18</f>
        <v>0</v>
      </c>
      <c r="G6" s="74">
        <f>'Requirements Per Archetype'!$R5*'Number of Archetypes'!E4/1000</f>
        <v>0</v>
      </c>
      <c r="H6" s="17">
        <f>'Requirements Per Archetype'!$R5*'Number of Archetypes'!F4/1000</f>
        <v>0</v>
      </c>
      <c r="I6" s="17">
        <f>'Requirements Per Archetype'!$R5*'Number of Archetypes'!E18/1000</f>
        <v>0</v>
      </c>
      <c r="J6" s="156">
        <f>'Requirements Per Archetype'!$R5*'Number of Archetypes'!F18/1000</f>
        <v>0</v>
      </c>
    </row>
    <row r="7" spans="2:10" x14ac:dyDescent="0.35">
      <c r="B7" s="151">
        <v>2</v>
      </c>
      <c r="C7" s="74">
        <f>'Requirements Per Archetype'!$T6*'Number of Archetypes'!E5</f>
        <v>0</v>
      </c>
      <c r="D7" s="17">
        <f>'Requirements Per Archetype'!$T6*'Number of Archetypes'!F5</f>
        <v>0</v>
      </c>
      <c r="E7" s="17">
        <f>'Requirements Per Archetype'!$T6*'Number of Archetypes'!E19</f>
        <v>0</v>
      </c>
      <c r="F7" s="156">
        <f>'Requirements Per Archetype'!$T6*'Number of Archetypes'!F19</f>
        <v>0</v>
      </c>
      <c r="G7" s="74">
        <f>'Requirements Per Archetype'!$R6*'Number of Archetypes'!E5/1000</f>
        <v>0</v>
      </c>
      <c r="H7" s="17">
        <f>'Requirements Per Archetype'!$R6*'Number of Archetypes'!F5/1000</f>
        <v>0</v>
      </c>
      <c r="I7" s="17">
        <f>'Requirements Per Archetype'!$R6*'Number of Archetypes'!E19/1000</f>
        <v>0</v>
      </c>
      <c r="J7" s="156">
        <f>'Requirements Per Archetype'!$R6*'Number of Archetypes'!F19/1000</f>
        <v>0</v>
      </c>
    </row>
    <row r="8" spans="2:10" x14ac:dyDescent="0.35">
      <c r="B8" s="151">
        <v>3</v>
      </c>
      <c r="C8" s="74">
        <f>'Requirements Per Archetype'!$T7*'Number of Archetypes'!E6</f>
        <v>0</v>
      </c>
      <c r="D8" s="17">
        <f>'Requirements Per Archetype'!$T7*'Number of Archetypes'!F6</f>
        <v>0</v>
      </c>
      <c r="E8" s="17">
        <f>'Requirements Per Archetype'!$T7*'Number of Archetypes'!E20</f>
        <v>0</v>
      </c>
      <c r="F8" s="156">
        <f>'Requirements Per Archetype'!$T7*'Number of Archetypes'!F20</f>
        <v>0</v>
      </c>
      <c r="G8" s="74">
        <f>'Requirements Per Archetype'!$R7*'Number of Archetypes'!E6/1000</f>
        <v>25.925925925925924</v>
      </c>
      <c r="H8" s="17">
        <f>'Requirements Per Archetype'!$R7*'Number of Archetypes'!F6/1000</f>
        <v>98.148148148148152</v>
      </c>
      <c r="I8" s="17">
        <f>'Requirements Per Archetype'!$R7*'Number of Archetypes'!E20/1000</f>
        <v>61.111111111111107</v>
      </c>
      <c r="J8" s="156">
        <f>'Requirements Per Archetype'!$R7*'Number of Archetypes'!F20/1000</f>
        <v>253.70370370370367</v>
      </c>
    </row>
    <row r="9" spans="2:10" x14ac:dyDescent="0.35">
      <c r="B9" s="151">
        <v>4</v>
      </c>
      <c r="C9" s="74">
        <f>'Requirements Per Archetype'!$T8*'Number of Archetypes'!E7</f>
        <v>30</v>
      </c>
      <c r="D9" s="17">
        <f>'Requirements Per Archetype'!$T8*'Number of Archetypes'!F7</f>
        <v>63</v>
      </c>
      <c r="E9" s="17">
        <f>'Requirements Per Archetype'!$T8*'Number of Archetypes'!E21</f>
        <v>75</v>
      </c>
      <c r="F9" s="156">
        <f>'Requirements Per Archetype'!$T8*'Number of Archetypes'!F21</f>
        <v>135</v>
      </c>
      <c r="G9" s="74">
        <f>'Requirements Per Archetype'!$R8*'Number of Archetypes'!E7/1000</f>
        <v>0</v>
      </c>
      <c r="H9" s="17">
        <f>'Requirements Per Archetype'!$R8*'Number of Archetypes'!F7/1000</f>
        <v>0</v>
      </c>
      <c r="I9" s="17">
        <f>'Requirements Per Archetype'!$R8*'Number of Archetypes'!E21/1000</f>
        <v>0</v>
      </c>
      <c r="J9" s="156">
        <f>'Requirements Per Archetype'!$R8*'Number of Archetypes'!F21/1000</f>
        <v>0</v>
      </c>
    </row>
    <row r="10" spans="2:10" x14ac:dyDescent="0.35">
      <c r="B10" s="151">
        <v>5</v>
      </c>
      <c r="C10" s="74">
        <f>'Requirements Per Archetype'!$T9*'Number of Archetypes'!E8</f>
        <v>105</v>
      </c>
      <c r="D10" s="17">
        <f>'Requirements Per Archetype'!$T9*'Number of Archetypes'!F8</f>
        <v>370.50000000000006</v>
      </c>
      <c r="E10" s="17">
        <f>'Requirements Per Archetype'!$T9*'Number of Archetypes'!E22</f>
        <v>412.5</v>
      </c>
      <c r="F10" s="156">
        <f>'Requirements Per Archetype'!$T9*'Number of Archetypes'!F22</f>
        <v>922.5</v>
      </c>
      <c r="G10" s="74">
        <f>'Requirements Per Archetype'!$R9*'Number of Archetypes'!E8/1000</f>
        <v>0</v>
      </c>
      <c r="H10" s="17">
        <f>'Requirements Per Archetype'!$R9*'Number of Archetypes'!F8/1000</f>
        <v>0</v>
      </c>
      <c r="I10" s="17">
        <f>'Requirements Per Archetype'!$R9*'Number of Archetypes'!E22/1000</f>
        <v>0</v>
      </c>
      <c r="J10" s="156">
        <f>'Requirements Per Archetype'!$R9*'Number of Archetypes'!F22/1000</f>
        <v>0</v>
      </c>
    </row>
    <row r="11" spans="2:10" x14ac:dyDescent="0.35">
      <c r="B11" s="151">
        <v>6</v>
      </c>
      <c r="C11" s="74">
        <f>'Requirements Per Archetype'!$T10*'Number of Archetypes'!E9</f>
        <v>0</v>
      </c>
      <c r="D11" s="17">
        <f>'Requirements Per Archetype'!$T10*'Number of Archetypes'!F9</f>
        <v>550</v>
      </c>
      <c r="E11" s="17">
        <f>'Requirements Per Archetype'!$T10*'Number of Archetypes'!E23</f>
        <v>0</v>
      </c>
      <c r="F11" s="156">
        <f>'Requirements Per Archetype'!$T10*'Number of Archetypes'!F23</f>
        <v>24750</v>
      </c>
      <c r="G11" s="74">
        <f>'Requirements Per Archetype'!$R10*'Number of Archetypes'!E9/1000</f>
        <v>0</v>
      </c>
      <c r="H11" s="17">
        <f>'Requirements Per Archetype'!$R10*'Number of Archetypes'!F9/1000</f>
        <v>0</v>
      </c>
      <c r="I11" s="17">
        <f>'Requirements Per Archetype'!$R10*'Number of Archetypes'!E23/1000</f>
        <v>0</v>
      </c>
      <c r="J11" s="156">
        <f>'Requirements Per Archetype'!$R10*'Number of Archetypes'!F23/1000</f>
        <v>0</v>
      </c>
    </row>
    <row r="12" spans="2:10" x14ac:dyDescent="0.35">
      <c r="B12" s="151">
        <v>7</v>
      </c>
      <c r="C12" s="74">
        <f>'Requirements Per Archetype'!$T11*'Number of Archetypes'!E10</f>
        <v>3</v>
      </c>
      <c r="D12" s="17">
        <f>'Requirements Per Archetype'!$T11*'Number of Archetypes'!F10</f>
        <v>24</v>
      </c>
      <c r="E12" s="17">
        <f>'Requirements Per Archetype'!$T11*'Number of Archetypes'!E24</f>
        <v>6</v>
      </c>
      <c r="F12" s="156">
        <f>'Requirements Per Archetype'!$T11*'Number of Archetypes'!F24</f>
        <v>69</v>
      </c>
      <c r="G12" s="74">
        <f>'Requirements Per Archetype'!$R11*'Number of Archetypes'!E10/1000</f>
        <v>7.4074074074074074</v>
      </c>
      <c r="H12" s="17">
        <f>'Requirements Per Archetype'!$R11*'Number of Archetypes'!F10/1000</f>
        <v>59.25925925925926</v>
      </c>
      <c r="I12" s="17">
        <f>'Requirements Per Archetype'!$R11*'Number of Archetypes'!E24/1000</f>
        <v>14.814814814814815</v>
      </c>
      <c r="J12" s="156">
        <f>'Requirements Per Archetype'!$R11*'Number of Archetypes'!F24/1000</f>
        <v>170.37037037037038</v>
      </c>
    </row>
    <row r="13" spans="2:10" ht="15" thickBot="1" x14ac:dyDescent="0.4">
      <c r="B13" s="152">
        <v>8</v>
      </c>
      <c r="C13" s="74">
        <f>'Requirements Per Archetype'!$T12*'Number of Archetypes'!E11</f>
        <v>0</v>
      </c>
      <c r="D13" s="17">
        <f>'Requirements Per Archetype'!$T12*'Number of Archetypes'!F11</f>
        <v>0</v>
      </c>
      <c r="E13" s="17">
        <f>'Requirements Per Archetype'!$T12*'Number of Archetypes'!E25</f>
        <v>345</v>
      </c>
      <c r="F13" s="156">
        <f>'Requirements Per Archetype'!$T12*'Number of Archetypes'!F25</f>
        <v>480</v>
      </c>
      <c r="G13" s="77">
        <f>'Requirements Per Archetype'!$R12*'Number of Archetypes'!E11/1000</f>
        <v>0</v>
      </c>
      <c r="H13" s="27">
        <f>'Requirements Per Archetype'!$R12*'Number of Archetypes'!F11/1000</f>
        <v>0</v>
      </c>
      <c r="I13" s="27">
        <f>'Requirements Per Archetype'!$R12*'Number of Archetypes'!E25/1000</f>
        <v>0</v>
      </c>
      <c r="J13" s="147">
        <f>'Requirements Per Archetype'!$R12*'Number of Archetypes'!F25/1000</f>
        <v>0</v>
      </c>
    </row>
    <row r="14" spans="2:10" x14ac:dyDescent="0.35">
      <c r="B14" s="153"/>
      <c r="C14" s="157"/>
      <c r="D14" s="144"/>
      <c r="E14" s="144"/>
      <c r="F14" s="146"/>
      <c r="G14" s="154"/>
      <c r="H14" s="145"/>
      <c r="I14" s="144"/>
      <c r="J14" s="146"/>
    </row>
    <row r="15" spans="2:10" ht="15" thickBot="1" x14ac:dyDescent="0.4">
      <c r="B15" s="148" t="s">
        <v>145</v>
      </c>
      <c r="C15" s="77">
        <f>SUM(C6:C13)</f>
        <v>138</v>
      </c>
      <c r="D15" s="27">
        <f t="shared" ref="D15:J15" si="0">SUM(D6:D13)</f>
        <v>1007.5</v>
      </c>
      <c r="E15" s="27">
        <f t="shared" si="0"/>
        <v>838.5</v>
      </c>
      <c r="F15" s="147">
        <f t="shared" si="0"/>
        <v>26356.5</v>
      </c>
      <c r="G15" s="155">
        <f t="shared" si="0"/>
        <v>33.333333333333329</v>
      </c>
      <c r="H15" s="27">
        <f t="shared" si="0"/>
        <v>157.40740740740742</v>
      </c>
      <c r="I15" s="27">
        <f t="shared" si="0"/>
        <v>75.925925925925924</v>
      </c>
      <c r="J15" s="147">
        <f t="shared" si="0"/>
        <v>424.07407407407402</v>
      </c>
    </row>
  </sheetData>
  <mergeCells count="6">
    <mergeCell ref="C3:E3"/>
    <mergeCell ref="G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6D82CBB831B45A73F2C2E259F68BD" ma:contentTypeVersion="25" ma:contentTypeDescription="Create a new document." ma:contentTypeScope="" ma:versionID="3ee407271d1e53a17afb3126e10eec14">
  <xsd:schema xmlns:xsd="http://www.w3.org/2001/XMLSchema" xmlns:xs="http://www.w3.org/2001/XMLSchema" xmlns:p="http://schemas.microsoft.com/office/2006/metadata/properties" xmlns:ns2="0063f72e-ace3-48fb-9c1f-5b513408b31f" xmlns:ns3="7193e8b4-f398-457a-b705-be5c708f27ce" xmlns:ns4="b413c3fd-5a3b-4239-b985-69032e371c04" xmlns:ns5="a8f60570-4bd3-4f2b-950b-a996de8ab151" xmlns:ns6="aaacb922-5235-4a66-b188-303b9b46fbd7" xmlns:ns7="25d41169-cf3e-4861-b19f-80e2217bbf72" targetNamespace="http://schemas.microsoft.com/office/2006/metadata/properties" ma:root="true" ma:fieldsID="d609c8d5872cb0c1f09f1bb5786fd256" ns2:_="" ns3:_="" ns4:_="" ns5:_="" ns6:_="" ns7:_="">
    <xsd:import namespace="0063f72e-ace3-48fb-9c1f-5b513408b31f"/>
    <xsd:import namespace="7193e8b4-f398-457a-b705-be5c708f27ce"/>
    <xsd:import namespace="b413c3fd-5a3b-4239-b985-69032e371c04"/>
    <xsd:import namespace="a8f60570-4bd3-4f2b-950b-a996de8ab151"/>
    <xsd:import namespace="aaacb922-5235-4a66-b188-303b9b46fbd7"/>
    <xsd:import namespace="25d41169-cf3e-4861-b19f-80e2217bbf72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OCR" minOccurs="0"/>
                <xsd:element ref="ns7:MediaLengthInSeconds" minOccurs="0"/>
                <xsd:element ref="ns7:Time" minOccurs="0"/>
                <xsd:element ref="ns7:Date" minOccurs="0"/>
                <xsd:element ref="ns7:Run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3e8b4-f398-457a-b705-be5c708f27ce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Hydrogen Economy|30e4ebd8-cce3-41a8-bc7d-2516282c43ed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84acd667-71bc-46e5-8032-79189616f6be}" ma:internalName="TaxCatchAll" ma:showField="CatchAllData" ma:web="7193e8b4-f398-457a-b705-be5c708f27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84acd667-71bc-46e5-8032-79189616f6be}" ma:internalName="TaxCatchAllLabel" ma:readOnly="true" ma:showField="CatchAllDataLabel" ma:web="7193e8b4-f398-457a-b705-be5c708f27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41169-cf3e-4861-b19f-80e2217bb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33" nillable="true" ma:displayName="Length (seconds)" ma:internalName="MediaLengthInSeconds" ma:readOnly="true">
      <xsd:simpleType>
        <xsd:restriction base="dms:Unknown"/>
      </xsd:simpleType>
    </xsd:element>
    <xsd:element name="Time" ma:index="34" nillable="true" ma:displayName="Time" ma:format="DateTime" ma:internalName="Time">
      <xsd:simpleType>
        <xsd:restriction base="dms:DateTime"/>
      </xsd:simpleType>
    </xsd:element>
    <xsd:element name="Date" ma:index="35" nillable="true" ma:displayName="Date" ma:format="DateTime" ma:internalName="Date">
      <xsd:simpleType>
        <xsd:restriction base="dms:DateTime"/>
      </xsd:simpleType>
    </xsd:element>
    <xsd:element name="Run" ma:index="36" nillable="true" ma:displayName="Run" ma:format="Dropdown" ma:internalName="Run" ma:percentage="FALSE">
      <xsd:simpleType>
        <xsd:restriction base="dms:Number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2022-11-28T10:46:47+00:00</Date_x0020_Opened>
    <LegacyData xmlns="aaacb922-5235-4a66-b188-303b9b46fbd7" xsi:nil="true"/>
    <Descriptor xmlns="0063f72e-ace3-48fb-9c1f-5b513408b31f" xsi:nil="true"/>
    <m975189f4ba442ecbf67d4147307b177 xmlns="7193e8b4-f398-457a-b705-be5c708f27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Hydrogen Economy</TermName>
          <TermId xmlns="http://schemas.microsoft.com/office/infopath/2007/PartnerControls">30e4ebd8-cce3-41a8-bc7d-2516282c43ed</TermId>
        </TermInfo>
      </Terms>
    </m975189f4ba442ecbf67d4147307b177>
    <Security_x0020_Classification xmlns="0063f72e-ace3-48fb-9c1f-5b513408b31f">OFFICIAL</Security_x0020_Classification>
    <TaxCatchAll xmlns="7193e8b4-f398-457a-b705-be5c708f27ce">
      <Value>1</Value>
    </TaxCatchAll>
    <Date xmlns="25d41169-cf3e-4861-b19f-80e2217bbf72" xsi:nil="true"/>
    <Run xmlns="25d41169-cf3e-4861-b19f-80e2217bbf72" xsi:nil="true"/>
    <Time xmlns="25d41169-cf3e-4861-b19f-80e2217bbf72" xsi:nil="true"/>
    <Retention_x0020_Label xmlns="a8f60570-4bd3-4f2b-950b-a996de8ab151" xsi:nil="true"/>
    <Date_x0020_Closed xmlns="b413c3fd-5a3b-4239-b985-69032e371c04" xsi:nil="true"/>
    <lcf76f155ced4ddcb4097134ff3c332f xmlns="25d41169-cf3e-4861-b19f-80e2217bbf72">
      <Terms xmlns="http://schemas.microsoft.com/office/infopath/2007/PartnerControls"/>
    </lcf76f155ced4ddcb4097134ff3c332f>
    <_dlc_DocId xmlns="7193e8b4-f398-457a-b705-be5c708f27ce">ZUDKJQHHEXSR-1089568842-385025</_dlc_DocId>
    <_dlc_DocIdUrl xmlns="7193e8b4-f398-457a-b705-be5c708f27ce">
      <Url>https://beisgov.sharepoint.com/sites/BEISH2ETeam/_layouts/15/DocIdRedir.aspx?ID=ZUDKJQHHEXSR-1089568842-385025</Url>
      <Description>ZUDKJQHHEXSR-1089568842-385025</Description>
    </_dlc_DocIdUrl>
    <SharedWithUsers xmlns="7193e8b4-f398-457a-b705-be5c708f27ce">
      <UserInfo>
        <DisplayName>Gibson, Rachel (Corporate Services - Communications)</DisplayName>
        <AccountId>871</AccountId>
        <AccountType/>
      </UserInfo>
      <UserInfo>
        <DisplayName>Sidenius, Karina (NZBI  - Hydrogen &amp; Industrial Carbon Capture)</DisplayName>
        <AccountId>753</AccountId>
        <AccountType/>
      </UserInfo>
      <UserInfo>
        <DisplayName>Reith, Harriet (BEIS)</DisplayName>
        <AccountId>5477</AccountId>
        <AccountType/>
      </UserInfo>
      <UserInfo>
        <DisplayName>Pryse, Sion (NZBI - Hydrogen &amp; Industrial Carbon Capture)</DisplayName>
        <AccountId>2594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D6BEA-98E3-460F-B0E8-9EF3BBD47D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C510C5-7E29-489A-AFCC-D3F82EA3D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7193e8b4-f398-457a-b705-be5c708f27ce"/>
    <ds:schemaRef ds:uri="b413c3fd-5a3b-4239-b985-69032e371c04"/>
    <ds:schemaRef ds:uri="a8f60570-4bd3-4f2b-950b-a996de8ab151"/>
    <ds:schemaRef ds:uri="aaacb922-5235-4a66-b188-303b9b46fbd7"/>
    <ds:schemaRef ds:uri="25d41169-cf3e-4861-b19f-80e2217bb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DAB38-354C-4235-8B07-0F15A220E24B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063f72e-ace3-48fb-9c1f-5b513408b31f"/>
    <ds:schemaRef ds:uri="http://schemas.microsoft.com/office/2006/documentManagement/types"/>
    <ds:schemaRef ds:uri="25d41169-cf3e-4861-b19f-80e2217bbf72"/>
    <ds:schemaRef ds:uri="b413c3fd-5a3b-4239-b985-69032e371c04"/>
    <ds:schemaRef ds:uri="7193e8b4-f398-457a-b705-be5c708f27ce"/>
    <ds:schemaRef ds:uri="http://purl.org/dc/elements/1.1/"/>
    <ds:schemaRef ds:uri="a8f60570-4bd3-4f2b-950b-a996de8ab151"/>
    <ds:schemaRef ds:uri="aaacb922-5235-4a66-b188-303b9b46fbd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AF85671-6981-4139-8657-BDD9CA782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Home</vt:lpstr>
      <vt:lpstr>Inputs</vt:lpstr>
      <vt:lpstr>Demand by Sector</vt:lpstr>
      <vt:lpstr>Archetypes - Split</vt:lpstr>
      <vt:lpstr>Number of Archetypes</vt:lpstr>
      <vt:lpstr>Requirements Per Archetype</vt:lpstr>
      <vt:lpstr>Storage Infrastructure Rqmnts</vt:lpstr>
      <vt:lpstr>Storage Infrastructure Costs</vt:lpstr>
      <vt:lpstr>Transport Infrastructure Rqmnts</vt:lpstr>
      <vt:lpstr>Transport Infrastructure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 Jones</dc:creator>
  <cp:keywords/>
  <dc:description/>
  <cp:lastModifiedBy>Cavanagh2, Rebecca (NZBI - Hydrogen &amp; Industrial Carbo</cp:lastModifiedBy>
  <cp:revision/>
  <dcterms:created xsi:type="dcterms:W3CDTF">2022-08-17T08:55:16Z</dcterms:created>
  <dcterms:modified xsi:type="dcterms:W3CDTF">2022-11-29T11:46:46Z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d467b-6e1c-4a01-a8cf-4d5024698f72_Enabled">
    <vt:lpwstr>true</vt:lpwstr>
  </property>
  <property fmtid="{D5CDD505-2E9C-101B-9397-08002B2CF9AE}" pid="3" name="MSIP_Label_e3dd467b-6e1c-4a01-a8cf-4d5024698f72_SetDate">
    <vt:lpwstr>2022-08-17T09:49:45Z</vt:lpwstr>
  </property>
  <property fmtid="{D5CDD505-2E9C-101B-9397-08002B2CF9AE}" pid="4" name="MSIP_Label_e3dd467b-6e1c-4a01-a8cf-4d5024698f72_Method">
    <vt:lpwstr>Privileged</vt:lpwstr>
  </property>
  <property fmtid="{D5CDD505-2E9C-101B-9397-08002B2CF9AE}" pid="5" name="MSIP_Label_e3dd467b-6e1c-4a01-a8cf-4d5024698f72_Name">
    <vt:lpwstr>Business</vt:lpwstr>
  </property>
  <property fmtid="{D5CDD505-2E9C-101B-9397-08002B2CF9AE}" pid="6" name="MSIP_Label_e3dd467b-6e1c-4a01-a8cf-4d5024698f72_SiteId">
    <vt:lpwstr>d540db14-ce3e-4d18-adfb-75a65e88f7d7</vt:lpwstr>
  </property>
  <property fmtid="{D5CDD505-2E9C-101B-9397-08002B2CF9AE}" pid="7" name="MSIP_Label_e3dd467b-6e1c-4a01-a8cf-4d5024698f72_ActionId">
    <vt:lpwstr>d2f5d210-5a0d-49b8-b945-d7a623748938</vt:lpwstr>
  </property>
  <property fmtid="{D5CDD505-2E9C-101B-9397-08002B2CF9AE}" pid="8" name="MSIP_Label_e3dd467b-6e1c-4a01-a8cf-4d5024698f72_ContentBits">
    <vt:lpwstr>0</vt:lpwstr>
  </property>
  <property fmtid="{D5CDD505-2E9C-101B-9397-08002B2CF9AE}" pid="9" name="ContentTypeId">
    <vt:lpwstr>0x0101003956D82CBB831B45A73F2C2E259F68BD</vt:lpwstr>
  </property>
  <property fmtid="{D5CDD505-2E9C-101B-9397-08002B2CF9AE}" pid="10" name="Business Unit">
    <vt:lpwstr>1;#Hydrogen Economy|30e4ebd8-cce3-41a8-bc7d-2516282c43ed</vt:lpwstr>
  </property>
  <property fmtid="{D5CDD505-2E9C-101B-9397-08002B2CF9AE}" pid="11" name="_dlc_DocIdItemGuid">
    <vt:lpwstr>fa840bf0-bb94-4a6e-9212-575fc55eabf0</vt:lpwstr>
  </property>
  <property fmtid="{D5CDD505-2E9C-101B-9397-08002B2CF9AE}" pid="12" name="MSIP_Label_ba62f585-b40f-4ab9-bafe-39150f03d124_Enabled">
    <vt:lpwstr>true</vt:lpwstr>
  </property>
  <property fmtid="{D5CDD505-2E9C-101B-9397-08002B2CF9AE}" pid="13" name="MSIP_Label_ba62f585-b40f-4ab9-bafe-39150f03d124_SetDate">
    <vt:lpwstr>2022-11-28T10:47:39Z</vt:lpwstr>
  </property>
  <property fmtid="{D5CDD505-2E9C-101B-9397-08002B2CF9AE}" pid="14" name="MSIP_Label_ba62f585-b40f-4ab9-bafe-39150f03d124_Method">
    <vt:lpwstr>Standard</vt:lpwstr>
  </property>
  <property fmtid="{D5CDD505-2E9C-101B-9397-08002B2CF9AE}" pid="15" name="MSIP_Label_ba62f585-b40f-4ab9-bafe-39150f03d124_Name">
    <vt:lpwstr>OFFICIAL</vt:lpwstr>
  </property>
  <property fmtid="{D5CDD505-2E9C-101B-9397-08002B2CF9AE}" pid="16" name="MSIP_Label_ba62f585-b40f-4ab9-bafe-39150f03d124_SiteId">
    <vt:lpwstr>cbac7005-02c1-43eb-b497-e6492d1b2dd8</vt:lpwstr>
  </property>
  <property fmtid="{D5CDD505-2E9C-101B-9397-08002B2CF9AE}" pid="17" name="MSIP_Label_ba62f585-b40f-4ab9-bafe-39150f03d124_ActionId">
    <vt:lpwstr>3b0fbf3e-461f-4ad2-ab8e-5aa83234e217</vt:lpwstr>
  </property>
  <property fmtid="{D5CDD505-2E9C-101B-9397-08002B2CF9AE}" pid="18" name="MSIP_Label_ba62f585-b40f-4ab9-bafe-39150f03d124_ContentBits">
    <vt:lpwstr>0</vt:lpwstr>
  </property>
  <property fmtid="{D5CDD505-2E9C-101B-9397-08002B2CF9AE}" pid="19" name="MediaServiceImageTags">
    <vt:lpwstr/>
  </property>
</Properties>
</file>